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tabRatio="781" firstSheet="2" activeTab="7"/>
  </bookViews>
  <sheets>
    <sheet name="DADOS-CADASTRAIS" sheetId="1" state="hidden" r:id="rId1"/>
    <sheet name="CAMPUS.CONTRATANTE" sheetId="2" state="hidden" r:id="rId2"/>
    <sheet name="1-ABA-DE-CARREGAMENTO" sheetId="3" r:id="rId3"/>
    <sheet name="PROPOSTA DO SERVIÇO" sheetId="4" r:id="rId4"/>
    <sheet name="Uniformes - EPIs_TODOS" sheetId="5" r:id="rId5"/>
    <sheet name="Insumos_Base" sheetId="6" state="hidden" r:id="rId6"/>
    <sheet name="6210-05_CAPATAZ-Encarreg" sheetId="7" r:id="rId7"/>
    <sheet name="6210-05_PEAO-Trabalh.Agropec" sheetId="8" r:id="rId8"/>
    <sheet name="6410-15_TRATORISTA-em-Geral" sheetId="9" r:id="rId9"/>
    <sheet name="6410-15_TRATORISTA-em-GeID" sheetId="10" state="hidden" r:id="rId10"/>
    <sheet name="INT.LIBRA_CBO.2614-25_40.hs" sheetId="11" state="hidden" r:id="rId11"/>
    <sheet name="MONITOR_CBO.3341-10_20hs" sheetId="12" state="hidden" r:id="rId12"/>
    <sheet name="MONITOR_CBO.3341-10_40hs" sheetId="13" state="hidden" r:id="rId13"/>
    <sheet name="PSICOPED_CBO.2394-25_20hs" sheetId="14" state="hidden" r:id="rId14"/>
    <sheet name="PSICOPED_CBO.2394-25_40hs" sheetId="15" state="hidden" r:id="rId15"/>
    <sheet name="AUX.S.BUC_CBO.3224-15_20hs" sheetId="16" state="hidden" r:id="rId16"/>
    <sheet name="A NÃO TEM MAIS POSTOS-88" sheetId="17" state="hidden" r:id="rId17"/>
    <sheet name="A NÃO TEM MAIS POSTOS-99" sheetId="18" state="hidden" r:id="rId18"/>
    <sheet name="TOTALIZADORES_IFFar" sheetId="19" state="hidden" r:id="rId19"/>
    <sheet name="Plan1" sheetId="20" r:id="rId20"/>
  </sheets>
  <definedNames>
    <definedName name="_xlnm.Print_Area" localSheetId="2">'1-ABA-DE-CARREGAMENTO'!$B$2:$F$94</definedName>
    <definedName name="_xlnm.Print_Area" localSheetId="6">'6210-05_CAPATAZ-Encarreg'!$B$2:$J$216</definedName>
    <definedName name="_xlnm.Print_Area" localSheetId="7">'6210-05_PEAO-Trabalh.Agropec'!$B$2:$J$216</definedName>
    <definedName name="_xlnm.Print_Area" localSheetId="8">'6410-15_TRATORISTA-em-Geral'!$B$2:$J$216</definedName>
    <definedName name="_xlnm.Print_Area" localSheetId="3">'PROPOSTA DO SERVIÇO'!$B$2:$M$26</definedName>
    <definedName name="_xlnm.Print_Area" localSheetId="4">'Uniformes - EPIs_TODOS'!$A$1:$I$91</definedName>
  </definedNames>
  <calcPr calcId="145621"/>
</workbook>
</file>

<file path=xl/calcChain.xml><?xml version="1.0" encoding="utf-8"?>
<calcChain xmlns="http://schemas.openxmlformats.org/spreadsheetml/2006/main">
  <c r="D180" i="19" l="1"/>
  <c r="D182" i="19" s="1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80" i="19" s="1"/>
  <c r="B168" i="19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D166" i="19"/>
  <c r="F165" i="19"/>
  <c r="F164" i="19"/>
  <c r="F163" i="19"/>
  <c r="F162" i="19"/>
  <c r="F161" i="19"/>
  <c r="F160" i="19"/>
  <c r="F159" i="19"/>
  <c r="F158" i="19"/>
  <c r="F157" i="19"/>
  <c r="F156" i="19"/>
  <c r="F155" i="19"/>
  <c r="B155" i="19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F154" i="19"/>
  <c r="F166" i="19" s="1"/>
  <c r="B154" i="19"/>
  <c r="F152" i="19"/>
  <c r="E152" i="19"/>
  <c r="D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B140" i="19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D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38" i="19" s="1"/>
  <c r="B126" i="19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D124" i="19"/>
  <c r="F123" i="19"/>
  <c r="F122" i="19"/>
  <c r="F121" i="19"/>
  <c r="F120" i="19"/>
  <c r="F119" i="19"/>
  <c r="F118" i="19"/>
  <c r="F117" i="19"/>
  <c r="F116" i="19"/>
  <c r="F115" i="19"/>
  <c r="F114" i="19"/>
  <c r="F113" i="19"/>
  <c r="B113" i="19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F112" i="19"/>
  <c r="F124" i="19" s="1"/>
  <c r="B112" i="19"/>
  <c r="E110" i="19"/>
  <c r="D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110" i="19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D96" i="19"/>
  <c r="F95" i="19"/>
  <c r="F94" i="19"/>
  <c r="F93" i="19"/>
  <c r="F92" i="19"/>
  <c r="F91" i="19"/>
  <c r="F90" i="19"/>
  <c r="F89" i="19"/>
  <c r="F88" i="19"/>
  <c r="F87" i="19"/>
  <c r="F86" i="19"/>
  <c r="F85" i="19"/>
  <c r="B85" i="19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F84" i="19"/>
  <c r="F96" i="19" s="1"/>
  <c r="B84" i="19"/>
  <c r="E83" i="19"/>
  <c r="D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82" i="19" s="1"/>
  <c r="B70" i="19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D68" i="19"/>
  <c r="F67" i="19"/>
  <c r="F66" i="19"/>
  <c r="F65" i="19"/>
  <c r="F64" i="19"/>
  <c r="F63" i="19"/>
  <c r="F62" i="19"/>
  <c r="F61" i="19"/>
  <c r="F60" i="19"/>
  <c r="F59" i="19"/>
  <c r="F58" i="19"/>
  <c r="F57" i="19"/>
  <c r="B57" i="19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F56" i="19"/>
  <c r="F68" i="19" s="1"/>
  <c r="B56" i="19"/>
  <c r="D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54" i="19" s="1"/>
  <c r="B42" i="19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D40" i="19"/>
  <c r="F39" i="19"/>
  <c r="F38" i="19"/>
  <c r="F37" i="19"/>
  <c r="F36" i="19"/>
  <c r="F35" i="19"/>
  <c r="F34" i="19"/>
  <c r="F33" i="19"/>
  <c r="F32" i="19"/>
  <c r="F31" i="19"/>
  <c r="F30" i="19"/>
  <c r="F29" i="19"/>
  <c r="B29" i="19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F28" i="19"/>
  <c r="F40" i="19" s="1"/>
  <c r="B28" i="19"/>
  <c r="D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26" i="19" s="1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I206" i="18"/>
  <c r="H206" i="18"/>
  <c r="H205" i="18"/>
  <c r="I205" i="18" s="1"/>
  <c r="I204" i="18"/>
  <c r="H204" i="18"/>
  <c r="I202" i="18"/>
  <c r="H202" i="18"/>
  <c r="I201" i="18"/>
  <c r="H201" i="18"/>
  <c r="I171" i="18"/>
  <c r="I170" i="18"/>
  <c r="I166" i="18"/>
  <c r="I164" i="18"/>
  <c r="J154" i="18"/>
  <c r="J157" i="18" s="1"/>
  <c r="J192" i="18" s="1"/>
  <c r="J149" i="18"/>
  <c r="I49" i="18"/>
  <c r="I48" i="18"/>
  <c r="I40" i="18"/>
  <c r="I9" i="18"/>
  <c r="I8" i="18"/>
  <c r="B6" i="18"/>
  <c r="G5" i="18"/>
  <c r="G4" i="18"/>
  <c r="I206" i="17"/>
  <c r="H206" i="17"/>
  <c r="H205" i="17"/>
  <c r="I205" i="17" s="1"/>
  <c r="I204" i="17"/>
  <c r="H204" i="17"/>
  <c r="I202" i="17"/>
  <c r="H202" i="17"/>
  <c r="H201" i="17"/>
  <c r="I171" i="17"/>
  <c r="I170" i="17"/>
  <c r="I166" i="17"/>
  <c r="I164" i="17"/>
  <c r="J154" i="17"/>
  <c r="J157" i="17" s="1"/>
  <c r="J192" i="17" s="1"/>
  <c r="J149" i="17"/>
  <c r="I49" i="17"/>
  <c r="I48" i="17"/>
  <c r="I40" i="17"/>
  <c r="I9" i="17"/>
  <c r="I8" i="17"/>
  <c r="B6" i="17"/>
  <c r="G5" i="17"/>
  <c r="G4" i="17"/>
  <c r="H206" i="16"/>
  <c r="I206" i="16" s="1"/>
  <c r="H205" i="16"/>
  <c r="I205" i="16" s="1"/>
  <c r="I204" i="16"/>
  <c r="H204" i="16"/>
  <c r="I202" i="16"/>
  <c r="H202" i="16"/>
  <c r="I201" i="16"/>
  <c r="H201" i="16"/>
  <c r="I171" i="16"/>
  <c r="I170" i="16"/>
  <c r="I166" i="16"/>
  <c r="I164" i="16"/>
  <c r="J154" i="16"/>
  <c r="J157" i="16" s="1"/>
  <c r="J192" i="16" s="1"/>
  <c r="J149" i="16"/>
  <c r="I49" i="16"/>
  <c r="I48" i="16"/>
  <c r="I40" i="16"/>
  <c r="I9" i="16"/>
  <c r="I8" i="16"/>
  <c r="B6" i="16"/>
  <c r="G5" i="16"/>
  <c r="G4" i="16"/>
  <c r="H206" i="15"/>
  <c r="I206" i="15" s="1"/>
  <c r="H205" i="15"/>
  <c r="I205" i="15" s="1"/>
  <c r="I204" i="15"/>
  <c r="H204" i="15"/>
  <c r="I202" i="15"/>
  <c r="H202" i="15"/>
  <c r="I201" i="15"/>
  <c r="H201" i="15"/>
  <c r="I171" i="15"/>
  <c r="I170" i="15"/>
  <c r="I166" i="15"/>
  <c r="I164" i="15"/>
  <c r="J154" i="15"/>
  <c r="J157" i="15" s="1"/>
  <c r="J192" i="15" s="1"/>
  <c r="J149" i="15"/>
  <c r="I49" i="15"/>
  <c r="I48" i="15"/>
  <c r="I40" i="15"/>
  <c r="I9" i="15"/>
  <c r="I8" i="15"/>
  <c r="B6" i="15"/>
  <c r="G5" i="15"/>
  <c r="G4" i="15"/>
  <c r="H206" i="14"/>
  <c r="I206" i="14" s="1"/>
  <c r="H205" i="14"/>
  <c r="I205" i="14" s="1"/>
  <c r="I204" i="14"/>
  <c r="H204" i="14"/>
  <c r="I202" i="14"/>
  <c r="H202" i="14"/>
  <c r="H201" i="14"/>
  <c r="I201" i="14" s="1"/>
  <c r="I171" i="14"/>
  <c r="I170" i="14"/>
  <c r="I166" i="14"/>
  <c r="I164" i="14"/>
  <c r="J154" i="14"/>
  <c r="J157" i="14" s="1"/>
  <c r="J192" i="14" s="1"/>
  <c r="J149" i="14"/>
  <c r="I49" i="14"/>
  <c r="I48" i="14"/>
  <c r="I40" i="14"/>
  <c r="I9" i="14"/>
  <c r="I8" i="14"/>
  <c r="B6" i="14"/>
  <c r="G5" i="14"/>
  <c r="G4" i="14"/>
  <c r="H206" i="13"/>
  <c r="I206" i="13" s="1"/>
  <c r="H205" i="13"/>
  <c r="I205" i="13" s="1"/>
  <c r="I204" i="13"/>
  <c r="H204" i="13"/>
  <c r="I202" i="13"/>
  <c r="H202" i="13"/>
  <c r="H201" i="13"/>
  <c r="I171" i="13"/>
  <c r="I170" i="13"/>
  <c r="I166" i="13"/>
  <c r="I164" i="13"/>
  <c r="J154" i="13"/>
  <c r="J157" i="13" s="1"/>
  <c r="J192" i="13" s="1"/>
  <c r="J149" i="13"/>
  <c r="I49" i="13"/>
  <c r="I48" i="13"/>
  <c r="I40" i="13"/>
  <c r="I9" i="13"/>
  <c r="I8" i="13"/>
  <c r="B6" i="13"/>
  <c r="G5" i="13"/>
  <c r="G4" i="13"/>
  <c r="H206" i="12"/>
  <c r="I206" i="12" s="1"/>
  <c r="H205" i="12"/>
  <c r="I205" i="12" s="1"/>
  <c r="I204" i="12"/>
  <c r="H204" i="12"/>
  <c r="I202" i="12"/>
  <c r="H202" i="12"/>
  <c r="H201" i="12"/>
  <c r="I171" i="12"/>
  <c r="I170" i="12"/>
  <c r="I166" i="12"/>
  <c r="I164" i="12"/>
  <c r="J154" i="12"/>
  <c r="J157" i="12" s="1"/>
  <c r="J192" i="12" s="1"/>
  <c r="J149" i="12"/>
  <c r="I49" i="12"/>
  <c r="I40" i="12"/>
  <c r="I9" i="12"/>
  <c r="I8" i="12"/>
  <c r="B6" i="12"/>
  <c r="G5" i="12"/>
  <c r="G4" i="12"/>
  <c r="H206" i="11"/>
  <c r="I206" i="11" s="1"/>
  <c r="H205" i="11"/>
  <c r="I205" i="11" s="1"/>
  <c r="I204" i="11"/>
  <c r="H204" i="11"/>
  <c r="I202" i="11"/>
  <c r="H202" i="11"/>
  <c r="H201" i="11"/>
  <c r="I171" i="11"/>
  <c r="I170" i="11"/>
  <c r="I166" i="11"/>
  <c r="I164" i="11"/>
  <c r="J154" i="11"/>
  <c r="J157" i="11" s="1"/>
  <c r="J192" i="11" s="1"/>
  <c r="J149" i="11"/>
  <c r="I49" i="11"/>
  <c r="I40" i="11"/>
  <c r="I9" i="11"/>
  <c r="I8" i="11"/>
  <c r="B6" i="11"/>
  <c r="G5" i="11"/>
  <c r="G4" i="11"/>
  <c r="I206" i="10"/>
  <c r="H206" i="10"/>
  <c r="I205" i="10"/>
  <c r="H205" i="10"/>
  <c r="H204" i="10"/>
  <c r="I204" i="10" s="1"/>
  <c r="H202" i="10"/>
  <c r="I202" i="10" s="1"/>
  <c r="I201" i="10"/>
  <c r="H201" i="10"/>
  <c r="I171" i="10"/>
  <c r="I170" i="10"/>
  <c r="I166" i="10"/>
  <c r="I164" i="10"/>
  <c r="J157" i="10"/>
  <c r="J192" i="10" s="1"/>
  <c r="J154" i="10"/>
  <c r="J149" i="10"/>
  <c r="I49" i="10"/>
  <c r="I40" i="10"/>
  <c r="I9" i="10"/>
  <c r="I8" i="10"/>
  <c r="B6" i="10"/>
  <c r="G5" i="10"/>
  <c r="G4" i="10"/>
  <c r="I206" i="9"/>
  <c r="H206" i="9"/>
  <c r="H205" i="9"/>
  <c r="I205" i="9" s="1"/>
  <c r="H204" i="9"/>
  <c r="I204" i="9" s="1"/>
  <c r="H202" i="9"/>
  <c r="I202" i="9" s="1"/>
  <c r="I201" i="9"/>
  <c r="H201" i="9"/>
  <c r="I171" i="9"/>
  <c r="I170" i="9"/>
  <c r="I166" i="9"/>
  <c r="I164" i="9"/>
  <c r="J149" i="9"/>
  <c r="I40" i="9"/>
  <c r="I9" i="9"/>
  <c r="I8" i="9"/>
  <c r="B6" i="9"/>
  <c r="G5" i="9"/>
  <c r="G4" i="9"/>
  <c r="H206" i="8"/>
  <c r="I206" i="8" s="1"/>
  <c r="H205" i="8"/>
  <c r="I205" i="8" s="1"/>
  <c r="H204" i="8"/>
  <c r="I204" i="8" s="1"/>
  <c r="H202" i="8"/>
  <c r="I202" i="8" s="1"/>
  <c r="H201" i="8"/>
  <c r="I201" i="8" s="1"/>
  <c r="I171" i="8"/>
  <c r="I170" i="8"/>
  <c r="I166" i="8"/>
  <c r="I164" i="8"/>
  <c r="J149" i="8"/>
  <c r="I40" i="8"/>
  <c r="I9" i="8"/>
  <c r="I8" i="8"/>
  <c r="B6" i="8"/>
  <c r="G5" i="8"/>
  <c r="G4" i="8"/>
  <c r="H206" i="7"/>
  <c r="I206" i="7" s="1"/>
  <c r="H205" i="7"/>
  <c r="I205" i="7" s="1"/>
  <c r="H204" i="7"/>
  <c r="I204" i="7" s="1"/>
  <c r="H202" i="7"/>
  <c r="I202" i="7" s="1"/>
  <c r="H201" i="7"/>
  <c r="I171" i="7"/>
  <c r="I170" i="7"/>
  <c r="I166" i="7"/>
  <c r="I164" i="7"/>
  <c r="J149" i="7"/>
  <c r="I94" i="7"/>
  <c r="H80" i="7"/>
  <c r="F80" i="7"/>
  <c r="I80" i="7" s="1"/>
  <c r="I86" i="7" s="1"/>
  <c r="I41" i="7"/>
  <c r="I40" i="7"/>
  <c r="I11" i="7"/>
  <c r="I9" i="7"/>
  <c r="I8" i="7"/>
  <c r="B6" i="7"/>
  <c r="G5" i="7"/>
  <c r="G4" i="7"/>
  <c r="G90" i="5"/>
  <c r="E90" i="5"/>
  <c r="G89" i="5"/>
  <c r="E89" i="5"/>
  <c r="G88" i="5"/>
  <c r="E88" i="5"/>
  <c r="G87" i="5"/>
  <c r="E87" i="5"/>
  <c r="G86" i="5"/>
  <c r="E86" i="5"/>
  <c r="G85" i="5"/>
  <c r="E85" i="5"/>
  <c r="G84" i="5"/>
  <c r="E84" i="5"/>
  <c r="G83" i="5"/>
  <c r="E83" i="5"/>
  <c r="G82" i="5"/>
  <c r="E82" i="5"/>
  <c r="G81" i="5"/>
  <c r="E81" i="5"/>
  <c r="G80" i="5"/>
  <c r="E80" i="5"/>
  <c r="G79" i="5"/>
  <c r="E79" i="5"/>
  <c r="G78" i="5"/>
  <c r="E78" i="5"/>
  <c r="G77" i="5"/>
  <c r="E77" i="5"/>
  <c r="G76" i="5"/>
  <c r="E76" i="5"/>
  <c r="G75" i="5"/>
  <c r="E75" i="5"/>
  <c r="G74" i="5"/>
  <c r="E74" i="5"/>
  <c r="G73" i="5"/>
  <c r="E73" i="5"/>
  <c r="G72" i="5"/>
  <c r="E72" i="5"/>
  <c r="G71" i="5"/>
  <c r="E71" i="5"/>
  <c r="G70" i="5"/>
  <c r="E70" i="5"/>
  <c r="G69" i="5"/>
  <c r="E69" i="5"/>
  <c r="G68" i="5"/>
  <c r="E68" i="5"/>
  <c r="G67" i="5"/>
  <c r="E67" i="5"/>
  <c r="G66" i="5"/>
  <c r="E66" i="5"/>
  <c r="H60" i="5"/>
  <c r="E60" i="5"/>
  <c r="H59" i="5"/>
  <c r="E59" i="5"/>
  <c r="H58" i="5"/>
  <c r="E58" i="5"/>
  <c r="H57" i="5"/>
  <c r="E57" i="5"/>
  <c r="H56" i="5"/>
  <c r="E56" i="5"/>
  <c r="H55" i="5"/>
  <c r="E55" i="5"/>
  <c r="H54" i="5"/>
  <c r="E54" i="5"/>
  <c r="H53" i="5"/>
  <c r="E53" i="5"/>
  <c r="H52" i="5"/>
  <c r="E52" i="5"/>
  <c r="H51" i="5"/>
  <c r="E51" i="5"/>
  <c r="H50" i="5"/>
  <c r="E50" i="5"/>
  <c r="H49" i="5"/>
  <c r="E49" i="5"/>
  <c r="H48" i="5"/>
  <c r="E48" i="5"/>
  <c r="H47" i="5"/>
  <c r="E47" i="5"/>
  <c r="H46" i="5"/>
  <c r="E46" i="5"/>
  <c r="H45" i="5"/>
  <c r="E45" i="5"/>
  <c r="H44" i="5"/>
  <c r="E44" i="5"/>
  <c r="H43" i="5"/>
  <c r="E43" i="5"/>
  <c r="H42" i="5"/>
  <c r="E42" i="5"/>
  <c r="H41" i="5"/>
  <c r="E41" i="5"/>
  <c r="H40" i="5"/>
  <c r="E40" i="5"/>
  <c r="H39" i="5"/>
  <c r="E39" i="5"/>
  <c r="H38" i="5"/>
  <c r="E38" i="5"/>
  <c r="H37" i="5"/>
  <c r="E37" i="5"/>
  <c r="H36" i="5"/>
  <c r="E36" i="5"/>
  <c r="H35" i="5"/>
  <c r="E35" i="5"/>
  <c r="H34" i="5"/>
  <c r="E34" i="5"/>
  <c r="H33" i="5"/>
  <c r="E33" i="5"/>
  <c r="H32" i="5"/>
  <c r="E32" i="5"/>
  <c r="H31" i="5"/>
  <c r="E31" i="5"/>
  <c r="H30" i="5"/>
  <c r="E30" i="5"/>
  <c r="H29" i="5"/>
  <c r="E29" i="5"/>
  <c r="H28" i="5"/>
  <c r="E28" i="5"/>
  <c r="H27" i="5"/>
  <c r="E27" i="5"/>
  <c r="H26" i="5"/>
  <c r="E26" i="5"/>
  <c r="H25" i="5"/>
  <c r="E25" i="5"/>
  <c r="H24" i="5"/>
  <c r="E24" i="5"/>
  <c r="H23" i="5"/>
  <c r="E23" i="5"/>
  <c r="H22" i="5"/>
  <c r="E22" i="5"/>
  <c r="H21" i="5"/>
  <c r="E21" i="5"/>
  <c r="H20" i="5"/>
  <c r="E20" i="5"/>
  <c r="H19" i="5"/>
  <c r="E19" i="5"/>
  <c r="H18" i="5"/>
  <c r="E18" i="5"/>
  <c r="H17" i="5"/>
  <c r="E17" i="5"/>
  <c r="H16" i="5"/>
  <c r="E16" i="5"/>
  <c r="H15" i="5"/>
  <c r="E15" i="5"/>
  <c r="H14" i="5"/>
  <c r="E14" i="5"/>
  <c r="H13" i="5"/>
  <c r="E13" i="5"/>
  <c r="H12" i="5"/>
  <c r="E12" i="5"/>
  <c r="H11" i="5"/>
  <c r="E11" i="5"/>
  <c r="H10" i="5"/>
  <c r="E10" i="5"/>
  <c r="H9" i="5"/>
  <c r="E9" i="5"/>
  <c r="H8" i="5"/>
  <c r="E8" i="5"/>
  <c r="H7" i="5"/>
  <c r="E7" i="5"/>
  <c r="F25" i="4"/>
  <c r="F24" i="4"/>
  <c r="F23" i="4"/>
  <c r="F22" i="4"/>
  <c r="F21" i="4"/>
  <c r="F20" i="4"/>
  <c r="F19" i="4"/>
  <c r="F18" i="4"/>
  <c r="F17" i="4"/>
  <c r="F16" i="4"/>
  <c r="F15" i="4"/>
  <c r="J14" i="4"/>
  <c r="F14" i="4"/>
  <c r="D10" i="4"/>
  <c r="J9" i="4"/>
  <c r="D9" i="4"/>
  <c r="D8" i="4"/>
  <c r="D7" i="4"/>
  <c r="J6" i="4"/>
  <c r="D6" i="4"/>
  <c r="D4" i="4"/>
  <c r="D94" i="3"/>
  <c r="N92" i="3"/>
  <c r="I17" i="18" s="1"/>
  <c r="M92" i="3"/>
  <c r="L92" i="3"/>
  <c r="I17" i="16" s="1"/>
  <c r="K92" i="3"/>
  <c r="I17" i="15" s="1"/>
  <c r="J92" i="3"/>
  <c r="I17" i="14" s="1"/>
  <c r="I92" i="3"/>
  <c r="I17" i="13" s="1"/>
  <c r="H92" i="3"/>
  <c r="I17" i="12" s="1"/>
  <c r="G92" i="3"/>
  <c r="F92" i="3"/>
  <c r="I17" i="10" s="1"/>
  <c r="E92" i="3"/>
  <c r="I17" i="9" s="1"/>
  <c r="D92" i="3"/>
  <c r="I17" i="8" s="1"/>
  <c r="C92" i="3"/>
  <c r="C87" i="3"/>
  <c r="D87" i="3" s="1"/>
  <c r="N74" i="3"/>
  <c r="I95" i="18" s="1"/>
  <c r="M74" i="3"/>
  <c r="I95" i="17" s="1"/>
  <c r="L74" i="3"/>
  <c r="I95" i="16" s="1"/>
  <c r="K74" i="3"/>
  <c r="I95" i="15" s="1"/>
  <c r="J74" i="3"/>
  <c r="I95" i="14" s="1"/>
  <c r="I74" i="3"/>
  <c r="I95" i="13" s="1"/>
  <c r="H74" i="3"/>
  <c r="I95" i="12" s="1"/>
  <c r="G74" i="3"/>
  <c r="I95" i="11" s="1"/>
  <c r="F74" i="3"/>
  <c r="I95" i="10" s="1"/>
  <c r="E74" i="3"/>
  <c r="I95" i="9" s="1"/>
  <c r="D74" i="3"/>
  <c r="I95" i="8" s="1"/>
  <c r="C74" i="3"/>
  <c r="I95" i="7" s="1"/>
  <c r="D73" i="3"/>
  <c r="I94" i="8" s="1"/>
  <c r="C72" i="3"/>
  <c r="I93" i="7" s="1"/>
  <c r="E71" i="3"/>
  <c r="D71" i="3"/>
  <c r="C71" i="3"/>
  <c r="N70" i="3"/>
  <c r="M70" i="3"/>
  <c r="L70" i="3"/>
  <c r="K70" i="3"/>
  <c r="J70" i="3"/>
  <c r="I70" i="3"/>
  <c r="H70" i="3"/>
  <c r="G70" i="3"/>
  <c r="F70" i="3"/>
  <c r="E70" i="3"/>
  <c r="D70" i="3"/>
  <c r="C70" i="3"/>
  <c r="E69" i="3"/>
  <c r="D69" i="3"/>
  <c r="C69" i="3"/>
  <c r="M68" i="3" s="1"/>
  <c r="I55" i="17" s="1"/>
  <c r="E67" i="3"/>
  <c r="D67" i="3"/>
  <c r="C67" i="3"/>
  <c r="E66" i="3"/>
  <c r="D66" i="3"/>
  <c r="C66" i="3"/>
  <c r="M65" i="3" s="1"/>
  <c r="I54" i="17" s="1"/>
  <c r="E62" i="3"/>
  <c r="D62" i="3"/>
  <c r="I99" i="8" s="1"/>
  <c r="C62" i="3"/>
  <c r="I99" i="7" s="1"/>
  <c r="E58" i="3"/>
  <c r="D58" i="3"/>
  <c r="H80" i="8" s="1"/>
  <c r="D57" i="3"/>
  <c r="N51" i="3"/>
  <c r="N52" i="3" s="1"/>
  <c r="M51" i="3"/>
  <c r="M52" i="3" s="1"/>
  <c r="L51" i="3"/>
  <c r="L52" i="3" s="1"/>
  <c r="K51" i="3"/>
  <c r="K52" i="3" s="1"/>
  <c r="J51" i="3"/>
  <c r="J52" i="3" s="1"/>
  <c r="I51" i="3"/>
  <c r="I52" i="3" s="1"/>
  <c r="H51" i="3"/>
  <c r="H52" i="3" s="1"/>
  <c r="D19" i="4" s="1"/>
  <c r="G51" i="3"/>
  <c r="G52" i="3" s="1"/>
  <c r="F51" i="3"/>
  <c r="F52" i="3" s="1"/>
  <c r="E51" i="3"/>
  <c r="E52" i="3" s="1"/>
  <c r="D51" i="3"/>
  <c r="D52" i="3" s="1"/>
  <c r="C51" i="3"/>
  <c r="C52" i="3" s="1"/>
  <c r="E43" i="3"/>
  <c r="D43" i="3"/>
  <c r="C43" i="3"/>
  <c r="E42" i="3"/>
  <c r="D42" i="3"/>
  <c r="I41" i="8" s="1"/>
  <c r="N40" i="3"/>
  <c r="G50" i="18" s="1"/>
  <c r="M40" i="3"/>
  <c r="G50" i="17" s="1"/>
  <c r="L40" i="3"/>
  <c r="G50" i="16" s="1"/>
  <c r="K40" i="3"/>
  <c r="G50" i="15" s="1"/>
  <c r="J40" i="3"/>
  <c r="G50" i="14" s="1"/>
  <c r="I40" i="3"/>
  <c r="G50" i="13" s="1"/>
  <c r="H40" i="3"/>
  <c r="G50" i="12" s="1"/>
  <c r="G40" i="3"/>
  <c r="G50" i="11" s="1"/>
  <c r="F40" i="3"/>
  <c r="G50" i="10" s="1"/>
  <c r="E40" i="3"/>
  <c r="G50" i="9" s="1"/>
  <c r="D40" i="3"/>
  <c r="G50" i="8" s="1"/>
  <c r="C40" i="3"/>
  <c r="N38" i="3"/>
  <c r="F48" i="18" s="1"/>
  <c r="M38" i="3"/>
  <c r="F48" i="17" s="1"/>
  <c r="L38" i="3"/>
  <c r="F48" i="16" s="1"/>
  <c r="K38" i="3"/>
  <c r="F48" i="15" s="1"/>
  <c r="J38" i="3"/>
  <c r="F48" i="14" s="1"/>
  <c r="I38" i="3"/>
  <c r="F48" i="13" s="1"/>
  <c r="H38" i="3"/>
  <c r="F48" i="12" s="1"/>
  <c r="G38" i="3"/>
  <c r="F48" i="11" s="1"/>
  <c r="F38" i="3"/>
  <c r="F48" i="10" s="1"/>
  <c r="E38" i="3"/>
  <c r="D38" i="3"/>
  <c r="F48" i="8" s="1"/>
  <c r="C38" i="3"/>
  <c r="F48" i="7" s="1"/>
  <c r="N37" i="3"/>
  <c r="F29" i="18" s="1"/>
  <c r="M37" i="3"/>
  <c r="F29" i="17" s="1"/>
  <c r="L37" i="3"/>
  <c r="F29" i="16" s="1"/>
  <c r="K37" i="3"/>
  <c r="F29" i="15" s="1"/>
  <c r="J37" i="3"/>
  <c r="F29" i="14" s="1"/>
  <c r="I37" i="3"/>
  <c r="F29" i="13" s="1"/>
  <c r="H37" i="3"/>
  <c r="F29" i="12" s="1"/>
  <c r="G37" i="3"/>
  <c r="F29" i="11" s="1"/>
  <c r="F37" i="3"/>
  <c r="F29" i="10" s="1"/>
  <c r="E37" i="3"/>
  <c r="F29" i="9" s="1"/>
  <c r="D37" i="3"/>
  <c r="F29" i="8" s="1"/>
  <c r="C37" i="3"/>
  <c r="F29" i="7" s="1"/>
  <c r="N35" i="3"/>
  <c r="I10" i="18" s="1"/>
  <c r="M35" i="3"/>
  <c r="I10" i="17" s="1"/>
  <c r="L35" i="3"/>
  <c r="N78" i="3" s="1"/>
  <c r="J103" i="18" s="1"/>
  <c r="K35" i="3"/>
  <c r="K61" i="3" s="1"/>
  <c r="I100" i="15" s="1"/>
  <c r="J35" i="3"/>
  <c r="I10" i="14" s="1"/>
  <c r="I35" i="3"/>
  <c r="H35" i="3"/>
  <c r="G35" i="3"/>
  <c r="G75" i="3" s="1"/>
  <c r="I96" i="11" s="1"/>
  <c r="F35" i="3"/>
  <c r="E35" i="3"/>
  <c r="D35" i="3"/>
  <c r="C35" i="3"/>
  <c r="N33" i="3"/>
  <c r="M33" i="3"/>
  <c r="C24" i="4" s="1"/>
  <c r="L33" i="3"/>
  <c r="K33" i="3"/>
  <c r="K49" i="3" s="1"/>
  <c r="K56" i="3" s="1"/>
  <c r="K84" i="3" s="1"/>
  <c r="K91" i="3" s="1"/>
  <c r="J33" i="3"/>
  <c r="I33" i="3"/>
  <c r="H33" i="3"/>
  <c r="G33" i="3"/>
  <c r="C18" i="4" s="1"/>
  <c r="F33" i="3"/>
  <c r="E33" i="3"/>
  <c r="D33" i="3"/>
  <c r="C33" i="3"/>
  <c r="C11" i="3"/>
  <c r="K37" i="2"/>
  <c r="K36" i="2"/>
  <c r="K35" i="2"/>
  <c r="B28" i="2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HM25" i="2"/>
  <c r="HL25" i="2"/>
  <c r="HK25" i="2"/>
  <c r="HJ25" i="2"/>
  <c r="HI25" i="2"/>
  <c r="HH25" i="2"/>
  <c r="HG25" i="2"/>
  <c r="HF25" i="2"/>
  <c r="HE25" i="2"/>
  <c r="HD25" i="2"/>
  <c r="HC25" i="2"/>
  <c r="HB25" i="2"/>
  <c r="HA25" i="2"/>
  <c r="GZ25" i="2"/>
  <c r="GY25" i="2"/>
  <c r="GX25" i="2"/>
  <c r="GW25" i="2"/>
  <c r="GV25" i="2"/>
  <c r="GU25" i="2"/>
  <c r="GT25" i="2"/>
  <c r="GS25" i="2"/>
  <c r="GR25" i="2"/>
  <c r="GQ25" i="2"/>
  <c r="GP25" i="2"/>
  <c r="GO25" i="2"/>
  <c r="GN25" i="2"/>
  <c r="GM25" i="2"/>
  <c r="GL22" i="2"/>
  <c r="FU22" i="2"/>
  <c r="FD22" i="2"/>
  <c r="EM22" i="2"/>
  <c r="DV22" i="2"/>
  <c r="DE22" i="2"/>
  <c r="CN22" i="2"/>
  <c r="BW22" i="2"/>
  <c r="BF22" i="2"/>
  <c r="AO22" i="2"/>
  <c r="X22" i="2"/>
  <c r="G22" i="2"/>
  <c r="HN22" i="2" s="1"/>
  <c r="HN21" i="2"/>
  <c r="HC21" i="2"/>
  <c r="GW21" i="2"/>
  <c r="GV21" i="2"/>
  <c r="GF21" i="2"/>
  <c r="GE21" i="2"/>
  <c r="FO21" i="2"/>
  <c r="FN21" i="2"/>
  <c r="EX21" i="2"/>
  <c r="EW21" i="2"/>
  <c r="EG21" i="2"/>
  <c r="EF21" i="2"/>
  <c r="DP21" i="2"/>
  <c r="DO21" i="2"/>
  <c r="CY21" i="2"/>
  <c r="CX21" i="2"/>
  <c r="CH21" i="2"/>
  <c r="CG21" i="2"/>
  <c r="BQ21" i="2"/>
  <c r="BP21" i="2"/>
  <c r="AZ21" i="2"/>
  <c r="AY21" i="2"/>
  <c r="AI21" i="2"/>
  <c r="AH21" i="2"/>
  <c r="R21" i="2"/>
  <c r="Q21" i="2"/>
  <c r="HN20" i="2"/>
  <c r="HC20" i="2"/>
  <c r="GW20" i="2"/>
  <c r="GV20" i="2"/>
  <c r="GF20" i="2"/>
  <c r="GE20" i="2"/>
  <c r="FO20" i="2"/>
  <c r="FN20" i="2"/>
  <c r="EX20" i="2"/>
  <c r="EW20" i="2"/>
  <c r="EG20" i="2"/>
  <c r="EF20" i="2"/>
  <c r="DP20" i="2"/>
  <c r="DO20" i="2"/>
  <c r="CY20" i="2"/>
  <c r="CX20" i="2"/>
  <c r="CH20" i="2"/>
  <c r="CG20" i="2"/>
  <c r="BQ20" i="2"/>
  <c r="BP20" i="2"/>
  <c r="AZ20" i="2"/>
  <c r="AY20" i="2"/>
  <c r="AI20" i="2"/>
  <c r="AH20" i="2"/>
  <c r="R20" i="2"/>
  <c r="Q20" i="2"/>
  <c r="HN19" i="2"/>
  <c r="HC19" i="2"/>
  <c r="GW19" i="2"/>
  <c r="GV19" i="2"/>
  <c r="GF19" i="2"/>
  <c r="GE19" i="2"/>
  <c r="FO19" i="2"/>
  <c r="FN19" i="2"/>
  <c r="EX19" i="2"/>
  <c r="EW19" i="2"/>
  <c r="EG19" i="2"/>
  <c r="EF19" i="2"/>
  <c r="DP19" i="2"/>
  <c r="DO19" i="2"/>
  <c r="CY19" i="2"/>
  <c r="CX19" i="2"/>
  <c r="CH19" i="2"/>
  <c r="CG19" i="2"/>
  <c r="BQ19" i="2"/>
  <c r="BP19" i="2"/>
  <c r="AZ19" i="2"/>
  <c r="AY19" i="2"/>
  <c r="AI19" i="2"/>
  <c r="AH19" i="2"/>
  <c r="R19" i="2"/>
  <c r="Q19" i="2"/>
  <c r="J19" i="2"/>
  <c r="HN18" i="2"/>
  <c r="HC18" i="2"/>
  <c r="GW18" i="2"/>
  <c r="GV18" i="2"/>
  <c r="GF18" i="2"/>
  <c r="GE18" i="2"/>
  <c r="FO18" i="2"/>
  <c r="FN18" i="2"/>
  <c r="EX18" i="2"/>
  <c r="EW18" i="2"/>
  <c r="EG18" i="2"/>
  <c r="EF18" i="2"/>
  <c r="DP18" i="2"/>
  <c r="DO18" i="2"/>
  <c r="CY18" i="2"/>
  <c r="CX18" i="2"/>
  <c r="CH18" i="2"/>
  <c r="CG18" i="2"/>
  <c r="BQ18" i="2"/>
  <c r="BP18" i="2"/>
  <c r="AZ18" i="2"/>
  <c r="AY18" i="2"/>
  <c r="AI18" i="2"/>
  <c r="AH18" i="2"/>
  <c r="R18" i="2"/>
  <c r="Q18" i="2"/>
  <c r="HN17" i="2"/>
  <c r="HC17" i="2"/>
  <c r="GW17" i="2"/>
  <c r="GV17" i="2"/>
  <c r="GF17" i="2"/>
  <c r="GE17" i="2"/>
  <c r="FO17" i="2"/>
  <c r="FN17" i="2"/>
  <c r="EX17" i="2"/>
  <c r="EW17" i="2"/>
  <c r="EG17" i="2"/>
  <c r="EF17" i="2"/>
  <c r="DP17" i="2"/>
  <c r="DO17" i="2"/>
  <c r="CY17" i="2"/>
  <c r="CX17" i="2"/>
  <c r="CH17" i="2"/>
  <c r="CG17" i="2"/>
  <c r="BQ17" i="2"/>
  <c r="BP17" i="2"/>
  <c r="AZ17" i="2"/>
  <c r="AY17" i="2"/>
  <c r="AI17" i="2"/>
  <c r="AH17" i="2"/>
  <c r="R17" i="2"/>
  <c r="Q17" i="2"/>
  <c r="HN16" i="2"/>
  <c r="HC16" i="2"/>
  <c r="GW16" i="2"/>
  <c r="GV16" i="2"/>
  <c r="GF16" i="2"/>
  <c r="GE16" i="2"/>
  <c r="FO16" i="2"/>
  <c r="FN16" i="2"/>
  <c r="EX16" i="2"/>
  <c r="EW16" i="2"/>
  <c r="EG16" i="2"/>
  <c r="EF16" i="2"/>
  <c r="DP16" i="2"/>
  <c r="DO16" i="2"/>
  <c r="CY16" i="2"/>
  <c r="CX16" i="2"/>
  <c r="CH16" i="2"/>
  <c r="CG16" i="2"/>
  <c r="BQ16" i="2"/>
  <c r="BP16" i="2"/>
  <c r="AZ16" i="2"/>
  <c r="AY16" i="2"/>
  <c r="AI16" i="2"/>
  <c r="AH16" i="2"/>
  <c r="R16" i="2"/>
  <c r="Q16" i="2"/>
  <c r="HN15" i="2"/>
  <c r="HC15" i="2"/>
  <c r="GW15" i="2"/>
  <c r="GV15" i="2"/>
  <c r="GF15" i="2"/>
  <c r="GE15" i="2"/>
  <c r="FO15" i="2"/>
  <c r="FN15" i="2"/>
  <c r="EX15" i="2"/>
  <c r="EW15" i="2"/>
  <c r="EG15" i="2"/>
  <c r="EF15" i="2"/>
  <c r="DP15" i="2"/>
  <c r="DO15" i="2"/>
  <c r="CY15" i="2"/>
  <c r="CX15" i="2"/>
  <c r="CH15" i="2"/>
  <c r="CG15" i="2"/>
  <c r="BQ15" i="2"/>
  <c r="BP15" i="2"/>
  <c r="AZ15" i="2"/>
  <c r="AY15" i="2"/>
  <c r="AI15" i="2"/>
  <c r="AH15" i="2"/>
  <c r="R15" i="2"/>
  <c r="Q15" i="2"/>
  <c r="HN14" i="2"/>
  <c r="HC14" i="2"/>
  <c r="GW14" i="2"/>
  <c r="GV14" i="2"/>
  <c r="GF14" i="2"/>
  <c r="GE14" i="2"/>
  <c r="FO14" i="2"/>
  <c r="FN14" i="2"/>
  <c r="EX14" i="2"/>
  <c r="EW14" i="2"/>
  <c r="EG14" i="2"/>
  <c r="EF14" i="2"/>
  <c r="DP14" i="2"/>
  <c r="DO14" i="2"/>
  <c r="CY14" i="2"/>
  <c r="CX14" i="2"/>
  <c r="CH14" i="2"/>
  <c r="CG14" i="2"/>
  <c r="BQ14" i="2"/>
  <c r="BP14" i="2"/>
  <c r="AZ14" i="2"/>
  <c r="AY14" i="2"/>
  <c r="AI14" i="2"/>
  <c r="AH14" i="2"/>
  <c r="R14" i="2"/>
  <c r="Q14" i="2"/>
  <c r="HN13" i="2"/>
  <c r="HC13" i="2"/>
  <c r="GW13" i="2"/>
  <c r="GV13" i="2"/>
  <c r="GF13" i="2"/>
  <c r="GE13" i="2"/>
  <c r="FO13" i="2"/>
  <c r="FN13" i="2"/>
  <c r="EX13" i="2"/>
  <c r="EW13" i="2"/>
  <c r="EG13" i="2"/>
  <c r="EF13" i="2"/>
  <c r="DP13" i="2"/>
  <c r="DO13" i="2"/>
  <c r="CY13" i="2"/>
  <c r="CX13" i="2"/>
  <c r="CH13" i="2"/>
  <c r="CG13" i="2"/>
  <c r="BQ13" i="2"/>
  <c r="BP13" i="2"/>
  <c r="AZ13" i="2"/>
  <c r="AY13" i="2"/>
  <c r="AI13" i="2"/>
  <c r="AH13" i="2"/>
  <c r="R13" i="2"/>
  <c r="Q13" i="2"/>
  <c r="HN12" i="2"/>
  <c r="HC12" i="2"/>
  <c r="GW12" i="2"/>
  <c r="GV12" i="2"/>
  <c r="GF12" i="2"/>
  <c r="GE12" i="2"/>
  <c r="FO12" i="2"/>
  <c r="FN12" i="2"/>
  <c r="EX12" i="2"/>
  <c r="EW12" i="2"/>
  <c r="EG12" i="2"/>
  <c r="EF12" i="2"/>
  <c r="DP12" i="2"/>
  <c r="DO12" i="2"/>
  <c r="CY12" i="2"/>
  <c r="CX12" i="2"/>
  <c r="CH12" i="2"/>
  <c r="CG12" i="2"/>
  <c r="BQ12" i="2"/>
  <c r="BP12" i="2"/>
  <c r="AZ12" i="2"/>
  <c r="AY12" i="2"/>
  <c r="AR12" i="2"/>
  <c r="AI12" i="2"/>
  <c r="AH12" i="2"/>
  <c r="R12" i="2"/>
  <c r="Q12" i="2"/>
  <c r="J12" i="2"/>
  <c r="HN11" i="2"/>
  <c r="HC11" i="2"/>
  <c r="GW11" i="2"/>
  <c r="GV11" i="2"/>
  <c r="GF11" i="2"/>
  <c r="GE11" i="2"/>
  <c r="FO11" i="2"/>
  <c r="FN11" i="2"/>
  <c r="EX11" i="2"/>
  <c r="EW11" i="2"/>
  <c r="EG11" i="2"/>
  <c r="EF11" i="2"/>
  <c r="DP11" i="2"/>
  <c r="DO11" i="2"/>
  <c r="CY11" i="2"/>
  <c r="CX11" i="2"/>
  <c r="CH11" i="2"/>
  <c r="CG11" i="2"/>
  <c r="BQ11" i="2"/>
  <c r="BP11" i="2"/>
  <c r="AZ11" i="2"/>
  <c r="AY11" i="2"/>
  <c r="AI11" i="2"/>
  <c r="AH11" i="2"/>
  <c r="R11" i="2"/>
  <c r="Q11" i="2"/>
  <c r="HN10" i="2"/>
  <c r="HC10" i="2"/>
  <c r="GW10" i="2"/>
  <c r="GV10" i="2"/>
  <c r="GF10" i="2"/>
  <c r="GE10" i="2"/>
  <c r="FO10" i="2"/>
  <c r="FN10" i="2"/>
  <c r="EX10" i="2"/>
  <c r="EW10" i="2"/>
  <c r="K65" i="3" s="1"/>
  <c r="I54" i="15" s="1"/>
  <c r="EG10" i="2"/>
  <c r="EF10" i="2"/>
  <c r="DP10" i="2"/>
  <c r="DO10" i="2"/>
  <c r="CY10" i="2"/>
  <c r="CX10" i="2"/>
  <c r="CH10" i="2"/>
  <c r="CG10" i="2"/>
  <c r="BQ10" i="2"/>
  <c r="BP10" i="2"/>
  <c r="AZ10" i="2"/>
  <c r="AY10" i="2"/>
  <c r="E65" i="3" s="1"/>
  <c r="I54" i="9" s="1"/>
  <c r="AI10" i="2"/>
  <c r="AH10" i="2"/>
  <c r="R10" i="2"/>
  <c r="Q10" i="2"/>
  <c r="C65" i="3" s="1"/>
  <c r="I54" i="7" s="1"/>
  <c r="X5" i="2"/>
  <c r="AO5" i="2" s="1"/>
  <c r="L4" i="2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C4" i="2" s="1"/>
  <c r="AD4" i="2" s="1"/>
  <c r="AE4" i="2" s="1"/>
  <c r="AF4" i="2" s="1"/>
  <c r="AG4" i="2" s="1"/>
  <c r="AH4" i="2" s="1"/>
  <c r="AI4" i="2" s="1"/>
  <c r="AJ4" i="2" s="1"/>
  <c r="AK4" i="2" s="1"/>
  <c r="AL4" i="2" s="1"/>
  <c r="AM4" i="2" s="1"/>
  <c r="AN4" i="2" s="1"/>
  <c r="AO4" i="2" s="1"/>
  <c r="AP4" i="2" s="1"/>
  <c r="AQ4" i="2" s="1"/>
  <c r="AR4" i="2" s="1"/>
  <c r="AS4" i="2" s="1"/>
  <c r="AT4" i="2" s="1"/>
  <c r="AU4" i="2" s="1"/>
  <c r="AV4" i="2" s="1"/>
  <c r="AW4" i="2" s="1"/>
  <c r="AX4" i="2" s="1"/>
  <c r="AY4" i="2" s="1"/>
  <c r="AZ4" i="2" s="1"/>
  <c r="BA4" i="2" s="1"/>
  <c r="BB4" i="2" s="1"/>
  <c r="BC4" i="2" s="1"/>
  <c r="BD4" i="2" s="1"/>
  <c r="BE4" i="2" s="1"/>
  <c r="BF4" i="2" s="1"/>
  <c r="BG4" i="2" s="1"/>
  <c r="BH4" i="2" s="1"/>
  <c r="BI4" i="2" s="1"/>
  <c r="BJ4" i="2" s="1"/>
  <c r="BK4" i="2" s="1"/>
  <c r="BL4" i="2" s="1"/>
  <c r="BM4" i="2" s="1"/>
  <c r="BN4" i="2" s="1"/>
  <c r="BO4" i="2" s="1"/>
  <c r="BP4" i="2" s="1"/>
  <c r="BQ4" i="2" s="1"/>
  <c r="BR4" i="2" s="1"/>
  <c r="BS4" i="2" s="1"/>
  <c r="BT4" i="2" s="1"/>
  <c r="BU4" i="2" s="1"/>
  <c r="BV4" i="2" s="1"/>
  <c r="BW4" i="2" s="1"/>
  <c r="BX4" i="2" s="1"/>
  <c r="BY4" i="2" s="1"/>
  <c r="BZ4" i="2" s="1"/>
  <c r="CA4" i="2" s="1"/>
  <c r="CB4" i="2" s="1"/>
  <c r="CC4" i="2" s="1"/>
  <c r="CD4" i="2" s="1"/>
  <c r="CE4" i="2" s="1"/>
  <c r="CF4" i="2" s="1"/>
  <c r="CG4" i="2" s="1"/>
  <c r="CH4" i="2" s="1"/>
  <c r="CI4" i="2" s="1"/>
  <c r="CJ4" i="2" s="1"/>
  <c r="CK4" i="2" s="1"/>
  <c r="CL4" i="2" s="1"/>
  <c r="CM4" i="2" s="1"/>
  <c r="CN4" i="2" s="1"/>
  <c r="CO4" i="2" s="1"/>
  <c r="CP4" i="2" s="1"/>
  <c r="CQ4" i="2" s="1"/>
  <c r="CR4" i="2" s="1"/>
  <c r="CS4" i="2" s="1"/>
  <c r="CT4" i="2" s="1"/>
  <c r="CU4" i="2" s="1"/>
  <c r="CV4" i="2" s="1"/>
  <c r="CW4" i="2" s="1"/>
  <c r="CX4" i="2" s="1"/>
  <c r="CY4" i="2" s="1"/>
  <c r="CZ4" i="2" s="1"/>
  <c r="DA4" i="2" s="1"/>
  <c r="DB4" i="2" s="1"/>
  <c r="DC4" i="2" s="1"/>
  <c r="DD4" i="2" s="1"/>
  <c r="DE4" i="2" s="1"/>
  <c r="DF4" i="2" s="1"/>
  <c r="DG4" i="2" s="1"/>
  <c r="DH4" i="2" s="1"/>
  <c r="DI4" i="2" s="1"/>
  <c r="DJ4" i="2" s="1"/>
  <c r="DK4" i="2" s="1"/>
  <c r="DL4" i="2" s="1"/>
  <c r="DM4" i="2" s="1"/>
  <c r="DN4" i="2" s="1"/>
  <c r="DO4" i="2" s="1"/>
  <c r="DP4" i="2" s="1"/>
  <c r="DQ4" i="2" s="1"/>
  <c r="DR4" i="2" s="1"/>
  <c r="DS4" i="2" s="1"/>
  <c r="DT4" i="2" s="1"/>
  <c r="DU4" i="2" s="1"/>
  <c r="DV4" i="2" s="1"/>
  <c r="DW4" i="2" s="1"/>
  <c r="DX4" i="2" s="1"/>
  <c r="DY4" i="2" s="1"/>
  <c r="DZ4" i="2" s="1"/>
  <c r="EA4" i="2" s="1"/>
  <c r="EB4" i="2" s="1"/>
  <c r="EC4" i="2" s="1"/>
  <c r="ED4" i="2" s="1"/>
  <c r="EE4" i="2" s="1"/>
  <c r="EF4" i="2" s="1"/>
  <c r="EG4" i="2" s="1"/>
  <c r="EH4" i="2" s="1"/>
  <c r="EI4" i="2" s="1"/>
  <c r="EJ4" i="2" s="1"/>
  <c r="EK4" i="2" s="1"/>
  <c r="EL4" i="2" s="1"/>
  <c r="EM4" i="2" s="1"/>
  <c r="EN4" i="2" s="1"/>
  <c r="EO4" i="2" s="1"/>
  <c r="EP4" i="2" s="1"/>
  <c r="EQ4" i="2" s="1"/>
  <c r="ER4" i="2" s="1"/>
  <c r="ES4" i="2" s="1"/>
  <c r="ET4" i="2" s="1"/>
  <c r="EU4" i="2" s="1"/>
  <c r="EV4" i="2" s="1"/>
  <c r="EW4" i="2" s="1"/>
  <c r="EX4" i="2" s="1"/>
  <c r="EY4" i="2" s="1"/>
  <c r="EZ4" i="2" s="1"/>
  <c r="FA4" i="2" s="1"/>
  <c r="FB4" i="2" s="1"/>
  <c r="FC4" i="2" s="1"/>
  <c r="FD4" i="2" s="1"/>
  <c r="FE4" i="2" s="1"/>
  <c r="FF4" i="2" s="1"/>
  <c r="FG4" i="2" s="1"/>
  <c r="FH4" i="2" s="1"/>
  <c r="FI4" i="2" s="1"/>
  <c r="FJ4" i="2" s="1"/>
  <c r="FK4" i="2" s="1"/>
  <c r="FL4" i="2" s="1"/>
  <c r="FM4" i="2" s="1"/>
  <c r="FN4" i="2" s="1"/>
  <c r="FO4" i="2" s="1"/>
  <c r="FP4" i="2" s="1"/>
  <c r="FQ4" i="2" s="1"/>
  <c r="FR4" i="2" s="1"/>
  <c r="FS4" i="2" s="1"/>
  <c r="FT4" i="2" s="1"/>
  <c r="FU4" i="2" s="1"/>
  <c r="FV4" i="2" s="1"/>
  <c r="FW4" i="2" s="1"/>
  <c r="FX4" i="2" s="1"/>
  <c r="FY4" i="2" s="1"/>
  <c r="FZ4" i="2" s="1"/>
  <c r="GA4" i="2" s="1"/>
  <c r="GB4" i="2" s="1"/>
  <c r="GC4" i="2" s="1"/>
  <c r="GD4" i="2" s="1"/>
  <c r="GE4" i="2" s="1"/>
  <c r="GF4" i="2" s="1"/>
  <c r="GG4" i="2" s="1"/>
  <c r="GH4" i="2" s="1"/>
  <c r="GI4" i="2" s="1"/>
  <c r="GJ4" i="2" s="1"/>
  <c r="GK4" i="2" s="1"/>
  <c r="GL4" i="2" s="1"/>
  <c r="GM4" i="2" s="1"/>
  <c r="GN4" i="2" s="1"/>
  <c r="GO4" i="2" s="1"/>
  <c r="GP4" i="2" s="1"/>
  <c r="GQ4" i="2" s="1"/>
  <c r="GR4" i="2" s="1"/>
  <c r="GS4" i="2" s="1"/>
  <c r="GT4" i="2" s="1"/>
  <c r="GU4" i="2" s="1"/>
  <c r="GV4" i="2" s="1"/>
  <c r="GW4" i="2" s="1"/>
  <c r="GX4" i="2" s="1"/>
  <c r="GY4" i="2" s="1"/>
  <c r="GZ4" i="2" s="1"/>
  <c r="HA4" i="2" s="1"/>
  <c r="HB4" i="2" s="1"/>
  <c r="HC4" i="2" s="1"/>
  <c r="F4" i="2"/>
  <c r="G4" i="2" s="1"/>
  <c r="H4" i="2" s="1"/>
  <c r="I4" i="2" s="1"/>
  <c r="J4" i="2" s="1"/>
  <c r="K4" i="2" s="1"/>
  <c r="BG3" i="2"/>
  <c r="M3" i="2"/>
  <c r="N3" i="2" s="1"/>
  <c r="O3" i="2" s="1"/>
  <c r="P3" i="2" s="1"/>
  <c r="Q3" i="2" s="1"/>
  <c r="R3" i="2" s="1"/>
  <c r="S3" i="2" s="1"/>
  <c r="T3" i="2" s="1"/>
  <c r="U3" i="2" s="1"/>
  <c r="V3" i="2" s="1"/>
  <c r="W3" i="2" s="1"/>
  <c r="I3" i="2"/>
  <c r="J3" i="2" s="1"/>
  <c r="K3" i="2" s="1"/>
  <c r="L3" i="2" s="1"/>
  <c r="F1" i="2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DH1" i="2" s="1"/>
  <c r="DI1" i="2" s="1"/>
  <c r="DJ1" i="2" s="1"/>
  <c r="DK1" i="2" s="1"/>
  <c r="DL1" i="2" s="1"/>
  <c r="DM1" i="2" s="1"/>
  <c r="DN1" i="2" s="1"/>
  <c r="DO1" i="2" s="1"/>
  <c r="DP1" i="2" s="1"/>
  <c r="DQ1" i="2" s="1"/>
  <c r="DR1" i="2" s="1"/>
  <c r="DS1" i="2" s="1"/>
  <c r="DT1" i="2" s="1"/>
  <c r="DU1" i="2" s="1"/>
  <c r="DV1" i="2" s="1"/>
  <c r="DW1" i="2" s="1"/>
  <c r="DX1" i="2" s="1"/>
  <c r="DY1" i="2" s="1"/>
  <c r="DZ1" i="2" s="1"/>
  <c r="EA1" i="2" s="1"/>
  <c r="EB1" i="2" s="1"/>
  <c r="EC1" i="2" s="1"/>
  <c r="ED1" i="2" s="1"/>
  <c r="EE1" i="2" s="1"/>
  <c r="EF1" i="2" s="1"/>
  <c r="EG1" i="2" s="1"/>
  <c r="EH1" i="2" s="1"/>
  <c r="EI1" i="2" s="1"/>
  <c r="EJ1" i="2" s="1"/>
  <c r="EK1" i="2" s="1"/>
  <c r="EL1" i="2" s="1"/>
  <c r="EM1" i="2" s="1"/>
  <c r="EN1" i="2" s="1"/>
  <c r="EO1" i="2" s="1"/>
  <c r="EP1" i="2" s="1"/>
  <c r="EQ1" i="2" s="1"/>
  <c r="ER1" i="2" s="1"/>
  <c r="ES1" i="2" s="1"/>
  <c r="ET1" i="2" s="1"/>
  <c r="EU1" i="2" s="1"/>
  <c r="EV1" i="2" s="1"/>
  <c r="EW1" i="2" s="1"/>
  <c r="EX1" i="2" s="1"/>
  <c r="EY1" i="2" s="1"/>
  <c r="EZ1" i="2" s="1"/>
  <c r="FA1" i="2" s="1"/>
  <c r="FB1" i="2" s="1"/>
  <c r="FC1" i="2" s="1"/>
  <c r="FD1" i="2" s="1"/>
  <c r="FE1" i="2" s="1"/>
  <c r="FF1" i="2" s="1"/>
  <c r="FG1" i="2" s="1"/>
  <c r="FH1" i="2" s="1"/>
  <c r="FI1" i="2" s="1"/>
  <c r="FJ1" i="2" s="1"/>
  <c r="FK1" i="2" s="1"/>
  <c r="FL1" i="2" s="1"/>
  <c r="FM1" i="2" s="1"/>
  <c r="FN1" i="2" s="1"/>
  <c r="FO1" i="2" s="1"/>
  <c r="FP1" i="2" s="1"/>
  <c r="FQ1" i="2" s="1"/>
  <c r="FR1" i="2" s="1"/>
  <c r="FS1" i="2" s="1"/>
  <c r="FT1" i="2" s="1"/>
  <c r="FU1" i="2" s="1"/>
  <c r="FV1" i="2" s="1"/>
  <c r="FW1" i="2" s="1"/>
  <c r="FX1" i="2" s="1"/>
  <c r="FY1" i="2" s="1"/>
  <c r="FZ1" i="2" s="1"/>
  <c r="GA1" i="2" s="1"/>
  <c r="GB1" i="2" s="1"/>
  <c r="GC1" i="2" s="1"/>
  <c r="GD1" i="2" s="1"/>
  <c r="GE1" i="2" s="1"/>
  <c r="GF1" i="2" s="1"/>
  <c r="GG1" i="2" s="1"/>
  <c r="GH1" i="2" s="1"/>
  <c r="GI1" i="2" s="1"/>
  <c r="GJ1" i="2" s="1"/>
  <c r="GK1" i="2" s="1"/>
  <c r="GL1" i="2" s="1"/>
  <c r="GM1" i="2" s="1"/>
  <c r="GN1" i="2" s="1"/>
  <c r="GO1" i="2" s="1"/>
  <c r="GP1" i="2" s="1"/>
  <c r="GQ1" i="2" s="1"/>
  <c r="GR1" i="2" s="1"/>
  <c r="GS1" i="2" s="1"/>
  <c r="GT1" i="2" s="1"/>
  <c r="GU1" i="2" s="1"/>
  <c r="GV1" i="2" s="1"/>
  <c r="GW1" i="2" s="1"/>
  <c r="GX1" i="2" s="1"/>
  <c r="GY1" i="2" s="1"/>
  <c r="GZ1" i="2" s="1"/>
  <c r="HA1" i="2" s="1"/>
  <c r="HB1" i="2" s="1"/>
  <c r="HC1" i="2" s="1"/>
  <c r="E4" i="1"/>
  <c r="F4" i="1" s="1"/>
  <c r="G4" i="1" s="1"/>
  <c r="H4" i="1" s="1"/>
  <c r="I4" i="1" s="1"/>
  <c r="J4" i="1" s="1"/>
  <c r="D4" i="1"/>
  <c r="D36" i="2"/>
  <c r="D32" i="2"/>
  <c r="D29" i="2"/>
  <c r="D42" i="2"/>
  <c r="D39" i="2"/>
  <c r="D30" i="2"/>
  <c r="D37" i="2"/>
  <c r="D41" i="2"/>
  <c r="C44" i="2"/>
  <c r="D38" i="2"/>
  <c r="D44" i="2"/>
  <c r="D31" i="2"/>
  <c r="D40" i="2"/>
  <c r="D28" i="2"/>
  <c r="D27" i="2"/>
  <c r="D34" i="2"/>
  <c r="D35" i="2"/>
  <c r="D43" i="2"/>
  <c r="D33" i="2"/>
  <c r="I68" i="3" l="1"/>
  <c r="I55" i="13" s="1"/>
  <c r="J65" i="3"/>
  <c r="I54" i="14" s="1"/>
  <c r="C68" i="3"/>
  <c r="I55" i="7" s="1"/>
  <c r="G68" i="3"/>
  <c r="E68" i="3"/>
  <c r="I55" i="9" s="1"/>
  <c r="K68" i="3"/>
  <c r="I55" i="15" s="1"/>
  <c r="F39" i="3"/>
  <c r="I48" i="10" s="1"/>
  <c r="E17" i="4"/>
  <c r="D72" i="3"/>
  <c r="E23" i="4"/>
  <c r="C28" i="2"/>
  <c r="C30" i="2"/>
  <c r="C27" i="2"/>
  <c r="C29" i="2"/>
  <c r="C31" i="2"/>
  <c r="EM5" i="2"/>
  <c r="DV5" i="2"/>
  <c r="DE5" i="2"/>
  <c r="GL5" i="2"/>
  <c r="CN5" i="2"/>
  <c r="FU5" i="2"/>
  <c r="BW5" i="2"/>
  <c r="FD5" i="2"/>
  <c r="BF5" i="2"/>
  <c r="H29" i="7"/>
  <c r="H47" i="7"/>
  <c r="D14" i="4"/>
  <c r="C63" i="3"/>
  <c r="C60" i="3"/>
  <c r="I98" i="7" s="1"/>
  <c r="H29" i="9"/>
  <c r="I29" i="9" s="1"/>
  <c r="H47" i="9"/>
  <c r="D16" i="4"/>
  <c r="E63" i="3"/>
  <c r="E60" i="3"/>
  <c r="I98" i="9" s="1"/>
  <c r="H47" i="15"/>
  <c r="H29" i="15"/>
  <c r="I29" i="15" s="1"/>
  <c r="D22" i="4"/>
  <c r="K63" i="3"/>
  <c r="K60" i="3"/>
  <c r="I98" i="15" s="1"/>
  <c r="H47" i="17"/>
  <c r="H29" i="17"/>
  <c r="D24" i="4"/>
  <c r="M63" i="3"/>
  <c r="B12" i="19"/>
  <c r="B13" i="18"/>
  <c r="B13" i="17"/>
  <c r="B13" i="16"/>
  <c r="B13" i="15"/>
  <c r="B2" i="14"/>
  <c r="B2" i="13"/>
  <c r="B2" i="18"/>
  <c r="B2" i="17"/>
  <c r="B2" i="15"/>
  <c r="B13" i="14"/>
  <c r="B13" i="13"/>
  <c r="B2" i="16"/>
  <c r="B13" i="10"/>
  <c r="B2" i="12"/>
  <c r="B2" i="11"/>
  <c r="B2" i="10"/>
  <c r="B13" i="12"/>
  <c r="B13" i="11"/>
  <c r="B2" i="9"/>
  <c r="B13" i="7"/>
  <c r="B2" i="8"/>
  <c r="B13" i="9"/>
  <c r="B2" i="7"/>
  <c r="B13" i="8"/>
  <c r="C12" i="4"/>
  <c r="B83" i="3"/>
  <c r="C173" i="19"/>
  <c r="C75" i="19"/>
  <c r="C47" i="19"/>
  <c r="C19" i="19"/>
  <c r="C145" i="19"/>
  <c r="C117" i="19"/>
  <c r="C89" i="19"/>
  <c r="C159" i="19"/>
  <c r="C61" i="19"/>
  <c r="C33" i="19"/>
  <c r="C131" i="19"/>
  <c r="C103" i="19"/>
  <c r="I27" i="12"/>
  <c r="B3" i="12"/>
  <c r="C19" i="4"/>
  <c r="C179" i="19"/>
  <c r="C81" i="19"/>
  <c r="C53" i="19"/>
  <c r="C25" i="19"/>
  <c r="C151" i="19"/>
  <c r="C123" i="19"/>
  <c r="C95" i="19"/>
  <c r="C165" i="19"/>
  <c r="C67" i="19"/>
  <c r="C39" i="19"/>
  <c r="C137" i="19"/>
  <c r="C109" i="19"/>
  <c r="I27" i="18"/>
  <c r="B3" i="18"/>
  <c r="C25" i="4"/>
  <c r="I10" i="12"/>
  <c r="G78" i="3"/>
  <c r="J103" i="11" s="1"/>
  <c r="G77" i="3"/>
  <c r="J102" i="11" s="1"/>
  <c r="G76" i="3"/>
  <c r="J104" i="11" s="1"/>
  <c r="H61" i="3"/>
  <c r="I100" i="12" s="1"/>
  <c r="H36" i="3"/>
  <c r="I31" i="12" s="1"/>
  <c r="N36" i="3"/>
  <c r="I31" i="18" s="1"/>
  <c r="G50" i="7"/>
  <c r="C41" i="3"/>
  <c r="I50" i="7" s="1"/>
  <c r="J50" i="7" s="1"/>
  <c r="C44" i="3"/>
  <c r="I49" i="7" s="1"/>
  <c r="D41" i="3"/>
  <c r="I50" i="8" s="1"/>
  <c r="J50" i="8" s="1"/>
  <c r="M41" i="3"/>
  <c r="I50" i="17" s="1"/>
  <c r="H49" i="3"/>
  <c r="H56" i="3" s="1"/>
  <c r="H84" i="3" s="1"/>
  <c r="H91" i="3" s="1"/>
  <c r="H47" i="8"/>
  <c r="H29" i="8"/>
  <c r="D15" i="4"/>
  <c r="H47" i="14"/>
  <c r="H29" i="14"/>
  <c r="D21" i="4"/>
  <c r="H47" i="18"/>
  <c r="H29" i="18"/>
  <c r="I29" i="18" s="1"/>
  <c r="N63" i="3"/>
  <c r="D60" i="3"/>
  <c r="I98" i="8" s="1"/>
  <c r="M60" i="3"/>
  <c r="I98" i="17" s="1"/>
  <c r="J61" i="3"/>
  <c r="I100" i="14" s="1"/>
  <c r="D63" i="3"/>
  <c r="J75" i="3"/>
  <c r="I96" i="14" s="1"/>
  <c r="J76" i="3"/>
  <c r="J104" i="14" s="1"/>
  <c r="J77" i="3"/>
  <c r="J102" i="14" s="1"/>
  <c r="J78" i="3"/>
  <c r="J103" i="14" s="1"/>
  <c r="D25" i="4"/>
  <c r="C154" i="19"/>
  <c r="C56" i="19"/>
  <c r="C28" i="19"/>
  <c r="C126" i="19"/>
  <c r="C98" i="19"/>
  <c r="C168" i="19"/>
  <c r="C70" i="19"/>
  <c r="C42" i="19"/>
  <c r="C14" i="19"/>
  <c r="C140" i="19"/>
  <c r="C112" i="19"/>
  <c r="C84" i="19"/>
  <c r="I27" i="7"/>
  <c r="B3" i="7"/>
  <c r="C14" i="4"/>
  <c r="C160" i="19"/>
  <c r="C62" i="19"/>
  <c r="C34" i="19"/>
  <c r="C132" i="19"/>
  <c r="C104" i="19"/>
  <c r="C174" i="19"/>
  <c r="C76" i="19"/>
  <c r="C48" i="19"/>
  <c r="C20" i="19"/>
  <c r="C146" i="19"/>
  <c r="C118" i="19"/>
  <c r="C90" i="19"/>
  <c r="I27" i="13"/>
  <c r="B3" i="13"/>
  <c r="C20" i="4"/>
  <c r="E78" i="3"/>
  <c r="J103" i="9" s="1"/>
  <c r="E77" i="3"/>
  <c r="J102" i="9" s="1"/>
  <c r="C78" i="3"/>
  <c r="J103" i="7" s="1"/>
  <c r="C77" i="3"/>
  <c r="J102" i="7" s="1"/>
  <c r="C76" i="3"/>
  <c r="J104" i="7" s="1"/>
  <c r="C75" i="3"/>
  <c r="I96" i="7" s="1"/>
  <c r="I10" i="13"/>
  <c r="I78" i="3"/>
  <c r="J103" i="13" s="1"/>
  <c r="I77" i="3"/>
  <c r="J102" i="13" s="1"/>
  <c r="I76" i="3"/>
  <c r="J104" i="13" s="1"/>
  <c r="I75" i="3"/>
  <c r="I96" i="13" s="1"/>
  <c r="C36" i="3"/>
  <c r="I31" i="7" s="1"/>
  <c r="I36" i="3"/>
  <c r="I31" i="13" s="1"/>
  <c r="I29" i="7"/>
  <c r="C39" i="3"/>
  <c r="I48" i="7" s="1"/>
  <c r="F41" i="3"/>
  <c r="I50" i="10" s="1"/>
  <c r="N41" i="3"/>
  <c r="I50" i="18" s="1"/>
  <c r="D44" i="3"/>
  <c r="I49" i="8" s="1"/>
  <c r="I49" i="3"/>
  <c r="I56" i="3" s="1"/>
  <c r="I84" i="3" s="1"/>
  <c r="I91" i="3" s="1"/>
  <c r="H47" i="11"/>
  <c r="H29" i="11"/>
  <c r="I29" i="11" s="1"/>
  <c r="J47" i="11" s="1"/>
  <c r="D18" i="4"/>
  <c r="C61" i="3"/>
  <c r="I100" i="7" s="1"/>
  <c r="L75" i="3"/>
  <c r="I96" i="16" s="1"/>
  <c r="L76" i="3"/>
  <c r="J104" i="16" s="1"/>
  <c r="L77" i="3"/>
  <c r="J102" i="16" s="1"/>
  <c r="L78" i="3"/>
  <c r="J103" i="16" s="1"/>
  <c r="I17" i="11"/>
  <c r="E18" i="4"/>
  <c r="I17" i="17"/>
  <c r="E24" i="4"/>
  <c r="F67" i="5"/>
  <c r="F70" i="5"/>
  <c r="F73" i="5"/>
  <c r="F76" i="5"/>
  <c r="F79" i="5"/>
  <c r="F82" i="5"/>
  <c r="F85" i="5"/>
  <c r="F88" i="5"/>
  <c r="C169" i="19"/>
  <c r="C71" i="19"/>
  <c r="C43" i="19"/>
  <c r="C15" i="19"/>
  <c r="C141" i="19"/>
  <c r="C113" i="19"/>
  <c r="C85" i="19"/>
  <c r="C155" i="19"/>
  <c r="C57" i="19"/>
  <c r="C29" i="19"/>
  <c r="C127" i="19"/>
  <c r="C99" i="19"/>
  <c r="I27" i="8"/>
  <c r="B3" i="8"/>
  <c r="D49" i="3"/>
  <c r="D56" i="3" s="1"/>
  <c r="D84" i="3" s="1"/>
  <c r="D91" i="3" s="1"/>
  <c r="C15" i="4"/>
  <c r="C175" i="19"/>
  <c r="C77" i="19"/>
  <c r="C49" i="19"/>
  <c r="C21" i="19"/>
  <c r="C147" i="19"/>
  <c r="C119" i="19"/>
  <c r="C91" i="19"/>
  <c r="C161" i="19"/>
  <c r="C63" i="19"/>
  <c r="C35" i="19"/>
  <c r="C133" i="19"/>
  <c r="C105" i="19"/>
  <c r="I27" i="14"/>
  <c r="B3" i="14"/>
  <c r="J49" i="3"/>
  <c r="J56" i="3" s="1"/>
  <c r="J84" i="3" s="1"/>
  <c r="J91" i="3" s="1"/>
  <c r="C21" i="4"/>
  <c r="I10" i="8"/>
  <c r="I10" i="7"/>
  <c r="I10" i="9"/>
  <c r="D36" i="3"/>
  <c r="I31" i="8" s="1"/>
  <c r="J36" i="3"/>
  <c r="I31" i="14" s="1"/>
  <c r="I29" i="8"/>
  <c r="I29" i="14"/>
  <c r="D39" i="3"/>
  <c r="I48" i="8" s="1"/>
  <c r="G41" i="3"/>
  <c r="I50" i="11" s="1"/>
  <c r="E44" i="3"/>
  <c r="I49" i="9" s="1"/>
  <c r="H29" i="10"/>
  <c r="I29" i="10" s="1"/>
  <c r="J47" i="10" s="1"/>
  <c r="H47" i="10"/>
  <c r="F63" i="3"/>
  <c r="F60" i="3"/>
  <c r="I98" i="10" s="1"/>
  <c r="D17" i="4"/>
  <c r="H47" i="16"/>
  <c r="H29" i="16"/>
  <c r="I29" i="16" s="1"/>
  <c r="L63" i="3"/>
  <c r="L60" i="3"/>
  <c r="D23" i="4"/>
  <c r="N61" i="3"/>
  <c r="I100" i="18" s="1"/>
  <c r="N60" i="3"/>
  <c r="H47" i="12"/>
  <c r="H29" i="12"/>
  <c r="I29" i="12" s="1"/>
  <c r="H63" i="3"/>
  <c r="H60" i="3"/>
  <c r="I98" i="12" s="1"/>
  <c r="G60" i="3"/>
  <c r="I98" i="11" s="1"/>
  <c r="D61" i="3"/>
  <c r="I100" i="8" s="1"/>
  <c r="M61" i="3"/>
  <c r="I100" i="17" s="1"/>
  <c r="G63" i="3"/>
  <c r="D65" i="3"/>
  <c r="I54" i="8" s="1"/>
  <c r="J68" i="3"/>
  <c r="I55" i="14" s="1"/>
  <c r="E73" i="3"/>
  <c r="N75" i="3"/>
  <c r="I96" i="18" s="1"/>
  <c r="N76" i="3"/>
  <c r="J104" i="18" s="1"/>
  <c r="N77" i="3"/>
  <c r="J102" i="18" s="1"/>
  <c r="C156" i="19"/>
  <c r="C58" i="19"/>
  <c r="C30" i="19"/>
  <c r="C128" i="19"/>
  <c r="C100" i="19"/>
  <c r="C170" i="19"/>
  <c r="C72" i="19"/>
  <c r="C44" i="19"/>
  <c r="C16" i="19"/>
  <c r="C142" i="19"/>
  <c r="C114" i="19"/>
  <c r="C86" i="19"/>
  <c r="I27" i="9"/>
  <c r="B3" i="9"/>
  <c r="C16" i="4"/>
  <c r="C162" i="19"/>
  <c r="C64" i="19"/>
  <c r="C36" i="19"/>
  <c r="C134" i="19"/>
  <c r="C106" i="19"/>
  <c r="C176" i="19"/>
  <c r="C78" i="19"/>
  <c r="C50" i="19"/>
  <c r="C22" i="19"/>
  <c r="C148" i="19"/>
  <c r="C120" i="19"/>
  <c r="C92" i="19"/>
  <c r="B3" i="15"/>
  <c r="I27" i="15"/>
  <c r="C22" i="4"/>
  <c r="I10" i="10"/>
  <c r="E76" i="3"/>
  <c r="J104" i="9" s="1"/>
  <c r="E75" i="3"/>
  <c r="I96" i="9" s="1"/>
  <c r="I10" i="15"/>
  <c r="K78" i="3"/>
  <c r="J103" i="15" s="1"/>
  <c r="K77" i="3"/>
  <c r="J102" i="15" s="1"/>
  <c r="K76" i="3"/>
  <c r="J104" i="15" s="1"/>
  <c r="K75" i="3"/>
  <c r="I96" i="15" s="1"/>
  <c r="E36" i="3"/>
  <c r="I31" i="9" s="1"/>
  <c r="K36" i="3"/>
  <c r="I31" i="15" s="1"/>
  <c r="F48" i="9"/>
  <c r="E39" i="3"/>
  <c r="I48" i="9" s="1"/>
  <c r="H41" i="3"/>
  <c r="I50" i="12" s="1"/>
  <c r="I41" i="17"/>
  <c r="I41" i="16"/>
  <c r="I41" i="18"/>
  <c r="I41" i="15"/>
  <c r="I41" i="14"/>
  <c r="I41" i="13"/>
  <c r="I41" i="10"/>
  <c r="I41" i="12"/>
  <c r="I41" i="11"/>
  <c r="I41" i="9"/>
  <c r="F42" i="3"/>
  <c r="G42" i="3" s="1"/>
  <c r="H42" i="3" s="1"/>
  <c r="I42" i="3" s="1"/>
  <c r="J42" i="3" s="1"/>
  <c r="K42" i="3" s="1"/>
  <c r="L42" i="3" s="1"/>
  <c r="M42" i="3" s="1"/>
  <c r="N42" i="3" s="1"/>
  <c r="C49" i="3"/>
  <c r="C56" i="3" s="1"/>
  <c r="C84" i="3" s="1"/>
  <c r="C91" i="3" s="1"/>
  <c r="M49" i="3"/>
  <c r="M56" i="3" s="1"/>
  <c r="M84" i="3" s="1"/>
  <c r="M91" i="3" s="1"/>
  <c r="H47" i="13"/>
  <c r="H29" i="13"/>
  <c r="I29" i="13" s="1"/>
  <c r="D20" i="4"/>
  <c r="F80" i="8"/>
  <c r="I80" i="8" s="1"/>
  <c r="I86" i="8" s="1"/>
  <c r="E57" i="3"/>
  <c r="I60" i="3"/>
  <c r="I98" i="13" s="1"/>
  <c r="E61" i="3"/>
  <c r="I100" i="9" s="1"/>
  <c r="I63" i="3"/>
  <c r="L65" i="3"/>
  <c r="I54" i="16" s="1"/>
  <c r="F65" i="3"/>
  <c r="N65" i="3"/>
  <c r="I54" i="18" s="1"/>
  <c r="H65" i="3"/>
  <c r="I54" i="12" s="1"/>
  <c r="D75" i="3"/>
  <c r="I96" i="8" s="1"/>
  <c r="D76" i="3"/>
  <c r="J104" i="8" s="1"/>
  <c r="D77" i="3"/>
  <c r="J102" i="8" s="1"/>
  <c r="D78" i="3"/>
  <c r="J103" i="8" s="1"/>
  <c r="I176" i="18"/>
  <c r="I176" i="17"/>
  <c r="I179" i="17" s="1"/>
  <c r="I176" i="16"/>
  <c r="I176" i="15"/>
  <c r="I176" i="14"/>
  <c r="I179" i="14" s="1"/>
  <c r="I176" i="13"/>
  <c r="I176" i="12"/>
  <c r="I179" i="12" s="1"/>
  <c r="I176" i="11"/>
  <c r="I179" i="11" s="1"/>
  <c r="I176" i="10"/>
  <c r="I176" i="9"/>
  <c r="I176" i="8"/>
  <c r="I179" i="8" s="1"/>
  <c r="I176" i="7"/>
  <c r="I179" i="7" s="1"/>
  <c r="U56" i="6"/>
  <c r="AA55" i="6"/>
  <c r="X54" i="6"/>
  <c r="F54" i="6"/>
  <c r="I53" i="6"/>
  <c r="O52" i="6"/>
  <c r="U51" i="6"/>
  <c r="X50" i="6"/>
  <c r="F50" i="6"/>
  <c r="L49" i="6"/>
  <c r="R48" i="6"/>
  <c r="X47" i="6"/>
  <c r="F47" i="6"/>
  <c r="L46" i="6"/>
  <c r="O45" i="6"/>
  <c r="R44" i="6"/>
  <c r="X43" i="6"/>
  <c r="F43" i="6"/>
  <c r="L42" i="6"/>
  <c r="R41" i="6"/>
  <c r="X40" i="6"/>
  <c r="F40" i="6"/>
  <c r="I39" i="6"/>
  <c r="F38" i="6"/>
  <c r="L37" i="6"/>
  <c r="R36" i="6"/>
  <c r="X35" i="6"/>
  <c r="F35" i="6"/>
  <c r="F34" i="6"/>
  <c r="R56" i="6"/>
  <c r="U55" i="6"/>
  <c r="U54" i="6"/>
  <c r="AA53" i="6"/>
  <c r="F53" i="6"/>
  <c r="L52" i="6"/>
  <c r="R51" i="6"/>
  <c r="U50" i="6"/>
  <c r="AA49" i="6"/>
  <c r="I49" i="6"/>
  <c r="O48" i="6"/>
  <c r="U47" i="6"/>
  <c r="AA46" i="6"/>
  <c r="I46" i="6"/>
  <c r="L45" i="6"/>
  <c r="O44" i="6"/>
  <c r="U43" i="6"/>
  <c r="AA42" i="6"/>
  <c r="I42" i="6"/>
  <c r="O41" i="6"/>
  <c r="U40" i="6"/>
  <c r="AA39" i="6"/>
  <c r="O56" i="6"/>
  <c r="R55" i="6"/>
  <c r="R54" i="6"/>
  <c r="U53" i="6"/>
  <c r="AA52" i="6"/>
  <c r="I52" i="6"/>
  <c r="O51" i="6"/>
  <c r="R50" i="6"/>
  <c r="X49" i="6"/>
  <c r="F49" i="6"/>
  <c r="L48" i="6"/>
  <c r="R47" i="6"/>
  <c r="X46" i="6"/>
  <c r="F46" i="6"/>
  <c r="I45" i="6"/>
  <c r="L44" i="6"/>
  <c r="R43" i="6"/>
  <c r="X42" i="6"/>
  <c r="F42" i="6"/>
  <c r="L41" i="6"/>
  <c r="R40" i="6"/>
  <c r="U39" i="6"/>
  <c r="AA38" i="6"/>
  <c r="X37" i="6"/>
  <c r="F37" i="6"/>
  <c r="L36" i="6"/>
  <c r="R35" i="6"/>
  <c r="U34" i="6"/>
  <c r="X33" i="6"/>
  <c r="L56" i="6"/>
  <c r="O55" i="6"/>
  <c r="O54" i="6"/>
  <c r="R53" i="6"/>
  <c r="X52" i="6"/>
  <c r="F52" i="6"/>
  <c r="I51" i="6"/>
  <c r="O50" i="6"/>
  <c r="U49" i="6"/>
  <c r="I17" i="7"/>
  <c r="AA56" i="6"/>
  <c r="I56" i="6"/>
  <c r="F55" i="6"/>
  <c r="L54" i="6"/>
  <c r="O53" i="6"/>
  <c r="U52" i="6"/>
  <c r="AA51" i="6"/>
  <c r="F51" i="6"/>
  <c r="L50" i="6"/>
  <c r="R49" i="6"/>
  <c r="X48" i="6"/>
  <c r="F48" i="6"/>
  <c r="L47" i="6"/>
  <c r="R46" i="6"/>
  <c r="U45" i="6"/>
  <c r="AA44" i="6"/>
  <c r="F44" i="6"/>
  <c r="L43" i="6"/>
  <c r="R42" i="6"/>
  <c r="X41" i="6"/>
  <c r="X56" i="6"/>
  <c r="X51" i="6"/>
  <c r="I48" i="6"/>
  <c r="AA45" i="6"/>
  <c r="O43" i="6"/>
  <c r="I41" i="6"/>
  <c r="R39" i="6"/>
  <c r="I38" i="6"/>
  <c r="AA36" i="6"/>
  <c r="AA35" i="6"/>
  <c r="R34" i="6"/>
  <c r="O33" i="6"/>
  <c r="R32" i="6"/>
  <c r="X31" i="6"/>
  <c r="F31" i="6"/>
  <c r="I30" i="6"/>
  <c r="O29" i="6"/>
  <c r="U28" i="6"/>
  <c r="R27" i="6"/>
  <c r="R26" i="6"/>
  <c r="X25" i="6"/>
  <c r="F25" i="6"/>
  <c r="L24" i="6"/>
  <c r="R23" i="6"/>
  <c r="U22" i="6"/>
  <c r="X21" i="6"/>
  <c r="F21" i="6"/>
  <c r="L20" i="6"/>
  <c r="R19" i="6"/>
  <c r="X18" i="6"/>
  <c r="F18" i="6"/>
  <c r="I17" i="6"/>
  <c r="O16" i="6"/>
  <c r="U15" i="6"/>
  <c r="AA14" i="6"/>
  <c r="I14" i="6"/>
  <c r="O13" i="6"/>
  <c r="U12" i="6"/>
  <c r="AA11" i="6"/>
  <c r="I11" i="6"/>
  <c r="O10" i="6"/>
  <c r="U9" i="6"/>
  <c r="AA8" i="6"/>
  <c r="I8" i="6"/>
  <c r="O7" i="6"/>
  <c r="U6" i="6"/>
  <c r="AA5" i="6"/>
  <c r="I5" i="6"/>
  <c r="O4" i="6"/>
  <c r="U3" i="6"/>
  <c r="F56" i="6"/>
  <c r="AA50" i="6"/>
  <c r="AA47" i="6"/>
  <c r="R45" i="6"/>
  <c r="I43" i="6"/>
  <c r="F41" i="6"/>
  <c r="O39" i="6"/>
  <c r="AA37" i="6"/>
  <c r="X36" i="6"/>
  <c r="U35" i="6"/>
  <c r="O34" i="6"/>
  <c r="L33" i="6"/>
  <c r="O32" i="6"/>
  <c r="U31" i="6"/>
  <c r="AA30" i="6"/>
  <c r="F30" i="6"/>
  <c r="L29" i="6"/>
  <c r="R28" i="6"/>
  <c r="O27" i="6"/>
  <c r="O26" i="6"/>
  <c r="U25" i="6"/>
  <c r="AA24" i="6"/>
  <c r="I24" i="6"/>
  <c r="O23" i="6"/>
  <c r="R22" i="6"/>
  <c r="U21" i="6"/>
  <c r="AA20" i="6"/>
  <c r="I20" i="6"/>
  <c r="O19" i="6"/>
  <c r="U18" i="6"/>
  <c r="AA17" i="6"/>
  <c r="F17" i="6"/>
  <c r="L16" i="6"/>
  <c r="R15" i="6"/>
  <c r="X14" i="6"/>
  <c r="F14" i="6"/>
  <c r="L13" i="6"/>
  <c r="R12" i="6"/>
  <c r="X11" i="6"/>
  <c r="F11" i="6"/>
  <c r="L10" i="6"/>
  <c r="R9" i="6"/>
  <c r="X8" i="6"/>
  <c r="F8" i="6"/>
  <c r="L7" i="6"/>
  <c r="R6" i="6"/>
  <c r="X5" i="6"/>
  <c r="F5" i="6"/>
  <c r="L4" i="6"/>
  <c r="R3" i="6"/>
  <c r="AA54" i="6"/>
  <c r="I50" i="6"/>
  <c r="O47" i="6"/>
  <c r="F45" i="6"/>
  <c r="U42" i="6"/>
  <c r="AA40" i="6"/>
  <c r="L39" i="6"/>
  <c r="U37" i="6"/>
  <c r="U36" i="6"/>
  <c r="O35" i="6"/>
  <c r="I34" i="6"/>
  <c r="I33" i="6"/>
  <c r="L32" i="6"/>
  <c r="R31" i="6"/>
  <c r="U30" i="6"/>
  <c r="AA29" i="6"/>
  <c r="I29" i="6"/>
  <c r="I28" i="6"/>
  <c r="L27" i="6"/>
  <c r="L26" i="6"/>
  <c r="R25" i="6"/>
  <c r="X24" i="6"/>
  <c r="F24" i="6"/>
  <c r="L23" i="6"/>
  <c r="O22" i="6"/>
  <c r="R21" i="6"/>
  <c r="X20" i="6"/>
  <c r="F20" i="6"/>
  <c r="L19" i="6"/>
  <c r="R18" i="6"/>
  <c r="U17" i="6"/>
  <c r="AA16" i="6"/>
  <c r="I16" i="6"/>
  <c r="O15" i="6"/>
  <c r="U14" i="6"/>
  <c r="AA13" i="6"/>
  <c r="I13" i="6"/>
  <c r="O12" i="6"/>
  <c r="U11" i="6"/>
  <c r="AA10" i="6"/>
  <c r="I10" i="6"/>
  <c r="O9" i="6"/>
  <c r="U8" i="6"/>
  <c r="AA7" i="6"/>
  <c r="I7" i="6"/>
  <c r="O6" i="6"/>
  <c r="U5" i="6"/>
  <c r="AA4" i="6"/>
  <c r="I4" i="6"/>
  <c r="O3" i="6"/>
  <c r="I54" i="6"/>
  <c r="O49" i="6"/>
  <c r="I47" i="6"/>
  <c r="U44" i="6"/>
  <c r="O42" i="6"/>
  <c r="O40" i="6"/>
  <c r="F39" i="6"/>
  <c r="R37" i="6"/>
  <c r="O36" i="6"/>
  <c r="L35" i="6"/>
  <c r="AA33" i="6"/>
  <c r="F33" i="6"/>
  <c r="I32" i="6"/>
  <c r="O31" i="6"/>
  <c r="R30" i="6"/>
  <c r="X29" i="6"/>
  <c r="F29" i="6"/>
  <c r="AA27" i="6"/>
  <c r="AA26" i="6"/>
  <c r="I26" i="6"/>
  <c r="O25" i="6"/>
  <c r="U24" i="6"/>
  <c r="AA23" i="6"/>
  <c r="I23" i="6"/>
  <c r="I22" i="6"/>
  <c r="O21" i="6"/>
  <c r="U20" i="6"/>
  <c r="AA19" i="6"/>
  <c r="I19" i="6"/>
  <c r="O18" i="6"/>
  <c r="R17" i="6"/>
  <c r="X16" i="6"/>
  <c r="F16" i="6"/>
  <c r="L15" i="6"/>
  <c r="R14" i="6"/>
  <c r="X13" i="6"/>
  <c r="F13" i="6"/>
  <c r="L12" i="6"/>
  <c r="R11" i="6"/>
  <c r="X10" i="6"/>
  <c r="F10" i="6"/>
  <c r="L9" i="6"/>
  <c r="R8" i="6"/>
  <c r="X7" i="6"/>
  <c r="F7" i="6"/>
  <c r="L6" i="6"/>
  <c r="R5" i="6"/>
  <c r="X4" i="6"/>
  <c r="F4" i="6"/>
  <c r="L3" i="6"/>
  <c r="L53" i="6"/>
  <c r="G57" i="5" s="1"/>
  <c r="F57" i="5" s="1"/>
  <c r="AA48" i="6"/>
  <c r="U46" i="6"/>
  <c r="I44" i="6"/>
  <c r="AA41" i="6"/>
  <c r="L40" i="6"/>
  <c r="X38" i="6"/>
  <c r="O37" i="6"/>
  <c r="I36" i="6"/>
  <c r="I35" i="6"/>
  <c r="U33" i="6"/>
  <c r="AA32" i="6"/>
  <c r="F32" i="6"/>
  <c r="L31" i="6"/>
  <c r="O30" i="6"/>
  <c r="U29" i="6"/>
  <c r="AA28" i="6"/>
  <c r="X27" i="6"/>
  <c r="X26" i="6"/>
  <c r="F26" i="6"/>
  <c r="L25" i="6"/>
  <c r="G29" i="5" s="1"/>
  <c r="F29" i="5" s="1"/>
  <c r="R24" i="6"/>
  <c r="X23" i="6"/>
  <c r="F23" i="6"/>
  <c r="F22" i="6"/>
  <c r="L21" i="6"/>
  <c r="R20" i="6"/>
  <c r="X19" i="6"/>
  <c r="F19" i="6"/>
  <c r="L18" i="6"/>
  <c r="O17" i="6"/>
  <c r="U16" i="6"/>
  <c r="AA15" i="6"/>
  <c r="I15" i="6"/>
  <c r="O14" i="6"/>
  <c r="U13" i="6"/>
  <c r="AA12" i="6"/>
  <c r="I12" i="6"/>
  <c r="O11" i="6"/>
  <c r="U10" i="6"/>
  <c r="AA9" i="6"/>
  <c r="I9" i="6"/>
  <c r="O8" i="6"/>
  <c r="U7" i="6"/>
  <c r="AA6" i="6"/>
  <c r="I6" i="6"/>
  <c r="O5" i="6"/>
  <c r="U4" i="6"/>
  <c r="AA3" i="6"/>
  <c r="I3" i="6"/>
  <c r="R52" i="6"/>
  <c r="U48" i="6"/>
  <c r="O46" i="6"/>
  <c r="AA43" i="6"/>
  <c r="U41" i="6"/>
  <c r="I40" i="6"/>
  <c r="O38" i="6"/>
  <c r="I37" i="6"/>
  <c r="F36" i="6"/>
  <c r="AA34" i="6"/>
  <c r="R33" i="6"/>
  <c r="U32" i="6"/>
  <c r="AA31" i="6"/>
  <c r="I31" i="6"/>
  <c r="L30" i="6"/>
  <c r="R29" i="6"/>
  <c r="X28" i="6"/>
  <c r="U27" i="6"/>
  <c r="U26" i="6"/>
  <c r="AA25" i="6"/>
  <c r="I25" i="6"/>
  <c r="O24" i="6"/>
  <c r="U23" i="6"/>
  <c r="AA22" i="6"/>
  <c r="AA21" i="6"/>
  <c r="I21" i="6"/>
  <c r="O20" i="6"/>
  <c r="U19" i="6"/>
  <c r="AA18" i="6"/>
  <c r="I18" i="6"/>
  <c r="L17" i="6"/>
  <c r="G21" i="5" s="1"/>
  <c r="F21" i="5" s="1"/>
  <c r="R16" i="6"/>
  <c r="X15" i="6"/>
  <c r="F15" i="6"/>
  <c r="L14" i="6"/>
  <c r="G18" i="5" s="1"/>
  <c r="F18" i="5" s="1"/>
  <c r="R13" i="6"/>
  <c r="X12" i="6"/>
  <c r="F12" i="6"/>
  <c r="L11" i="6"/>
  <c r="R10" i="6"/>
  <c r="X9" i="6"/>
  <c r="F9" i="6"/>
  <c r="L8" i="6"/>
  <c r="G12" i="5" s="1"/>
  <c r="F12" i="5" s="1"/>
  <c r="R7" i="6"/>
  <c r="X6" i="6"/>
  <c r="F6" i="6"/>
  <c r="L5" i="6"/>
  <c r="G9" i="5" s="1"/>
  <c r="F9" i="5" s="1"/>
  <c r="R4" i="6"/>
  <c r="X3" i="6"/>
  <c r="F3" i="6"/>
  <c r="I20" i="13"/>
  <c r="H203" i="13"/>
  <c r="I11" i="8"/>
  <c r="J15" i="4"/>
  <c r="E94" i="3"/>
  <c r="E14" i="4"/>
  <c r="F68" i="5"/>
  <c r="F71" i="5"/>
  <c r="F74" i="5"/>
  <c r="F77" i="5"/>
  <c r="F80" i="5"/>
  <c r="F83" i="5"/>
  <c r="F86" i="5"/>
  <c r="F89" i="5"/>
  <c r="C171" i="19"/>
  <c r="C73" i="19"/>
  <c r="C45" i="19"/>
  <c r="C17" i="19"/>
  <c r="C143" i="19"/>
  <c r="C115" i="19"/>
  <c r="C87" i="19"/>
  <c r="C157" i="19"/>
  <c r="C59" i="19"/>
  <c r="C31" i="19"/>
  <c r="C129" i="19"/>
  <c r="C101" i="19"/>
  <c r="I27" i="10"/>
  <c r="B3" i="10"/>
  <c r="C17" i="4"/>
  <c r="F49" i="3"/>
  <c r="F56" i="3" s="1"/>
  <c r="F84" i="3" s="1"/>
  <c r="F91" i="3" s="1"/>
  <c r="C177" i="19"/>
  <c r="C79" i="19"/>
  <c r="C51" i="19"/>
  <c r="C23" i="19"/>
  <c r="C149" i="19"/>
  <c r="C121" i="19"/>
  <c r="C93" i="19"/>
  <c r="C163" i="19"/>
  <c r="C65" i="19"/>
  <c r="C37" i="19"/>
  <c r="C135" i="19"/>
  <c r="C107" i="19"/>
  <c r="I27" i="16"/>
  <c r="B3" i="16"/>
  <c r="C23" i="4"/>
  <c r="L49" i="3"/>
  <c r="L56" i="3" s="1"/>
  <c r="L84" i="3" s="1"/>
  <c r="L91" i="3" s="1"/>
  <c r="I10" i="11"/>
  <c r="F61" i="3"/>
  <c r="I100" i="10" s="1"/>
  <c r="I10" i="16"/>
  <c r="M78" i="3"/>
  <c r="J103" i="17" s="1"/>
  <c r="M77" i="3"/>
  <c r="J102" i="17" s="1"/>
  <c r="M76" i="3"/>
  <c r="J104" i="17" s="1"/>
  <c r="M75" i="3"/>
  <c r="I96" i="17" s="1"/>
  <c r="L61" i="3"/>
  <c r="I100" i="16" s="1"/>
  <c r="F36" i="3"/>
  <c r="I31" i="10" s="1"/>
  <c r="L36" i="3"/>
  <c r="I31" i="16" s="1"/>
  <c r="I32" i="10"/>
  <c r="G39" i="3"/>
  <c r="I48" i="11" s="1"/>
  <c r="J41" i="3"/>
  <c r="I50" i="14" s="1"/>
  <c r="J50" i="14" s="1"/>
  <c r="E49" i="3"/>
  <c r="E56" i="3" s="1"/>
  <c r="E84" i="3" s="1"/>
  <c r="E91" i="3" s="1"/>
  <c r="N49" i="3"/>
  <c r="N56" i="3" s="1"/>
  <c r="N84" i="3" s="1"/>
  <c r="N91" i="3" s="1"/>
  <c r="J60" i="3"/>
  <c r="I98" i="14" s="1"/>
  <c r="G61" i="3"/>
  <c r="I100" i="11" s="1"/>
  <c r="J63" i="3"/>
  <c r="G65" i="3"/>
  <c r="D68" i="3"/>
  <c r="I55" i="8" s="1"/>
  <c r="F75" i="3"/>
  <c r="I96" i="10" s="1"/>
  <c r="F76" i="3"/>
  <c r="J104" i="10" s="1"/>
  <c r="F77" i="3"/>
  <c r="J102" i="10" s="1"/>
  <c r="F78" i="3"/>
  <c r="J103" i="10" s="1"/>
  <c r="E87" i="3"/>
  <c r="F87" i="3" s="1"/>
  <c r="G87" i="3" s="1"/>
  <c r="H87" i="3" s="1"/>
  <c r="I87" i="3" s="1"/>
  <c r="J87" i="3" s="1"/>
  <c r="K87" i="3" s="1"/>
  <c r="L87" i="3" s="1"/>
  <c r="M87" i="3" s="1"/>
  <c r="N87" i="3" s="1"/>
  <c r="E20" i="4"/>
  <c r="C158" i="19"/>
  <c r="C60" i="19"/>
  <c r="C32" i="19"/>
  <c r="C130" i="19"/>
  <c r="C102" i="19"/>
  <c r="C172" i="19"/>
  <c r="C74" i="19"/>
  <c r="C46" i="19"/>
  <c r="C18" i="19"/>
  <c r="C144" i="19"/>
  <c r="C116" i="19"/>
  <c r="C88" i="19"/>
  <c r="I27" i="11"/>
  <c r="B3" i="11"/>
  <c r="C164" i="19"/>
  <c r="C66" i="19"/>
  <c r="C38" i="19"/>
  <c r="C136" i="19"/>
  <c r="C108" i="19"/>
  <c r="C178" i="19"/>
  <c r="C80" i="19"/>
  <c r="C52" i="19"/>
  <c r="C24" i="19"/>
  <c r="C150" i="19"/>
  <c r="C122" i="19"/>
  <c r="C94" i="19"/>
  <c r="I27" i="17"/>
  <c r="B3" i="17"/>
  <c r="G36" i="3"/>
  <c r="I31" i="11" s="1"/>
  <c r="M36" i="3"/>
  <c r="I31" i="17" s="1"/>
  <c r="I32" i="11"/>
  <c r="I29" i="17"/>
  <c r="H39" i="3"/>
  <c r="I48" i="12" s="1"/>
  <c r="L41" i="3"/>
  <c r="I50" i="16" s="1"/>
  <c r="J50" i="16" s="1"/>
  <c r="G49" i="3"/>
  <c r="G56" i="3" s="1"/>
  <c r="G84" i="3" s="1"/>
  <c r="G91" i="3" s="1"/>
  <c r="H80" i="9"/>
  <c r="F58" i="3"/>
  <c r="I61" i="3"/>
  <c r="I100" i="13" s="1"/>
  <c r="I99" i="9"/>
  <c r="F62" i="3"/>
  <c r="I65" i="3"/>
  <c r="I54" i="13" s="1"/>
  <c r="L68" i="3"/>
  <c r="I55" i="16" s="1"/>
  <c r="F68" i="3"/>
  <c r="N68" i="3"/>
  <c r="I55" i="18" s="1"/>
  <c r="H68" i="3"/>
  <c r="I55" i="12" s="1"/>
  <c r="H75" i="3"/>
  <c r="I96" i="12" s="1"/>
  <c r="H76" i="3"/>
  <c r="J104" i="12" s="1"/>
  <c r="H77" i="3"/>
  <c r="J102" i="12" s="1"/>
  <c r="H78" i="3"/>
  <c r="J103" i="12" s="1"/>
  <c r="H203" i="9"/>
  <c r="H207" i="9" s="1"/>
  <c r="I20" i="9"/>
  <c r="F66" i="5"/>
  <c r="F69" i="5"/>
  <c r="F72" i="5"/>
  <c r="F75" i="5"/>
  <c r="F78" i="5"/>
  <c r="F81" i="5"/>
  <c r="F84" i="5"/>
  <c r="F87" i="5"/>
  <c r="F90" i="5"/>
  <c r="E41" i="3"/>
  <c r="I50" i="9" s="1"/>
  <c r="J50" i="9" s="1"/>
  <c r="K41" i="3"/>
  <c r="I50" i="15" s="1"/>
  <c r="J50" i="15" s="1"/>
  <c r="H203" i="12"/>
  <c r="H207" i="12" s="1"/>
  <c r="I20" i="12"/>
  <c r="H203" i="18"/>
  <c r="H207" i="18" s="1"/>
  <c r="I20" i="18"/>
  <c r="E19" i="4"/>
  <c r="E25" i="4"/>
  <c r="H203" i="8"/>
  <c r="H207" i="8" s="1"/>
  <c r="I20" i="8"/>
  <c r="I20" i="14"/>
  <c r="H203" i="14"/>
  <c r="H207" i="14" s="1"/>
  <c r="H203" i="15"/>
  <c r="H207" i="15" s="1"/>
  <c r="I20" i="15"/>
  <c r="E16" i="4"/>
  <c r="E22" i="4"/>
  <c r="I133" i="7"/>
  <c r="I41" i="3"/>
  <c r="I50" i="13" s="1"/>
  <c r="J50" i="13" s="1"/>
  <c r="H203" i="10"/>
  <c r="H207" i="10" s="1"/>
  <c r="I20" i="10"/>
  <c r="H203" i="16"/>
  <c r="H207" i="16" s="1"/>
  <c r="I20" i="16"/>
  <c r="E15" i="4"/>
  <c r="E21" i="4"/>
  <c r="H213" i="7"/>
  <c r="I179" i="10"/>
  <c r="I201" i="7"/>
  <c r="I179" i="9"/>
  <c r="H207" i="13"/>
  <c r="I201" i="11"/>
  <c r="I179" i="13"/>
  <c r="I179" i="15"/>
  <c r="I201" i="12"/>
  <c r="I201" i="13"/>
  <c r="I179" i="16"/>
  <c r="I201" i="17"/>
  <c r="I179" i="18"/>
  <c r="F182" i="19"/>
  <c r="G42" i="5" l="1"/>
  <c r="F42" i="5" s="1"/>
  <c r="G25" i="5"/>
  <c r="F25" i="5" s="1"/>
  <c r="G35" i="5"/>
  <c r="F35" i="5" s="1"/>
  <c r="G32" i="5"/>
  <c r="F32" i="5" s="1"/>
  <c r="G31" i="5"/>
  <c r="F31" i="5" s="1"/>
  <c r="G59" i="5"/>
  <c r="F59" i="5" s="1"/>
  <c r="G26" i="5"/>
  <c r="F26" i="5" s="1"/>
  <c r="G43" i="5"/>
  <c r="F43" i="5" s="1"/>
  <c r="G10" i="5"/>
  <c r="F10" i="5" s="1"/>
  <c r="G19" i="5"/>
  <c r="F19" i="5" s="1"/>
  <c r="G39" i="5"/>
  <c r="F39" i="5" s="1"/>
  <c r="G27" i="5"/>
  <c r="F27" i="5" s="1"/>
  <c r="G23" i="5"/>
  <c r="F23" i="5" s="1"/>
  <c r="G58" i="5"/>
  <c r="F58" i="5" s="1"/>
  <c r="G38" i="5"/>
  <c r="F38" i="5" s="1"/>
  <c r="G13" i="5"/>
  <c r="F13" i="5" s="1"/>
  <c r="G30" i="5"/>
  <c r="F30" i="5" s="1"/>
  <c r="G52" i="5"/>
  <c r="F52" i="5" s="1"/>
  <c r="G36" i="5"/>
  <c r="F36" i="5" s="1"/>
  <c r="G8" i="5"/>
  <c r="F8" i="5" s="1"/>
  <c r="G17" i="5"/>
  <c r="F17" i="5" s="1"/>
  <c r="G56" i="5"/>
  <c r="F56" i="5" s="1"/>
  <c r="G55" i="5"/>
  <c r="F55" i="5" s="1"/>
  <c r="I98" i="16"/>
  <c r="G49" i="5"/>
  <c r="F49" i="5" s="1"/>
  <c r="G50" i="5"/>
  <c r="F50" i="5" s="1"/>
  <c r="G11" i="5"/>
  <c r="F11" i="5" s="1"/>
  <c r="G20" i="5"/>
  <c r="F20" i="5" s="1"/>
  <c r="G51" i="5"/>
  <c r="F51" i="5" s="1"/>
  <c r="G48" i="5"/>
  <c r="F48" i="5" s="1"/>
  <c r="G28" i="5"/>
  <c r="F28" i="5" s="1"/>
  <c r="G41" i="5"/>
  <c r="F41" i="5" s="1"/>
  <c r="G46" i="5"/>
  <c r="F46" i="5" s="1"/>
  <c r="I98" i="18"/>
  <c r="G24" i="5"/>
  <c r="F24" i="5" s="1"/>
  <c r="G47" i="5"/>
  <c r="F47" i="5" s="1"/>
  <c r="G22" i="5"/>
  <c r="F22" i="5" s="1"/>
  <c r="G44" i="5"/>
  <c r="F44" i="5" s="1"/>
  <c r="G40" i="5"/>
  <c r="F40" i="5" s="1"/>
  <c r="G45" i="5"/>
  <c r="F45" i="5" s="1"/>
  <c r="G15" i="5"/>
  <c r="F15" i="5" s="1"/>
  <c r="G34" i="5"/>
  <c r="F34" i="5" s="1"/>
  <c r="G7" i="5"/>
  <c r="F7" i="5" s="1"/>
  <c r="G16" i="5"/>
  <c r="F16" i="5" s="1"/>
  <c r="G37" i="5"/>
  <c r="F37" i="5" s="1"/>
  <c r="G53" i="5"/>
  <c r="F53" i="5" s="1"/>
  <c r="G14" i="5"/>
  <c r="F14" i="5" s="1"/>
  <c r="G33" i="5"/>
  <c r="F33" i="5" s="1"/>
  <c r="G54" i="5"/>
  <c r="F54" i="5" s="1"/>
  <c r="G60" i="5"/>
  <c r="F60" i="5" s="1"/>
  <c r="I93" i="8"/>
  <c r="E72" i="3"/>
  <c r="I38" i="13"/>
  <c r="I32" i="13"/>
  <c r="J47" i="13"/>
  <c r="I38" i="12"/>
  <c r="I32" i="12"/>
  <c r="J47" i="12"/>
  <c r="J47" i="18"/>
  <c r="I38" i="18"/>
  <c r="I32" i="18"/>
  <c r="C91" i="5"/>
  <c r="I99" i="10"/>
  <c r="J97" i="10" s="1"/>
  <c r="G62" i="3"/>
  <c r="I32" i="16"/>
  <c r="J47" i="16"/>
  <c r="I38" i="16"/>
  <c r="E26" i="4"/>
  <c r="K14" i="4"/>
  <c r="J47" i="9"/>
  <c r="I32" i="9"/>
  <c r="I38" i="9"/>
  <c r="I94" i="9"/>
  <c r="F73" i="3"/>
  <c r="J50" i="11"/>
  <c r="I20" i="17"/>
  <c r="H203" i="17"/>
  <c r="H207" i="17" s="1"/>
  <c r="J50" i="17"/>
  <c r="B203" i="12"/>
  <c r="B17" i="12"/>
  <c r="J97" i="9"/>
  <c r="B17" i="17"/>
  <c r="B203" i="17"/>
  <c r="J48" i="10"/>
  <c r="I92" i="10"/>
  <c r="J49" i="10"/>
  <c r="B203" i="10"/>
  <c r="B17" i="10"/>
  <c r="I11" i="9"/>
  <c r="F94" i="3"/>
  <c r="J16" i="4"/>
  <c r="K16" i="4" s="1"/>
  <c r="B17" i="15"/>
  <c r="B203" i="15"/>
  <c r="I38" i="7"/>
  <c r="I32" i="7"/>
  <c r="J47" i="7"/>
  <c r="B203" i="7"/>
  <c r="B17" i="7"/>
  <c r="J97" i="8"/>
  <c r="J97" i="7"/>
  <c r="J47" i="17"/>
  <c r="I38" i="17"/>
  <c r="I32" i="17"/>
  <c r="I35" i="10"/>
  <c r="I34" i="10"/>
  <c r="J60" i="10" s="1"/>
  <c r="J61" i="10" s="1"/>
  <c r="I39" i="10"/>
  <c r="J53" i="10" s="1"/>
  <c r="I38" i="10"/>
  <c r="I37" i="10"/>
  <c r="I54" i="10" s="1"/>
  <c r="J54" i="10" s="1"/>
  <c r="I36" i="10"/>
  <c r="I51" i="10" s="1"/>
  <c r="J51" i="10" s="1"/>
  <c r="K15" i="4"/>
  <c r="F80" i="9"/>
  <c r="I80" i="9" s="1"/>
  <c r="I86" i="9" s="1"/>
  <c r="F57" i="3"/>
  <c r="J50" i="12"/>
  <c r="I38" i="14"/>
  <c r="I32" i="14"/>
  <c r="J47" i="14"/>
  <c r="H203" i="11"/>
  <c r="H207" i="11" s="1"/>
  <c r="I20" i="11"/>
  <c r="H80" i="10"/>
  <c r="G58" i="3"/>
  <c r="J48" i="11"/>
  <c r="I92" i="11"/>
  <c r="J49" i="11"/>
  <c r="B203" i="11"/>
  <c r="B17" i="11"/>
  <c r="B17" i="16"/>
  <c r="B203" i="16"/>
  <c r="H213" i="8"/>
  <c r="H203" i="7"/>
  <c r="H207" i="7" s="1"/>
  <c r="I20" i="7"/>
  <c r="I133" i="8"/>
  <c r="B203" i="9"/>
  <c r="B17" i="9"/>
  <c r="I38" i="8"/>
  <c r="J47" i="8"/>
  <c r="I32" i="8"/>
  <c r="B203" i="8"/>
  <c r="B17" i="8"/>
  <c r="J50" i="18"/>
  <c r="B17" i="18"/>
  <c r="B203" i="18"/>
  <c r="I34" i="11"/>
  <c r="J60" i="11" s="1"/>
  <c r="J61" i="11" s="1"/>
  <c r="I39" i="11"/>
  <c r="J53" i="11" s="1"/>
  <c r="I38" i="11"/>
  <c r="I37" i="11"/>
  <c r="I54" i="11" s="1"/>
  <c r="J54" i="11" s="1"/>
  <c r="I36" i="11"/>
  <c r="I51" i="11" s="1"/>
  <c r="J51" i="11" s="1"/>
  <c r="I35" i="11"/>
  <c r="J50" i="10"/>
  <c r="B17" i="13"/>
  <c r="B203" i="13"/>
  <c r="I32" i="15"/>
  <c r="I38" i="15"/>
  <c r="J47" i="15"/>
  <c r="B17" i="14"/>
  <c r="B203" i="14"/>
  <c r="C61" i="5" l="1"/>
  <c r="I33" i="11"/>
  <c r="F72" i="3"/>
  <c r="I93" i="9"/>
  <c r="J92" i="9" s="1"/>
  <c r="J106" i="9" s="1"/>
  <c r="J114" i="9" s="1"/>
  <c r="I33" i="10"/>
  <c r="I34" i="7"/>
  <c r="J60" i="7" s="1"/>
  <c r="J61" i="7" s="1"/>
  <c r="I39" i="7"/>
  <c r="J53" i="7" s="1"/>
  <c r="I36" i="7"/>
  <c r="J51" i="7" s="1"/>
  <c r="I11" i="10"/>
  <c r="G94" i="3"/>
  <c r="J17" i="4"/>
  <c r="K17" i="4" s="1"/>
  <c r="J49" i="16"/>
  <c r="I92" i="16"/>
  <c r="J48" i="16"/>
  <c r="I92" i="12"/>
  <c r="J49" i="12"/>
  <c r="J48" i="12"/>
  <c r="J154" i="9"/>
  <c r="J154" i="7"/>
  <c r="J154" i="8"/>
  <c r="H213" i="9"/>
  <c r="I39" i="9"/>
  <c r="J53" i="9" s="1"/>
  <c r="I36" i="9"/>
  <c r="J51" i="9" s="1"/>
  <c r="I36" i="16"/>
  <c r="J51" i="16" s="1"/>
  <c r="I39" i="16"/>
  <c r="J53" i="16" s="1"/>
  <c r="I39" i="12"/>
  <c r="J53" i="12" s="1"/>
  <c r="I36" i="12"/>
  <c r="J51" i="12" s="1"/>
  <c r="I36" i="17"/>
  <c r="J51" i="17" s="1"/>
  <c r="I39" i="17"/>
  <c r="J53" i="17" s="1"/>
  <c r="I92" i="9"/>
  <c r="J48" i="9"/>
  <c r="I33" i="9" s="1"/>
  <c r="J49" i="9"/>
  <c r="I99" i="11"/>
  <c r="J97" i="11" s="1"/>
  <c r="H62" i="3"/>
  <c r="J49" i="15"/>
  <c r="J48" i="15"/>
  <c r="I92" i="15"/>
  <c r="I39" i="8"/>
  <c r="J53" i="8" s="1"/>
  <c r="I34" i="8"/>
  <c r="J60" i="8" s="1"/>
  <c r="J61" i="8" s="1"/>
  <c r="I36" i="8"/>
  <c r="J51" i="8" s="1"/>
  <c r="I92" i="8"/>
  <c r="J49" i="8"/>
  <c r="J48" i="8"/>
  <c r="J92" i="8"/>
  <c r="J106" i="8" s="1"/>
  <c r="J114" i="8" s="1"/>
  <c r="I36" i="15"/>
  <c r="J51" i="15" s="1"/>
  <c r="I39" i="15"/>
  <c r="J53" i="15" s="1"/>
  <c r="E38" i="8"/>
  <c r="I92" i="14"/>
  <c r="J49" i="14"/>
  <c r="J48" i="14"/>
  <c r="J55" i="14" s="1"/>
  <c r="F80" i="10"/>
  <c r="I80" i="10" s="1"/>
  <c r="I86" i="10" s="1"/>
  <c r="G57" i="3"/>
  <c r="I55" i="10"/>
  <c r="J55" i="10" s="1"/>
  <c r="J56" i="10" s="1"/>
  <c r="J52" i="10"/>
  <c r="J58" i="10" s="1"/>
  <c r="I36" i="18"/>
  <c r="J51" i="18" s="1"/>
  <c r="I39" i="18"/>
  <c r="J53" i="18" s="1"/>
  <c r="I92" i="13"/>
  <c r="J49" i="13"/>
  <c r="J48" i="13"/>
  <c r="J55" i="13" s="1"/>
  <c r="I55" i="11"/>
  <c r="J55" i="11" s="1"/>
  <c r="J56" i="11" s="1"/>
  <c r="J52" i="11"/>
  <c r="H80" i="11"/>
  <c r="H58" i="3"/>
  <c r="I39" i="14"/>
  <c r="J53" i="14" s="1"/>
  <c r="I36" i="14"/>
  <c r="J51" i="14" s="1"/>
  <c r="I133" i="9"/>
  <c r="J49" i="17"/>
  <c r="J48" i="17"/>
  <c r="I92" i="17"/>
  <c r="I94" i="10"/>
  <c r="G73" i="3"/>
  <c r="I39" i="13"/>
  <c r="J53" i="13" s="1"/>
  <c r="I36" i="13"/>
  <c r="J51" i="13" s="1"/>
  <c r="J48" i="7"/>
  <c r="I33" i="7" s="1"/>
  <c r="I92" i="7"/>
  <c r="J49" i="7"/>
  <c r="J92" i="7"/>
  <c r="J106" i="7" s="1"/>
  <c r="J114" i="7" s="1"/>
  <c r="J155" i="9"/>
  <c r="J155" i="8"/>
  <c r="J155" i="7"/>
  <c r="J49" i="18"/>
  <c r="I92" i="18"/>
  <c r="J48" i="18"/>
  <c r="I33" i="15" l="1"/>
  <c r="I33" i="18"/>
  <c r="J58" i="11"/>
  <c r="I33" i="12"/>
  <c r="I37" i="12" s="1"/>
  <c r="I33" i="13"/>
  <c r="I37" i="13" s="1"/>
  <c r="I33" i="17"/>
  <c r="I37" i="17" s="1"/>
  <c r="J54" i="17"/>
  <c r="J54" i="15"/>
  <c r="I33" i="16"/>
  <c r="I34" i="16" s="1"/>
  <c r="J60" i="16" s="1"/>
  <c r="J61" i="16" s="1"/>
  <c r="J55" i="17"/>
  <c r="J55" i="7"/>
  <c r="J54" i="7"/>
  <c r="G72" i="3"/>
  <c r="I93" i="10"/>
  <c r="J92" i="10" s="1"/>
  <c r="J106" i="10" s="1"/>
  <c r="J114" i="10" s="1"/>
  <c r="J70" i="10"/>
  <c r="J63" i="10"/>
  <c r="C129" i="10"/>
  <c r="J123" i="10"/>
  <c r="J71" i="10"/>
  <c r="J63" i="11"/>
  <c r="C129" i="11"/>
  <c r="J123" i="11"/>
  <c r="J71" i="11"/>
  <c r="J70" i="11"/>
  <c r="I37" i="15"/>
  <c r="I35" i="15"/>
  <c r="J52" i="15" s="1"/>
  <c r="I34" i="15"/>
  <c r="J60" i="15" s="1"/>
  <c r="J61" i="15" s="1"/>
  <c r="I37" i="9"/>
  <c r="I35" i="9"/>
  <c r="J52" i="9" s="1"/>
  <c r="I34" i="9"/>
  <c r="J60" i="9" s="1"/>
  <c r="J61" i="9" s="1"/>
  <c r="J157" i="8"/>
  <c r="J192" i="8" s="1"/>
  <c r="I99" i="12"/>
  <c r="J97" i="12" s="1"/>
  <c r="I62" i="3"/>
  <c r="J157" i="7"/>
  <c r="J192" i="7" s="1"/>
  <c r="I35" i="12"/>
  <c r="J52" i="12" s="1"/>
  <c r="I37" i="18"/>
  <c r="I35" i="18"/>
  <c r="J52" i="18" s="1"/>
  <c r="I34" i="18"/>
  <c r="J60" i="18" s="1"/>
  <c r="J61" i="18" s="1"/>
  <c r="J157" i="9"/>
  <c r="J192" i="9" s="1"/>
  <c r="J55" i="16"/>
  <c r="J54" i="16"/>
  <c r="F80" i="11"/>
  <c r="I80" i="11" s="1"/>
  <c r="I86" i="11" s="1"/>
  <c r="H57" i="3"/>
  <c r="I94" i="11"/>
  <c r="H73" i="3"/>
  <c r="J54" i="13"/>
  <c r="J56" i="13" s="1"/>
  <c r="I133" i="10"/>
  <c r="J133" i="10" s="1"/>
  <c r="I33" i="14"/>
  <c r="I33" i="8"/>
  <c r="J54" i="8"/>
  <c r="J54" i="9"/>
  <c r="J54" i="12"/>
  <c r="J55" i="12"/>
  <c r="I11" i="11"/>
  <c r="J18" i="4"/>
  <c r="K18" i="4" s="1"/>
  <c r="H94" i="3"/>
  <c r="J54" i="18"/>
  <c r="J55" i="18"/>
  <c r="I35" i="7"/>
  <c r="J52" i="7" s="1"/>
  <c r="I37" i="7"/>
  <c r="H80" i="12"/>
  <c r="I58" i="3"/>
  <c r="J54" i="14"/>
  <c r="J56" i="14" s="1"/>
  <c r="J55" i="15"/>
  <c r="J56" i="15" s="1"/>
  <c r="J55" i="9"/>
  <c r="J121" i="10"/>
  <c r="J122" i="10" s="1"/>
  <c r="H213" i="10"/>
  <c r="J55" i="8"/>
  <c r="I34" i="13" l="1"/>
  <c r="J60" i="13" s="1"/>
  <c r="J61" i="13" s="1"/>
  <c r="I35" i="17"/>
  <c r="J52" i="17" s="1"/>
  <c r="I34" i="12"/>
  <c r="J60" i="12" s="1"/>
  <c r="J61" i="12" s="1"/>
  <c r="I35" i="13"/>
  <c r="J52" i="13" s="1"/>
  <c r="J58" i="13" s="1"/>
  <c r="J56" i="9"/>
  <c r="I34" i="17"/>
  <c r="J60" i="17" s="1"/>
  <c r="J61" i="17" s="1"/>
  <c r="I37" i="16"/>
  <c r="I35" i="16"/>
  <c r="J52" i="16" s="1"/>
  <c r="J119" i="11"/>
  <c r="J120" i="11" s="1"/>
  <c r="J56" i="7"/>
  <c r="J58" i="7" s="1"/>
  <c r="J58" i="9"/>
  <c r="J123" i="9" s="1"/>
  <c r="I93" i="11"/>
  <c r="J92" i="11" s="1"/>
  <c r="J106" i="11" s="1"/>
  <c r="J114" i="11" s="1"/>
  <c r="H72" i="3"/>
  <c r="J56" i="18"/>
  <c r="J58" i="18" s="1"/>
  <c r="J58" i="15"/>
  <c r="J63" i="15" s="1"/>
  <c r="J56" i="17"/>
  <c r="J58" i="17" s="1"/>
  <c r="J70" i="9"/>
  <c r="J188" i="10"/>
  <c r="H80" i="13"/>
  <c r="J58" i="3"/>
  <c r="I133" i="11"/>
  <c r="J133" i="11" s="1"/>
  <c r="J72" i="10"/>
  <c r="I11" i="12"/>
  <c r="I94" i="3"/>
  <c r="J19" i="4"/>
  <c r="K19" i="4" s="1"/>
  <c r="J56" i="8"/>
  <c r="I37" i="8"/>
  <c r="I35" i="8"/>
  <c r="J52" i="8" s="1"/>
  <c r="I99" i="13"/>
  <c r="J97" i="13" s="1"/>
  <c r="J62" i="3"/>
  <c r="J72" i="11"/>
  <c r="H213" i="11"/>
  <c r="J121" i="11"/>
  <c r="J122" i="11" s="1"/>
  <c r="I94" i="12"/>
  <c r="I73" i="3"/>
  <c r="J56" i="12"/>
  <c r="J58" i="12" s="1"/>
  <c r="I37" i="14"/>
  <c r="I35" i="14"/>
  <c r="J52" i="14" s="1"/>
  <c r="J58" i="14" s="1"/>
  <c r="I34" i="14"/>
  <c r="J60" i="14" s="1"/>
  <c r="J61" i="14" s="1"/>
  <c r="F80" i="12"/>
  <c r="I80" i="12" s="1"/>
  <c r="I86" i="12" s="1"/>
  <c r="I57" i="3"/>
  <c r="J56" i="16"/>
  <c r="J188" i="11"/>
  <c r="J119" i="10"/>
  <c r="J58" i="16" l="1"/>
  <c r="J123" i="15"/>
  <c r="J133" i="9"/>
  <c r="C129" i="9"/>
  <c r="J70" i="15"/>
  <c r="J71" i="15"/>
  <c r="J119" i="15" s="1"/>
  <c r="C129" i="7"/>
  <c r="J121" i="7"/>
  <c r="J122" i="7" s="1"/>
  <c r="J63" i="7"/>
  <c r="J121" i="9"/>
  <c r="J122" i="9" s="1"/>
  <c r="J71" i="9"/>
  <c r="J72" i="9" s="1"/>
  <c r="C129" i="15"/>
  <c r="J63" i="9"/>
  <c r="J71" i="17"/>
  <c r="J123" i="17"/>
  <c r="C129" i="17"/>
  <c r="J70" i="17"/>
  <c r="J63" i="17"/>
  <c r="J188" i="17" s="1"/>
  <c r="J123" i="7"/>
  <c r="J70" i="7"/>
  <c r="I93" i="12"/>
  <c r="J92" i="12" s="1"/>
  <c r="J106" i="12" s="1"/>
  <c r="J114" i="12" s="1"/>
  <c r="I72" i="3"/>
  <c r="J71" i="7"/>
  <c r="J133" i="7"/>
  <c r="J124" i="11"/>
  <c r="J137" i="11" s="1"/>
  <c r="J123" i="16"/>
  <c r="J71" i="16"/>
  <c r="J63" i="16"/>
  <c r="J70" i="16"/>
  <c r="C129" i="16"/>
  <c r="J190" i="11"/>
  <c r="J112" i="10"/>
  <c r="J84" i="10"/>
  <c r="J82" i="10"/>
  <c r="J80" i="10"/>
  <c r="J79" i="10"/>
  <c r="J85" i="10"/>
  <c r="J83" i="10"/>
  <c r="J81" i="10"/>
  <c r="J78" i="10"/>
  <c r="H80" i="14"/>
  <c r="K58" i="3"/>
  <c r="J120" i="10"/>
  <c r="J124" i="10" s="1"/>
  <c r="J63" i="12"/>
  <c r="C129" i="12"/>
  <c r="J123" i="12"/>
  <c r="J71" i="12"/>
  <c r="J70" i="12"/>
  <c r="I11" i="13"/>
  <c r="J20" i="4"/>
  <c r="K20" i="4" s="1"/>
  <c r="J94" i="3"/>
  <c r="J63" i="13"/>
  <c r="C129" i="13"/>
  <c r="J123" i="13"/>
  <c r="J71" i="13"/>
  <c r="J70" i="13"/>
  <c r="H213" i="12"/>
  <c r="J121" i="12"/>
  <c r="J122" i="12" s="1"/>
  <c r="J112" i="11"/>
  <c r="J81" i="11"/>
  <c r="J84" i="11"/>
  <c r="J78" i="11"/>
  <c r="J82" i="11"/>
  <c r="J80" i="11"/>
  <c r="J79" i="11"/>
  <c r="J85" i="11"/>
  <c r="J83" i="11"/>
  <c r="I99" i="14"/>
  <c r="J97" i="14" s="1"/>
  <c r="K62" i="3"/>
  <c r="J123" i="18"/>
  <c r="C129" i="18"/>
  <c r="J63" i="18"/>
  <c r="J70" i="18"/>
  <c r="J71" i="18"/>
  <c r="J58" i="8"/>
  <c r="J188" i="15"/>
  <c r="I133" i="12"/>
  <c r="J133" i="12" s="1"/>
  <c r="J63" i="14"/>
  <c r="C129" i="14"/>
  <c r="J123" i="14"/>
  <c r="J71" i="14"/>
  <c r="J70" i="14"/>
  <c r="F80" i="13"/>
  <c r="I80" i="13" s="1"/>
  <c r="I86" i="13" s="1"/>
  <c r="J57" i="3"/>
  <c r="I94" i="13"/>
  <c r="J73" i="3"/>
  <c r="J188" i="9"/>
  <c r="J188" i="7"/>
  <c r="J72" i="15" l="1"/>
  <c r="I129" i="11"/>
  <c r="J119" i="7"/>
  <c r="J72" i="17"/>
  <c r="J84" i="17" s="1"/>
  <c r="J72" i="12"/>
  <c r="J112" i="12" s="1"/>
  <c r="J112" i="9"/>
  <c r="J83" i="9"/>
  <c r="J80" i="9"/>
  <c r="J85" i="9"/>
  <c r="J81" i="9"/>
  <c r="J82" i="9"/>
  <c r="J84" i="9"/>
  <c r="J78" i="9"/>
  <c r="J79" i="9"/>
  <c r="J119" i="14"/>
  <c r="J120" i="14" s="1"/>
  <c r="J72" i="18"/>
  <c r="J112" i="18" s="1"/>
  <c r="J82" i="12"/>
  <c r="J119" i="12"/>
  <c r="J120" i="12" s="1"/>
  <c r="J124" i="12" s="1"/>
  <c r="J119" i="9"/>
  <c r="J120" i="9" s="1"/>
  <c r="J124" i="9" s="1"/>
  <c r="I93" i="13"/>
  <c r="J92" i="13" s="1"/>
  <c r="J106" i="13" s="1"/>
  <c r="J114" i="13" s="1"/>
  <c r="J72" i="3"/>
  <c r="J119" i="13"/>
  <c r="J120" i="13" s="1"/>
  <c r="J72" i="7"/>
  <c r="J80" i="12"/>
  <c r="J119" i="16"/>
  <c r="J120" i="16" s="1"/>
  <c r="J119" i="17"/>
  <c r="J120" i="17" s="1"/>
  <c r="I129" i="10"/>
  <c r="J190" i="10"/>
  <c r="J137" i="10"/>
  <c r="J112" i="17"/>
  <c r="J78" i="17"/>
  <c r="J79" i="17"/>
  <c r="J85" i="17"/>
  <c r="J82" i="17"/>
  <c r="J81" i="17"/>
  <c r="J188" i="13"/>
  <c r="J188" i="16"/>
  <c r="J120" i="15"/>
  <c r="H213" i="13"/>
  <c r="J121" i="13"/>
  <c r="J122" i="13" s="1"/>
  <c r="J112" i="15"/>
  <c r="J81" i="15"/>
  <c r="J83" i="15"/>
  <c r="J78" i="15"/>
  <c r="J82" i="15"/>
  <c r="J85" i="15"/>
  <c r="J84" i="15"/>
  <c r="J79" i="15"/>
  <c r="J119" i="18"/>
  <c r="F80" i="14"/>
  <c r="I80" i="14" s="1"/>
  <c r="I86" i="14" s="1"/>
  <c r="K57" i="3"/>
  <c r="J188" i="18"/>
  <c r="I99" i="15"/>
  <c r="J97" i="15" s="1"/>
  <c r="L62" i="3"/>
  <c r="J78" i="12"/>
  <c r="I94" i="14"/>
  <c r="K73" i="3"/>
  <c r="J72" i="14"/>
  <c r="J63" i="8"/>
  <c r="C129" i="8"/>
  <c r="J133" i="8"/>
  <c r="J123" i="8"/>
  <c r="J71" i="8"/>
  <c r="J70" i="8"/>
  <c r="J121" i="8"/>
  <c r="J122" i="8" s="1"/>
  <c r="J83" i="18"/>
  <c r="J86" i="11"/>
  <c r="J113" i="11" s="1"/>
  <c r="J115" i="11" s="1"/>
  <c r="J84" i="12"/>
  <c r="J81" i="12"/>
  <c r="J188" i="12"/>
  <c r="H80" i="15"/>
  <c r="L58" i="3"/>
  <c r="I133" i="13"/>
  <c r="J133" i="13" s="1"/>
  <c r="J188" i="14"/>
  <c r="J78" i="18"/>
  <c r="J120" i="7"/>
  <c r="J124" i="7" s="1"/>
  <c r="J83" i="12"/>
  <c r="J72" i="16"/>
  <c r="J85" i="18"/>
  <c r="J81" i="18"/>
  <c r="J72" i="13"/>
  <c r="I11" i="14"/>
  <c r="J21" i="4"/>
  <c r="K21" i="4" s="1"/>
  <c r="K94" i="3"/>
  <c r="J85" i="12"/>
  <c r="J79" i="12"/>
  <c r="J86" i="10"/>
  <c r="J113" i="10" s="1"/>
  <c r="J115" i="10" s="1"/>
  <c r="J83" i="17" l="1"/>
  <c r="J86" i="9"/>
  <c r="J113" i="9" s="1"/>
  <c r="J115" i="9" s="1"/>
  <c r="J84" i="18"/>
  <c r="J82" i="18"/>
  <c r="J79" i="18"/>
  <c r="J124" i="13"/>
  <c r="J190" i="13" s="1"/>
  <c r="J112" i="7"/>
  <c r="J85" i="7"/>
  <c r="J83" i="7"/>
  <c r="J79" i="7"/>
  <c r="J81" i="7"/>
  <c r="J80" i="7"/>
  <c r="J82" i="7"/>
  <c r="J78" i="7"/>
  <c r="J84" i="7"/>
  <c r="J119" i="8"/>
  <c r="J120" i="8" s="1"/>
  <c r="J124" i="8" s="1"/>
  <c r="I93" i="14"/>
  <c r="J92" i="14" s="1"/>
  <c r="J106" i="14" s="1"/>
  <c r="J114" i="14" s="1"/>
  <c r="K72" i="3"/>
  <c r="F129" i="11"/>
  <c r="J129" i="11" s="1"/>
  <c r="J189" i="11"/>
  <c r="F129" i="10"/>
  <c r="J129" i="10" s="1"/>
  <c r="J189" i="10"/>
  <c r="J190" i="12"/>
  <c r="I129" i="12"/>
  <c r="J137" i="12"/>
  <c r="I11" i="15"/>
  <c r="L94" i="3"/>
  <c r="J22" i="4"/>
  <c r="K22" i="4" s="1"/>
  <c r="J188" i="8"/>
  <c r="I129" i="9"/>
  <c r="J190" i="9"/>
  <c r="J137" i="9"/>
  <c r="I129" i="7"/>
  <c r="J190" i="7"/>
  <c r="J137" i="7"/>
  <c r="H213" i="14"/>
  <c r="J121" i="14"/>
  <c r="J112" i="16"/>
  <c r="J84" i="16"/>
  <c r="J79" i="16"/>
  <c r="J85" i="16"/>
  <c r="J78" i="16"/>
  <c r="J82" i="16"/>
  <c r="J83" i="16"/>
  <c r="J81" i="16"/>
  <c r="J86" i="12"/>
  <c r="J113" i="12" s="1"/>
  <c r="J115" i="12" s="1"/>
  <c r="F80" i="15"/>
  <c r="I80" i="15" s="1"/>
  <c r="L57" i="3"/>
  <c r="H80" i="16"/>
  <c r="M58" i="3"/>
  <c r="J112" i="14"/>
  <c r="J83" i="14"/>
  <c r="J81" i="14"/>
  <c r="J84" i="14"/>
  <c r="J80" i="14"/>
  <c r="J78" i="14"/>
  <c r="J79" i="14"/>
  <c r="J82" i="14"/>
  <c r="J85" i="14"/>
  <c r="I133" i="14"/>
  <c r="J133" i="14" s="1"/>
  <c r="J189" i="9"/>
  <c r="F129" i="9"/>
  <c r="J112" i="13"/>
  <c r="J78" i="13"/>
  <c r="J82" i="13"/>
  <c r="J80" i="13"/>
  <c r="J79" i="13"/>
  <c r="J85" i="13"/>
  <c r="J83" i="13"/>
  <c r="J81" i="13"/>
  <c r="J84" i="13"/>
  <c r="J72" i="8"/>
  <c r="I94" i="15"/>
  <c r="L73" i="3"/>
  <c r="I99" i="16"/>
  <c r="J97" i="16" s="1"/>
  <c r="M62" i="3"/>
  <c r="J120" i="18"/>
  <c r="I129" i="13" l="1"/>
  <c r="J129" i="9"/>
  <c r="J137" i="13"/>
  <c r="J86" i="7"/>
  <c r="J113" i="7" s="1"/>
  <c r="J115" i="7" s="1"/>
  <c r="I93" i="15"/>
  <c r="J92" i="15" s="1"/>
  <c r="J106" i="15" s="1"/>
  <c r="J114" i="15" s="1"/>
  <c r="L72" i="3"/>
  <c r="J190" i="8"/>
  <c r="I129" i="8"/>
  <c r="J137" i="8"/>
  <c r="I99" i="17"/>
  <c r="J97" i="17" s="1"/>
  <c r="N62" i="3"/>
  <c r="I99" i="18" s="1"/>
  <c r="J97" i="18" s="1"/>
  <c r="J136" i="10"/>
  <c r="J135" i="10"/>
  <c r="J134" i="10"/>
  <c r="J138" i="10"/>
  <c r="F80" i="16"/>
  <c r="I80" i="16" s="1"/>
  <c r="M57" i="3"/>
  <c r="I94" i="16"/>
  <c r="M73" i="3"/>
  <c r="I86" i="15"/>
  <c r="J80" i="15"/>
  <c r="J86" i="15" s="1"/>
  <c r="J113" i="15" s="1"/>
  <c r="J86" i="13"/>
  <c r="J113" i="13" s="1"/>
  <c r="J115" i="13" s="1"/>
  <c r="J86" i="14"/>
  <c r="J113" i="14" s="1"/>
  <c r="J115" i="14" s="1"/>
  <c r="F129" i="12"/>
  <c r="J129" i="12" s="1"/>
  <c r="J189" i="12"/>
  <c r="I11" i="16"/>
  <c r="M94" i="3"/>
  <c r="J23" i="4"/>
  <c r="K23" i="4" s="1"/>
  <c r="J112" i="8"/>
  <c r="J78" i="8"/>
  <c r="J82" i="8"/>
  <c r="J80" i="8"/>
  <c r="J79" i="8"/>
  <c r="J85" i="8"/>
  <c r="J84" i="8"/>
  <c r="J83" i="8"/>
  <c r="J81" i="8"/>
  <c r="J138" i="9"/>
  <c r="J136" i="9"/>
  <c r="J134" i="9"/>
  <c r="J135" i="9"/>
  <c r="J122" i="14"/>
  <c r="J124" i="14" s="1"/>
  <c r="H80" i="17"/>
  <c r="N58" i="3"/>
  <c r="H80" i="18" s="1"/>
  <c r="H213" i="15"/>
  <c r="J121" i="15"/>
  <c r="J135" i="11"/>
  <c r="J134" i="11"/>
  <c r="J138" i="11"/>
  <c r="J136" i="11"/>
  <c r="J86" i="8" l="1"/>
  <c r="J113" i="8" s="1"/>
  <c r="I93" i="16"/>
  <c r="J92" i="16" s="1"/>
  <c r="J106" i="16" s="1"/>
  <c r="J114" i="16" s="1"/>
  <c r="M72" i="3"/>
  <c r="J115" i="15"/>
  <c r="F129" i="15" s="1"/>
  <c r="J139" i="10"/>
  <c r="J148" i="10" s="1"/>
  <c r="J150" i="10" s="1"/>
  <c r="J191" i="10" s="1"/>
  <c r="J193" i="10" s="1"/>
  <c r="F129" i="7"/>
  <c r="J129" i="7" s="1"/>
  <c r="J189" i="7"/>
  <c r="F129" i="13"/>
  <c r="J129" i="13" s="1"/>
  <c r="J189" i="13"/>
  <c r="J190" i="14"/>
  <c r="I129" i="14"/>
  <c r="J137" i="14"/>
  <c r="F80" i="17"/>
  <c r="I80" i="17" s="1"/>
  <c r="N57" i="3"/>
  <c r="F80" i="18" s="1"/>
  <c r="I80" i="18" s="1"/>
  <c r="J115" i="8"/>
  <c r="F129" i="14"/>
  <c r="J189" i="14"/>
  <c r="I86" i="16"/>
  <c r="J80" i="16"/>
  <c r="J86" i="16" s="1"/>
  <c r="J113" i="16" s="1"/>
  <c r="J139" i="9"/>
  <c r="J148" i="9" s="1"/>
  <c r="J150" i="9" s="1"/>
  <c r="J139" i="11"/>
  <c r="J148" i="11" s="1"/>
  <c r="J150" i="11" s="1"/>
  <c r="I11" i="17"/>
  <c r="J24" i="4"/>
  <c r="K24" i="4" s="1"/>
  <c r="N94" i="3"/>
  <c r="I94" i="17"/>
  <c r="N73" i="3"/>
  <c r="I94" i="18" s="1"/>
  <c r="J135" i="12"/>
  <c r="J134" i="12"/>
  <c r="J138" i="12"/>
  <c r="J136" i="12"/>
  <c r="I133" i="15"/>
  <c r="J133" i="15" s="1"/>
  <c r="J122" i="15"/>
  <c r="J124" i="15" s="1"/>
  <c r="J137" i="15" s="1"/>
  <c r="H213" i="16"/>
  <c r="J121" i="16"/>
  <c r="J163" i="10" l="1"/>
  <c r="J164" i="10" s="1"/>
  <c r="J189" i="15"/>
  <c r="J115" i="16"/>
  <c r="J189" i="16" s="1"/>
  <c r="J134" i="7"/>
  <c r="J138" i="7"/>
  <c r="J135" i="7"/>
  <c r="J136" i="7"/>
  <c r="J129" i="14"/>
  <c r="J135" i="14" s="1"/>
  <c r="I93" i="17"/>
  <c r="J92" i="17" s="1"/>
  <c r="J106" i="17" s="1"/>
  <c r="J114" i="17" s="1"/>
  <c r="N72" i="3"/>
  <c r="I93" i="18" s="1"/>
  <c r="J92" i="18" s="1"/>
  <c r="J106" i="18" s="1"/>
  <c r="J114" i="18" s="1"/>
  <c r="J136" i="14"/>
  <c r="J139" i="12"/>
  <c r="J148" i="12" s="1"/>
  <c r="J150" i="12" s="1"/>
  <c r="F129" i="8"/>
  <c r="J129" i="8" s="1"/>
  <c r="J189" i="8"/>
  <c r="I133" i="16"/>
  <c r="J133" i="16" s="1"/>
  <c r="J122" i="16"/>
  <c r="J190" i="15"/>
  <c r="I129" i="15"/>
  <c r="J129" i="15" s="1"/>
  <c r="H213" i="17"/>
  <c r="J121" i="17"/>
  <c r="I86" i="18"/>
  <c r="J80" i="18"/>
  <c r="J86" i="18" s="1"/>
  <c r="J113" i="18" s="1"/>
  <c r="J191" i="11"/>
  <c r="J193" i="11" s="1"/>
  <c r="J163" i="11"/>
  <c r="I86" i="17"/>
  <c r="J80" i="17"/>
  <c r="J86" i="17" s="1"/>
  <c r="J113" i="17" s="1"/>
  <c r="I11" i="18"/>
  <c r="J25" i="4"/>
  <c r="K25" i="4" s="1"/>
  <c r="J124" i="16"/>
  <c r="J191" i="9"/>
  <c r="J193" i="9" s="1"/>
  <c r="J163" i="9"/>
  <c r="J135" i="13"/>
  <c r="J134" i="13"/>
  <c r="J138" i="13"/>
  <c r="J136" i="13"/>
  <c r="F129" i="16" l="1"/>
  <c r="J115" i="18"/>
  <c r="J138" i="14"/>
  <c r="J134" i="14"/>
  <c r="J139" i="14" s="1"/>
  <c r="J148" i="14" s="1"/>
  <c r="J150" i="14" s="1"/>
  <c r="J139" i="13"/>
  <c r="J148" i="13" s="1"/>
  <c r="J150" i="13" s="1"/>
  <c r="J163" i="13" s="1"/>
  <c r="J115" i="17"/>
  <c r="J189" i="17" s="1"/>
  <c r="J139" i="7"/>
  <c r="J148" i="7" s="1"/>
  <c r="J150" i="7" s="1"/>
  <c r="J138" i="15"/>
  <c r="J135" i="15"/>
  <c r="J136" i="15"/>
  <c r="J134" i="15"/>
  <c r="J191" i="12"/>
  <c r="J193" i="12" s="1"/>
  <c r="J163" i="12"/>
  <c r="J135" i="8"/>
  <c r="J134" i="8"/>
  <c r="J138" i="8"/>
  <c r="J136" i="8"/>
  <c r="J165" i="10"/>
  <c r="J166" i="10" s="1"/>
  <c r="J167" i="10" s="1"/>
  <c r="J190" i="16"/>
  <c r="I129" i="16"/>
  <c r="J129" i="16" s="1"/>
  <c r="J189" i="18"/>
  <c r="F129" i="18"/>
  <c r="J164" i="11"/>
  <c r="I133" i="18"/>
  <c r="J133" i="18" s="1"/>
  <c r="J137" i="16"/>
  <c r="H213" i="18"/>
  <c r="J121" i="18"/>
  <c r="I133" i="17"/>
  <c r="J133" i="17" s="1"/>
  <c r="J122" i="17"/>
  <c r="J124" i="17" s="1"/>
  <c r="J164" i="9"/>
  <c r="J191" i="13" l="1"/>
  <c r="J193" i="13" s="1"/>
  <c r="F129" i="17"/>
  <c r="J191" i="7"/>
  <c r="J193" i="7" s="1"/>
  <c r="J163" i="7"/>
  <c r="J164" i="7" s="1"/>
  <c r="J165" i="7" s="1"/>
  <c r="J166" i="7" s="1"/>
  <c r="J139" i="15"/>
  <c r="J148" i="15" s="1"/>
  <c r="J150" i="15" s="1"/>
  <c r="J191" i="15" s="1"/>
  <c r="J193" i="15" s="1"/>
  <c r="I129" i="17"/>
  <c r="J129" i="17" s="1"/>
  <c r="J190" i="17"/>
  <c r="J137" i="17"/>
  <c r="J138" i="16"/>
  <c r="J135" i="16"/>
  <c r="J136" i="16"/>
  <c r="J134" i="16"/>
  <c r="J139" i="16" s="1"/>
  <c r="J148" i="16" s="1"/>
  <c r="J150" i="16" s="1"/>
  <c r="J170" i="10"/>
  <c r="J179" i="10" s="1"/>
  <c r="J176" i="10"/>
  <c r="J171" i="10"/>
  <c r="J164" i="13"/>
  <c r="J122" i="18"/>
  <c r="J124" i="18" s="1"/>
  <c r="J164" i="12"/>
  <c r="J165" i="11"/>
  <c r="J166" i="11" s="1"/>
  <c r="J167" i="11" s="1"/>
  <c r="J165" i="9"/>
  <c r="J166" i="9" s="1"/>
  <c r="J191" i="14"/>
  <c r="J193" i="14" s="1"/>
  <c r="J163" i="14"/>
  <c r="J139" i="8"/>
  <c r="J148" i="8" s="1"/>
  <c r="J150" i="8" s="1"/>
  <c r="J163" i="15" l="1"/>
  <c r="J177" i="10"/>
  <c r="J194" i="10" s="1"/>
  <c r="J195" i="10" s="1"/>
  <c r="J190" i="18"/>
  <c r="I129" i="18"/>
  <c r="J129" i="18" s="1"/>
  <c r="J137" i="18"/>
  <c r="J170" i="11"/>
  <c r="J179" i="11" s="1"/>
  <c r="J176" i="11"/>
  <c r="J171" i="11"/>
  <c r="J167" i="9"/>
  <c r="F203" i="10"/>
  <c r="I203" i="10" s="1"/>
  <c r="I207" i="10" s="1"/>
  <c r="H211" i="10" s="1"/>
  <c r="H215" i="10" s="1"/>
  <c r="G17" i="4"/>
  <c r="H17" i="4" s="1"/>
  <c r="I17" i="4" s="1"/>
  <c r="J191" i="16"/>
  <c r="J193" i="16" s="1"/>
  <c r="J163" i="16"/>
  <c r="J165" i="13"/>
  <c r="J166" i="13" s="1"/>
  <c r="J167" i="13" s="1"/>
  <c r="J164" i="15"/>
  <c r="J167" i="7"/>
  <c r="J164" i="14"/>
  <c r="J138" i="17"/>
  <c r="J136" i="17"/>
  <c r="J135" i="17"/>
  <c r="J134" i="17"/>
  <c r="J191" i="8"/>
  <c r="J193" i="8" s="1"/>
  <c r="J163" i="8"/>
  <c r="J165" i="12"/>
  <c r="J166" i="12" s="1"/>
  <c r="J167" i="12" s="1"/>
  <c r="J171" i="9" l="1"/>
  <c r="J170" i="9"/>
  <c r="J176" i="9"/>
  <c r="J165" i="14"/>
  <c r="J166" i="14" s="1"/>
  <c r="J167" i="14" s="1"/>
  <c r="J164" i="16"/>
  <c r="J170" i="13"/>
  <c r="J179" i="13" s="1"/>
  <c r="J176" i="13"/>
  <c r="J171" i="13"/>
  <c r="J139" i="17"/>
  <c r="J148" i="17" s="1"/>
  <c r="J150" i="17" s="1"/>
  <c r="J170" i="7"/>
  <c r="J176" i="7"/>
  <c r="J171" i="7"/>
  <c r="J177" i="11"/>
  <c r="J194" i="11" s="1"/>
  <c r="J195" i="11" s="1"/>
  <c r="J165" i="15"/>
  <c r="J166" i="15" s="1"/>
  <c r="J138" i="18"/>
  <c r="J135" i="18"/>
  <c r="J134" i="18"/>
  <c r="J136" i="18"/>
  <c r="J170" i="12"/>
  <c r="J179" i="12" s="1"/>
  <c r="J176" i="12"/>
  <c r="J171" i="12"/>
  <c r="J177" i="12"/>
  <c r="J194" i="12" s="1"/>
  <c r="J195" i="12" s="1"/>
  <c r="J164" i="8"/>
  <c r="J167" i="15"/>
  <c r="M17" i="4"/>
  <c r="L17" i="4"/>
  <c r="J139" i="18" l="1"/>
  <c r="J148" i="18" s="1"/>
  <c r="J150" i="18" s="1"/>
  <c r="F203" i="11"/>
  <c r="I203" i="11" s="1"/>
  <c r="I207" i="11" s="1"/>
  <c r="H211" i="11" s="1"/>
  <c r="H215" i="11" s="1"/>
  <c r="G18" i="4"/>
  <c r="H18" i="4" s="1"/>
  <c r="I18" i="4" s="1"/>
  <c r="J179" i="9"/>
  <c r="J177" i="9"/>
  <c r="J194" i="9" s="1"/>
  <c r="J195" i="9" s="1"/>
  <c r="J165" i="16"/>
  <c r="J166" i="16" s="1"/>
  <c r="J167" i="16" s="1"/>
  <c r="J165" i="8"/>
  <c r="J166" i="8" s="1"/>
  <c r="F203" i="12"/>
  <c r="I203" i="12" s="1"/>
  <c r="I207" i="12" s="1"/>
  <c r="H211" i="12" s="1"/>
  <c r="H215" i="12" s="1"/>
  <c r="G19" i="4"/>
  <c r="H19" i="4" s="1"/>
  <c r="I19" i="4" s="1"/>
  <c r="J179" i="7"/>
  <c r="J177" i="7"/>
  <c r="J194" i="7" s="1"/>
  <c r="J195" i="7" s="1"/>
  <c r="J177" i="13"/>
  <c r="J194" i="13" s="1"/>
  <c r="J195" i="13" s="1"/>
  <c r="J167" i="8"/>
  <c r="J171" i="15"/>
  <c r="J170" i="15"/>
  <c r="J176" i="15"/>
  <c r="J191" i="17"/>
  <c r="J193" i="17" s="1"/>
  <c r="J163" i="17"/>
  <c r="J170" i="14"/>
  <c r="J176" i="14"/>
  <c r="J171" i="14"/>
  <c r="M19" i="4" l="1"/>
  <c r="L19" i="4"/>
  <c r="F203" i="9"/>
  <c r="I203" i="9" s="1"/>
  <c r="I207" i="9" s="1"/>
  <c r="H211" i="9" s="1"/>
  <c r="H215" i="9" s="1"/>
  <c r="G16" i="4"/>
  <c r="H16" i="4" s="1"/>
  <c r="I16" i="4" s="1"/>
  <c r="J179" i="15"/>
  <c r="J177" i="15"/>
  <c r="J194" i="15" s="1"/>
  <c r="J195" i="15" s="1"/>
  <c r="J164" i="17"/>
  <c r="M18" i="4"/>
  <c r="L18" i="4"/>
  <c r="J176" i="8"/>
  <c r="J171" i="8"/>
  <c r="J170" i="8"/>
  <c r="J171" i="16"/>
  <c r="J170" i="16"/>
  <c r="J176" i="16"/>
  <c r="J179" i="14"/>
  <c r="J177" i="14"/>
  <c r="J194" i="14" s="1"/>
  <c r="J195" i="14" s="1"/>
  <c r="F203" i="13"/>
  <c r="I203" i="13" s="1"/>
  <c r="I207" i="13" s="1"/>
  <c r="H211" i="13" s="1"/>
  <c r="H215" i="13" s="1"/>
  <c r="G20" i="4"/>
  <c r="H20" i="4" s="1"/>
  <c r="I20" i="4" s="1"/>
  <c r="F203" i="7"/>
  <c r="I203" i="7" s="1"/>
  <c r="I207" i="7" s="1"/>
  <c r="H211" i="7" s="1"/>
  <c r="H215" i="7" s="1"/>
  <c r="G14" i="4"/>
  <c r="H14" i="4" s="1"/>
  <c r="I14" i="4" s="1"/>
  <c r="J191" i="18"/>
  <c r="J193" i="18" s="1"/>
  <c r="J163" i="18"/>
  <c r="L16" i="4" l="1"/>
  <c r="M16" i="4"/>
  <c r="M14" i="4"/>
  <c r="L14" i="4"/>
  <c r="J165" i="17"/>
  <c r="J166" i="17" s="1"/>
  <c r="J167" i="17" s="1"/>
  <c r="M20" i="4"/>
  <c r="L20" i="4"/>
  <c r="F203" i="14"/>
  <c r="I203" i="14" s="1"/>
  <c r="I207" i="14" s="1"/>
  <c r="H211" i="14" s="1"/>
  <c r="H215" i="14" s="1"/>
  <c r="G21" i="4"/>
  <c r="H21" i="4" s="1"/>
  <c r="I21" i="4" s="1"/>
  <c r="J179" i="8"/>
  <c r="J179" i="16"/>
  <c r="J177" i="16"/>
  <c r="J194" i="16" s="1"/>
  <c r="J195" i="16" s="1"/>
  <c r="J164" i="18"/>
  <c r="F203" i="15"/>
  <c r="I203" i="15" s="1"/>
  <c r="I207" i="15" s="1"/>
  <c r="H211" i="15" s="1"/>
  <c r="H215" i="15" s="1"/>
  <c r="G22" i="4"/>
  <c r="H22" i="4" s="1"/>
  <c r="I22" i="4" s="1"/>
  <c r="J177" i="8"/>
  <c r="J194" i="8" s="1"/>
  <c r="J195" i="8" s="1"/>
  <c r="J165" i="18" l="1"/>
  <c r="J166" i="18" s="1"/>
  <c r="J167" i="18" s="1"/>
  <c r="F203" i="16"/>
  <c r="I203" i="16" s="1"/>
  <c r="I207" i="16" s="1"/>
  <c r="H211" i="16" s="1"/>
  <c r="H215" i="16" s="1"/>
  <c r="G23" i="4"/>
  <c r="H23" i="4" s="1"/>
  <c r="I23" i="4" s="1"/>
  <c r="F203" i="8"/>
  <c r="I203" i="8" s="1"/>
  <c r="I207" i="8" s="1"/>
  <c r="H211" i="8" s="1"/>
  <c r="H215" i="8" s="1"/>
  <c r="G15" i="4"/>
  <c r="H15" i="4" s="1"/>
  <c r="I15" i="4" s="1"/>
  <c r="L22" i="4"/>
  <c r="M22" i="4"/>
  <c r="M21" i="4"/>
  <c r="L21" i="4"/>
  <c r="J171" i="17"/>
  <c r="J170" i="17"/>
  <c r="J176" i="17"/>
  <c r="J176" i="18" l="1"/>
  <c r="J171" i="18"/>
  <c r="J170" i="18"/>
  <c r="J179" i="18" s="1"/>
  <c r="J179" i="17"/>
  <c r="J177" i="17"/>
  <c r="J194" i="17" s="1"/>
  <c r="J195" i="17" s="1"/>
  <c r="M15" i="4"/>
  <c r="M26" i="4" s="1"/>
  <c r="L15" i="4"/>
  <c r="L26" i="4" s="1"/>
  <c r="I26" i="4"/>
  <c r="M23" i="4"/>
  <c r="L23" i="4"/>
  <c r="J177" i="18" l="1"/>
  <c r="J194" i="18" s="1"/>
  <c r="J195" i="18" s="1"/>
  <c r="F203" i="17"/>
  <c r="I203" i="17" s="1"/>
  <c r="I207" i="17" s="1"/>
  <c r="H211" i="17" s="1"/>
  <c r="H215" i="17" s="1"/>
  <c r="G24" i="4"/>
  <c r="H24" i="4" s="1"/>
  <c r="I24" i="4" s="1"/>
  <c r="F203" i="18"/>
  <c r="I203" i="18" s="1"/>
  <c r="I207" i="18" s="1"/>
  <c r="H211" i="18" s="1"/>
  <c r="H215" i="18" s="1"/>
  <c r="G25" i="4"/>
  <c r="H25" i="4" s="1"/>
  <c r="I25" i="4" s="1"/>
  <c r="M24" i="4" l="1"/>
  <c r="L24" i="4"/>
  <c r="M25" i="4"/>
  <c r="L25" i="4"/>
</calcChain>
</file>

<file path=xl/sharedStrings.xml><?xml version="1.0" encoding="utf-8"?>
<sst xmlns="http://schemas.openxmlformats.org/spreadsheetml/2006/main" count="5676" uniqueCount="1312">
  <si>
    <t>DADOS-CADASTRAIS</t>
  </si>
  <si>
    <t>CAMPI</t>
  </si>
  <si>
    <t>CCT - CONVENCAO
COLETIVA</t>
  </si>
  <si>
    <t>ENTIDADES
INTEGRANTES</t>
  </si>
  <si>
    <t>DATA BASE</t>
  </si>
  <si>
    <t>vlr
V. A.</t>
  </si>
  <si>
    <t>vlr
V. Lanche</t>
  </si>
  <si>
    <r>
      <rPr>
        <b/>
        <sz val="11"/>
        <color rgb="FF000000"/>
        <rFont val="Calibri"/>
      </rPr>
      <t xml:space="preserve">% Desc.
V.A.
</t>
    </r>
    <r>
      <rPr>
        <b/>
        <sz val="11"/>
        <color rgb="FFFF0000"/>
        <rFont val="Calibri"/>
      </rPr>
      <t>s/custo</t>
    </r>
  </si>
  <si>
    <r>
      <rPr>
        <b/>
        <sz val="11"/>
        <color rgb="FF000000"/>
        <rFont val="Calibri"/>
      </rPr>
      <t xml:space="preserve">% Desc.
V. T.
</t>
    </r>
    <r>
      <rPr>
        <b/>
        <sz val="11"/>
        <color rgb="FFFF0000"/>
        <rFont val="Calibri"/>
      </rPr>
      <t>s/normativo</t>
    </r>
  </si>
  <si>
    <t>ANO DO 
ACORDO
COLETIVO</t>
  </si>
  <si>
    <t xml:space="preserve">BSF </t>
  </si>
  <si>
    <t>SEGURO
VIDA</t>
  </si>
  <si>
    <t>AUX
FUNERAL</t>
  </si>
  <si>
    <t>outro</t>
  </si>
  <si>
    <t>outros d</t>
  </si>
  <si>
    <r>
      <rPr>
        <b/>
        <sz val="18"/>
        <color rgb="FF000000"/>
        <rFont val="Calibri"/>
      </rPr>
      <t xml:space="preserve">CBO_FUNCAO </t>
    </r>
    <r>
      <rPr>
        <sz val="18"/>
        <color rgb="FFFABF8F"/>
        <rFont val="Calibri"/>
      </rPr>
      <t>(espaço 31 carcteres na aba)</t>
    </r>
  </si>
  <si>
    <t>RS000947/2019-</t>
  </si>
  <si>
    <r>
      <rPr>
        <sz val="13"/>
        <color rgb="FF000000"/>
        <rFont val="Arial Narrow"/>
      </rPr>
      <t xml:space="preserve">SINDICATO DOS TRABALHADORES </t>
    </r>
    <r>
      <rPr>
        <b/>
        <sz val="13"/>
        <color rgb="FF000000"/>
        <rFont val="Arial Narrow"/>
      </rPr>
      <t>RURAIS</t>
    </r>
    <r>
      <rPr>
        <sz val="13"/>
        <color rgb="FF000000"/>
        <rFont val="Arial Narrow"/>
      </rPr>
      <t xml:space="preserve"> DE JULIO DE CASTILHOS, CNPJ n. 06.185.541/0001-18 × SINDICATO RURAL DE JULIO DE CASTILHOS, CNPJ n. 91.026.062/0001-28</t>
    </r>
  </si>
  <si>
    <t>01 de FEVEREIRO</t>
  </si>
  <si>
    <t>2394-25_Psicopedagogo</t>
  </si>
  <si>
    <t>RS000800/2019</t>
  </si>
  <si>
    <t>SIND DOS FULANOS</t>
  </si>
  <si>
    <t>0</t>
  </si>
  <si>
    <t>2614-25_Interp.Ling.Sinais</t>
  </si>
  <si>
    <t>RS000900/2019</t>
  </si>
  <si>
    <t>SINDICATO DOS OUTROS QUE NAO TEM SINDICATO</t>
  </si>
  <si>
    <t>3222-30_Aux.Enfermag</t>
  </si>
  <si>
    <t>RS005021/2021</t>
  </si>
  <si>
    <r>
      <rPr>
        <sz val="13"/>
        <color rgb="FF000000"/>
        <rFont val="Arial Narrow"/>
      </rPr>
      <t xml:space="preserve">SIND DAS EMPR DE </t>
    </r>
    <r>
      <rPr>
        <b/>
        <sz val="13"/>
        <color rgb="FF000000"/>
        <rFont val="Arial Narrow"/>
      </rPr>
      <t>ASSEIO</t>
    </r>
    <r>
      <rPr>
        <sz val="13"/>
        <color rgb="FF000000"/>
        <rFont val="Arial Narrow"/>
      </rPr>
      <t xml:space="preserve"> E CONSERVACAO DO EST DO R G S, CNPJ n. 87.078.325/0001-75, -
INDICATO INTERMUNICIPAL DOS EMPREGADOS EM EMPRESAS DE ASSEIO E CONSERVACAO E
SERVICOS TERCEIRIZADOS EM ASSEIO E CONSERVACAO NO RGS-SEEAC/RS, CNPJ n.
90.601.956/0001-31</t>
    </r>
  </si>
  <si>
    <t>01 de JANEIRO</t>
  </si>
  <si>
    <t>3224-15_Aux.Saude.bucal</t>
  </si>
  <si>
    <t>A.L.</t>
  </si>
  <si>
    <t xml:space="preserve">ALEGRETE </t>
  </si>
  <si>
    <t>RS002044/2021</t>
  </si>
  <si>
    <r>
      <rPr>
        <sz val="13"/>
        <color rgb="FF000000"/>
        <rFont val="Arial Narrow"/>
      </rPr>
      <t xml:space="preserve">FEDERACAO DOS TRAB INDUST </t>
    </r>
    <r>
      <rPr>
        <b/>
        <sz val="13"/>
        <color rgb="FF000000"/>
        <rFont val="Arial Narrow"/>
      </rPr>
      <t>CONSTRUÇÃO</t>
    </r>
    <r>
      <rPr>
        <sz val="13"/>
        <color rgb="FF000000"/>
        <rFont val="Arial Narrow"/>
      </rPr>
      <t xml:space="preserve"> MOBIL ESTADO RIO G SUL, CNPJ n. 92.963.974/0001-9 e SIND DAS IND DA CONSTRUCAO CIVIL NO ESTADO DO R G S, CNPJ n. 92.973.734/0001-75,</t>
    </r>
  </si>
  <si>
    <t>01 de MAIO</t>
  </si>
  <si>
    <t>3341-10_Insp.de.Alunos</t>
  </si>
  <si>
    <t>F.W.</t>
  </si>
  <si>
    <t xml:space="preserve">FREDERICO-WESTFALEN </t>
  </si>
  <si>
    <t>RS003993/2021</t>
  </si>
  <si>
    <r>
      <rPr>
        <sz val="13"/>
        <color rgb="FF000000"/>
        <rFont val="Arial Narrow"/>
      </rPr>
      <t xml:space="preserve">SIND DAS EMPR DE SEGURANCA E </t>
    </r>
    <r>
      <rPr>
        <b/>
        <sz val="13"/>
        <color rgb="FF000000"/>
        <rFont val="Arial Narrow"/>
      </rPr>
      <t>VIGILANCIA</t>
    </r>
    <r>
      <rPr>
        <sz val="13"/>
        <color rgb="FF000000"/>
        <rFont val="Arial Narrow"/>
      </rPr>
      <t xml:space="preserve"> DO EST DO R G S, CNPJ n. 87.004.982/0001-78, e
SIND PROFI VIGIL, EMPREG DE EMPR SEG E VIGIL DE PORTO ALEGRE E REGIAO
METROPOLITANA DO RGS, CNPJ n. 91.343.293/0001-65</t>
    </r>
  </si>
  <si>
    <t>4110-05_Aux.Administ.</t>
  </si>
  <si>
    <t>J.A.</t>
  </si>
  <si>
    <t>JAGUARI</t>
  </si>
  <si>
    <t>RS001505/2021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</si>
  <si>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</si>
  <si>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01 de ABRIL</t>
  </si>
  <si>
    <t>4110-10_Assist.Administ.</t>
  </si>
  <si>
    <t>J.C.</t>
  </si>
  <si>
    <t xml:space="preserve">JULIO-DE-CASTILHOS </t>
  </si>
  <si>
    <t>RS001689/2021</t>
  </si>
  <si>
    <r>
      <rPr>
        <sz val="13"/>
        <color rgb="FF000000"/>
        <rFont val="Arial Narrow"/>
      </rPr>
      <t xml:space="preserve">SINDICATO IND MET </t>
    </r>
    <r>
      <rPr>
        <b/>
        <sz val="13"/>
        <color rgb="FF000000"/>
        <rFont val="Arial Narrow"/>
      </rPr>
      <t>MECANICO</t>
    </r>
    <r>
      <rPr>
        <sz val="13"/>
        <color rgb="FF000000"/>
        <rFont val="Arial Narrow"/>
      </rPr>
      <t xml:space="preserve"> MAT ELETRICO DE SANTA ROSA, CNPJ n. 90.477.803/0001-24, 
E INDICATO DOS TRABALHADORES NAS INDUSTRIAS METALURGICAS, MECANICAS, DE MATERIAL
ELETRICO, E DE IMPLEMENTOS AGRICOLAS DE SANTA ROSA RS, CNPJ n. 89.391.775/0001-49</t>
    </r>
  </si>
  <si>
    <t>5134-25_Copeiro</t>
  </si>
  <si>
    <t>S.M.</t>
  </si>
  <si>
    <t>SANTA-MARIA</t>
  </si>
  <si>
    <t>RS000690/2022</t>
  </si>
  <si>
    <r>
      <rPr>
        <sz val="13"/>
        <color rgb="FF000000"/>
        <rFont val="Arial Narrow"/>
      </rPr>
      <t xml:space="preserve">SIND PROF </t>
    </r>
    <r>
      <rPr>
        <b/>
        <sz val="13"/>
        <color rgb="FF000000"/>
        <rFont val="Arial Narrow"/>
      </rPr>
      <t xml:space="preserve">ENFERMAG </t>
    </r>
    <r>
      <rPr>
        <sz val="13"/>
        <color rgb="FF000000"/>
        <rFont val="Arial Narrow"/>
      </rPr>
      <t>TEC DUCH MAS EMP HOSP CASAS SAUDE RS, CNPJ n. 92.962.745/0001-50 ×
SINDICATO DOS HOSPITAIS BENEFICENTES RELIGIOSOS E FILANTROPICOS DO RIO GRANDE DO
SUL - SINDIBERF, CNPJ n. 95.179.792/0001-10</t>
    </r>
  </si>
  <si>
    <t>2 de ABRIL</t>
  </si>
  <si>
    <t>5143-20_Aux.de.Limpeza</t>
  </si>
  <si>
    <t>S.R.</t>
  </si>
  <si>
    <t xml:space="preserve">SANTA-ROSA </t>
  </si>
  <si>
    <t>RS001211/2022</t>
  </si>
  <si>
    <r>
      <rPr>
        <sz val="13"/>
        <color rgb="FF000000"/>
        <rFont val="Arial Narrow"/>
      </rPr>
      <t xml:space="preserve">FEDERACAO DOS EMPREG.EM </t>
    </r>
    <r>
      <rPr>
        <b/>
        <sz val="13"/>
        <color rgb="FF000000"/>
        <rFont val="Arial Narrow"/>
      </rPr>
      <t>ENT.CULT.RECR.</t>
    </r>
    <r>
      <rPr>
        <sz val="13"/>
        <color rgb="FF000000"/>
        <rFont val="Arial Narrow"/>
      </rPr>
      <t>DE ASSIST.SOC. DE ORIENT. E FORM. PROF.DO EST.
DO RGS, CNPJ n. 05.208.719/0001-36, e
IND ENTID CULT RECR ASSOC ORIENT E FORM PROF EST RS , CNPJ n. 93.013.670/0001-23,</t>
    </r>
  </si>
  <si>
    <t>5143-25_Trab.Manut.Edific.</t>
  </si>
  <si>
    <t>S.A.N</t>
  </si>
  <si>
    <t xml:space="preserve">SANTO-ANGELO </t>
  </si>
  <si>
    <t>RS000281/2022</t>
  </si>
  <si>
    <r>
      <rPr>
        <b/>
        <sz val="13"/>
        <color theme="1"/>
        <rFont val="Arial Narrow"/>
      </rPr>
      <t>ALEGRETE</t>
    </r>
    <r>
      <rPr>
        <sz val="13"/>
        <color theme="1"/>
        <rFont val="Arial Narrow"/>
      </rPr>
      <t xml:space="preserve">-SIND EMPRES DE SEGUR E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DO RGS, CNPJ n. 87.004.982/0001-78, e
SIND EMPREG SEGUR VIG TRANSP VAL TRAB SERV SEG VIG SEG - ALEGRETE , CNPJ n. 91.551.036/0001-19</t>
    </r>
  </si>
  <si>
    <t>S</t>
  </si>
  <si>
    <t>5162-20_Cuidad.Alun.Saude</t>
  </si>
  <si>
    <t>S.A.</t>
  </si>
  <si>
    <t xml:space="preserve">SANTO-AUGUSTO </t>
  </si>
  <si>
    <t>RS001152/2022</t>
  </si>
  <si>
    <r>
      <rPr>
        <b/>
        <sz val="13"/>
        <color theme="1"/>
        <rFont val="Arial Narrow"/>
      </rPr>
      <t xml:space="preserve">URUGUAIANA </t>
    </r>
    <r>
      <rPr>
        <sz val="13"/>
        <color theme="1"/>
        <rFont val="Arial Narrow"/>
      </rPr>
      <t xml:space="preserve">SIND DAS EMPRES SEG </t>
    </r>
    <r>
      <rPr>
        <b/>
        <sz val="13"/>
        <color theme="1"/>
        <rFont val="Arial Narrow"/>
      </rPr>
      <t>VIGIL</t>
    </r>
    <r>
      <rPr>
        <sz val="13"/>
        <color theme="1"/>
        <rFont val="Arial Narrow"/>
      </rPr>
      <t xml:space="preserve">  DO RGS, CNPJ n. 87.004.982/0001-78, e SIND EMPREG SEGUR E VIGIL DE URUGUAIANA, CNPJ n. 92.463.421/0001-77, </t>
    </r>
  </si>
  <si>
    <t>5162-20_Cuidad.Alun.Educ.</t>
  </si>
  <si>
    <t>S.B.</t>
  </si>
  <si>
    <t xml:space="preserve">SAO-BORJA </t>
  </si>
  <si>
    <t>RS000847/2022</t>
  </si>
  <si>
    <r>
      <rPr>
        <b/>
        <sz val="13"/>
        <color theme="1"/>
        <rFont val="Arial Narrow"/>
      </rPr>
      <t xml:space="preserve">JULIO- SVS-StoAUG </t>
    </r>
    <r>
      <rPr>
        <sz val="13"/>
        <color theme="1"/>
        <rFont val="Arial Narrow"/>
      </rPr>
      <t xml:space="preserve">SIND DAS EMPR SEG. </t>
    </r>
    <r>
      <rPr>
        <b/>
        <sz val="13"/>
        <color theme="1"/>
        <rFont val="Arial Narrow"/>
      </rPr>
      <t>VIGILANCIA</t>
    </r>
    <r>
      <rPr>
        <sz val="13"/>
        <color theme="1"/>
        <rFont val="Arial Narrow"/>
      </rPr>
      <t xml:space="preserve"> DO RGS, CNPJ n. 87.004.982/0001-78, e  SIND EMPREG SEG E VIGIL DE PORTO ALEGRE E REGIAO METROPOLITANA DO RGS, CNPJ n. 91.343.293/0001-65, </t>
    </r>
  </si>
  <si>
    <t>5173-30 _Vigilante</t>
  </si>
  <si>
    <t>S.V.</t>
  </si>
  <si>
    <t>SAO-VICENTE-DO-SUL</t>
  </si>
  <si>
    <t>RS_PISO_REG/22</t>
  </si>
  <si>
    <r>
      <rPr>
        <b/>
        <sz val="13"/>
        <color rgb="FF980000"/>
        <rFont val="Arial Narrow"/>
      </rPr>
      <t>PANAMB</t>
    </r>
    <r>
      <rPr>
        <sz val="13"/>
        <color rgb="FF980000"/>
        <rFont val="Arial Narrow"/>
      </rPr>
      <t>I_AGROP.Fx-1</t>
    </r>
  </si>
  <si>
    <t>5174-10_Porteiro.de.Edific.</t>
  </si>
  <si>
    <t>U.R.</t>
  </si>
  <si>
    <t>URUGUAIANA</t>
  </si>
  <si>
    <t>RS000720/2022</t>
  </si>
  <si>
    <r>
      <rPr>
        <sz val="13"/>
        <color rgb="FF980000"/>
        <rFont val="Arial Narrow"/>
      </rPr>
      <t xml:space="preserve">SIND. RURAL </t>
    </r>
    <r>
      <rPr>
        <b/>
        <sz val="13"/>
        <color rgb="FF980000"/>
        <rFont val="Arial Narrow"/>
      </rPr>
      <t>SVS</t>
    </r>
    <r>
      <rPr>
        <sz val="13"/>
        <color rgb="FF980000"/>
        <rFont val="Arial Narrow"/>
      </rPr>
      <t>, CNPJ n 90.139.395/0001-09, e
SIND. DOS TRABALH. RURAIS SAO VICENTE DO SUL, CNPJ n. 89.830.855/0001-53</t>
    </r>
  </si>
  <si>
    <t>01 de MARÇO</t>
  </si>
  <si>
    <t>5174-20_Vigia</t>
  </si>
  <si>
    <t>RS001578/2022</t>
  </si>
  <si>
    <r>
      <rPr>
        <sz val="13"/>
        <color rgb="FF980000"/>
        <rFont val="Arial Narrow"/>
      </rPr>
      <t>SIND. TRABALHADORES RURAIS DE</t>
    </r>
    <r>
      <rPr>
        <b/>
        <sz val="13"/>
        <color rgb="FF980000"/>
        <rFont val="Arial Narrow"/>
      </rPr>
      <t xml:space="preserve"> ALEGRETE</t>
    </r>
    <r>
      <rPr>
        <sz val="13"/>
        <color rgb="FF980000"/>
        <rFont val="Arial Narrow"/>
      </rPr>
      <t>, CNPJ n. 87.537.429/0001-09, 
E SINDICATO RURAL DE</t>
    </r>
    <r>
      <rPr>
        <b/>
        <sz val="13"/>
        <color rgb="FF980000"/>
        <rFont val="Arial Narrow"/>
      </rPr>
      <t xml:space="preserve"> ALEGRETE</t>
    </r>
    <r>
      <rPr>
        <sz val="13"/>
        <color rgb="FF980000"/>
        <rFont val="Arial Narrow"/>
      </rPr>
      <t>, CNPJ n. 87.203.048/0001-85,</t>
    </r>
  </si>
  <si>
    <t>6210-05_Peao</t>
  </si>
  <si>
    <t>RS002758/2022</t>
  </si>
  <si>
    <r>
      <rPr>
        <sz val="13"/>
        <color rgb="FF980000"/>
        <rFont val="Arial Narrow"/>
      </rPr>
      <t xml:space="preserve">SINDICATO DOS TRABALHADORES RURAIS DE </t>
    </r>
    <r>
      <rPr>
        <b/>
        <sz val="13"/>
        <color rgb="FF980000"/>
        <rFont val="Arial Narrow"/>
      </rPr>
      <t>JAGUARI</t>
    </r>
    <r>
      <rPr>
        <sz val="13"/>
        <color rgb="FF980000"/>
        <rFont val="Arial Narrow"/>
      </rPr>
      <t>, CNPJ n. 90.995.291/0001-98</t>
    </r>
  </si>
  <si>
    <t>6210-05_Capataz</t>
  </si>
  <si>
    <t>RS001991/2022</t>
  </si>
  <si>
    <r>
      <rPr>
        <sz val="13"/>
        <color rgb="FF980000"/>
        <rFont val="Arial Narrow"/>
      </rPr>
      <t xml:space="preserve">SINDICATO DOS TRABALHADORES RURAIS DE </t>
    </r>
    <r>
      <rPr>
        <b/>
        <sz val="13"/>
        <color rgb="FF980000"/>
        <rFont val="Arial Narrow"/>
      </rPr>
      <t>SANTO ANGELO</t>
    </r>
    <r>
      <rPr>
        <sz val="13"/>
        <color rgb="FF980000"/>
        <rFont val="Arial Narrow"/>
      </rPr>
      <t>, CNPJ n. 96.213.533/0001-20</t>
    </r>
  </si>
  <si>
    <t>6210-05_Trabalh.Agropec.Geral</t>
  </si>
  <si>
    <t>RS000947/2019</t>
  </si>
  <si>
    <r>
      <rPr>
        <sz val="13"/>
        <color rgb="FF980000"/>
        <rFont val="Arial Narrow"/>
      </rPr>
      <t xml:space="preserve">SINDICATO DOS TRABALHADORES </t>
    </r>
    <r>
      <rPr>
        <b/>
        <sz val="13"/>
        <color rgb="FF980000"/>
        <rFont val="Arial Narrow"/>
      </rPr>
      <t>RURAIS</t>
    </r>
    <r>
      <rPr>
        <sz val="13"/>
        <color rgb="FF980000"/>
        <rFont val="Arial Narrow"/>
      </rPr>
      <t xml:space="preserve"> DE JULIO DE CASTILHOS, CNPJ n. 06.185.541/0001-18 × SINDICATO RURAL DE JULIO DE CASTILHOS, CNPJ n. 91.026.062/0001-28</t>
    </r>
  </si>
  <si>
    <t>6220-10_Jardineiro</t>
  </si>
  <si>
    <t>RS000904/2022</t>
  </si>
  <si>
    <t>URUGUAIANA RURAIS</t>
  </si>
  <si>
    <t>6410-10_Oper.Máq.B.Prod.Agríc.</t>
  </si>
  <si>
    <t>RS001961/2022</t>
  </si>
  <si>
    <t>Santa Rosa RURAIS</t>
  </si>
  <si>
    <t>6410-15_Tratorista</t>
  </si>
  <si>
    <t>SANTO ÂNGELO RURAIS</t>
  </si>
  <si>
    <t>6410-15_Tratorista.Agríc.</t>
  </si>
  <si>
    <t>RS002497/2022</t>
  </si>
  <si>
    <t>SANTA MARIA RURAIS</t>
  </si>
  <si>
    <t>7152-10_Pedreiro</t>
  </si>
  <si>
    <t>JAGUARI RURAIS</t>
  </si>
  <si>
    <t>7156-15_Eletricist.de.Instal.</t>
  </si>
  <si>
    <t>7244-40_Serralheiro</t>
  </si>
  <si>
    <t>7711-05_Marceneiro</t>
  </si>
  <si>
    <t>7823-05_Motor.Carro.Passeio</t>
  </si>
  <si>
    <t>7825-10_Motor.Geral</t>
  </si>
  <si>
    <t>9511-05_Eletr.Man.Eletroeletr.</t>
  </si>
  <si>
    <t>A NÃO TEM MAIS POSTOS-1</t>
  </si>
  <si>
    <t>A NÃO TEM MAIS POSTOS-2</t>
  </si>
  <si>
    <t>A NÃO TEM MAIS POSTOS-3</t>
  </si>
  <si>
    <t>A NÃO TEM MAIS POSTOS-4</t>
  </si>
  <si>
    <t>A NÃO TEM MAIS POSTOS-5</t>
  </si>
  <si>
    <t>A NÃO TEM MAIS POSTOS-6</t>
  </si>
  <si>
    <t>A NÃO TEM MAIS POSTOS-7</t>
  </si>
  <si>
    <t>A NÃO TEM MAIS POSTOS-8</t>
  </si>
  <si>
    <t>A NÃO TEM MAIS POSTOS-9</t>
  </si>
  <si>
    <t>A NÃO TEM MAIS POSTOS-10</t>
  </si>
  <si>
    <t>A NÃO TEM MAIS POSTOS-11</t>
  </si>
  <si>
    <t>A NÃO TEM MAIS POSTOS-12</t>
  </si>
  <si>
    <t>A NÃO TEM MAIS POSTOS-13</t>
  </si>
  <si>
    <t>A NÃO TEM MAIS POSTOS-14</t>
  </si>
  <si>
    <t>A NÃO TEM MAIS POSTOS-15</t>
  </si>
  <si>
    <t>CLIQUE NA RESPECTIVA CAIXA 
PARA  APLICAR FILTROS AS COLUNAS</t>
  </si>
  <si>
    <t>CAMPUS.CONTRATANTE</t>
  </si>
  <si>
    <t>UNIDADES CONTRATANTES</t>
  </si>
  <si>
    <t xml:space="preserve"> MUNICIPIO Vlr</t>
  </si>
  <si>
    <t xml:space="preserve"> S E R V I Ç O S     -    A G R O P E C U A R I O S </t>
  </si>
  <si>
    <t>UG</t>
  </si>
  <si>
    <t>CNPJ</t>
  </si>
  <si>
    <t>NOME</t>
  </si>
  <si>
    <t>R$ 
Vlr Passagem
 Urbana - VT</t>
  </si>
  <si>
    <t>Indice
 ISS</t>
  </si>
  <si>
    <t>6210-05_CAPATAZ-Encarreg</t>
  </si>
  <si>
    <t>6210-05_PEAO-Trabalh.Agropec</t>
  </si>
  <si>
    <t>6410-15_TRATORISTA-em-Geral</t>
  </si>
  <si>
    <t>A NÃO TEM MAIS POSTOS-22</t>
  </si>
  <si>
    <t>A NÃO TEM MAIS POSTOS-33</t>
  </si>
  <si>
    <t>A NÃO TEM MAIS POSTOS-44</t>
  </si>
  <si>
    <t>A NÃO TEM MAIS POSTOS-55</t>
  </si>
  <si>
    <t>A NÃO TEM MAIS POSTOS-66</t>
  </si>
  <si>
    <t>A NÃO TEM MAIS POSTOS-77</t>
  </si>
  <si>
    <t>A NÃO TEM MAIS POSTOS-88</t>
  </si>
  <si>
    <t>A NÃO TEM MAIS POSTOS-99</t>
  </si>
  <si>
    <t>QUANTIDADE</t>
  </si>
  <si>
    <t>Participa da 
escala de PLANTOES</t>
  </si>
  <si>
    <t>CONVENCAO
 COLETIVA
 DE TRABALHO</t>
  </si>
  <si>
    <t>SALARIO
NORMATIVO</t>
  </si>
  <si>
    <t>% BASE ADICIONAL FUNÇÃO</t>
  </si>
  <si>
    <t>QUANTIDADE
DE PLANTOES
pelos 52
SABADOS
no ano
para hs a 50%</t>
  </si>
  <si>
    <t>QUANTIDADE
DE PLANTOES
pelos 52
DOMINGOS 
+ 12 FERIADOS
no ano
para hs a 100%</t>
  </si>
  <si>
    <t>DIAS
VALE
TRANSP.</t>
  </si>
  <si>
    <t>DIAS
DE
VALE
ALIMENT</t>
  </si>
  <si>
    <t>ADICIONAL 
NOTURNO</t>
  </si>
  <si>
    <t>QUANTOIDA DE PLANTONISTAS POR DIA 50%</t>
  </si>
  <si>
    <t>QUANTOIDA DE PLANTONISTAS POR DIA 100%</t>
  </si>
  <si>
    <t xml:space="preserve">JORNADA </t>
  </si>
  <si>
    <t>JORNADA</t>
  </si>
  <si>
    <t>QUANTIDADE
DE PLANTOES
pelos 54
SABADOS
no ano
para hs a 50%</t>
  </si>
  <si>
    <t>QUANTIDADE
DE PLANTOES
pelos 54
DOMINGOS 
+ 12 FERIADOS
no ano
para hs a 100%</t>
  </si>
  <si>
    <t>SALARIO
BASE</t>
  </si>
  <si>
    <t>outros</t>
  </si>
  <si>
    <t>QUANTIDADE
DE PANTOES
pelos 54
SABADOS
no ano
para hs a 50%</t>
  </si>
  <si>
    <t>QUANTIDADE
DE PLANTOES
pelos 54
DOMINGOS 
+ 12 FERIADOS
no ano
para hs a 100%</t>
  </si>
  <si>
    <t>SEM</t>
  </si>
  <si>
    <t>MINIMO NACIONAL</t>
  </si>
  <si>
    <t>SALARIO NORMATIVO</t>
  </si>
  <si>
    <t>%</t>
  </si>
  <si>
    <t>INSALUBR.</t>
  </si>
  <si>
    <t>N</t>
  </si>
  <si>
    <t>ADICIONAL</t>
  </si>
  <si>
    <t>PERCENTUAL</t>
  </si>
  <si>
    <t xml:space="preserve">SEMANAL </t>
  </si>
  <si>
    <t>10-662-072-0004-09</t>
  </si>
  <si>
    <t>SEM ADICIONAL DE FUNÇÃO</t>
  </si>
  <si>
    <t>INSALUB S/MINIMO</t>
  </si>
  <si>
    <t>SEM ADICIONAL DE RISCO</t>
  </si>
  <si>
    <t>22-968-289-0001-70</t>
  </si>
  <si>
    <t>ADIC. FUNÇÃO S/piso  REGIONAL</t>
  </si>
  <si>
    <t>10-662-072-0009-05</t>
  </si>
  <si>
    <t>10-662-072-0002-39</t>
  </si>
  <si>
    <t>ADIC. FUNÇÃO S/NORMATIVO</t>
  </si>
  <si>
    <t>10-662-072-0007-43</t>
  </si>
  <si>
    <t xml:space="preserve">PANAMBI </t>
  </si>
  <si>
    <t>10-662-072-0001-58</t>
  </si>
  <si>
    <t>10-662-072-0008-24</t>
  </si>
  <si>
    <t>10-662-072-0010-49</t>
  </si>
  <si>
    <t>10-662-072-0005-81</t>
  </si>
  <si>
    <t>10-662-072-0006-62</t>
  </si>
  <si>
    <t>sem cct</t>
  </si>
  <si>
    <t>10-662-072-0003-10</t>
  </si>
  <si>
    <t>CBO_FUNCAO ( 31 carcteres aba) A CONTRATAR</t>
  </si>
  <si>
    <t>ADIC. FUNÇÃO S/MINIMO NACION</t>
  </si>
  <si>
    <t>n feriados</t>
  </si>
  <si>
    <t>noite</t>
  </si>
  <si>
    <t>INSALUB S/NORMATIVO</t>
  </si>
  <si>
    <t>dividido por 12</t>
  </si>
  <si>
    <t>PERICULOSIDADE</t>
  </si>
  <si>
    <t>dividido por n funcio</t>
  </si>
  <si>
    <t xml:space="preserve">nomes das abas </t>
  </si>
  <si>
    <t>FUNCAO() ABAS ()</t>
  </si>
  <si>
    <t>frederico 100% so feriado</t>
  </si>
  <si>
    <t>no caso somente sao vitente tem UM peao que nao faz plantoes</t>
  </si>
  <si>
    <t xml:space="preserve">TABELA BASE </t>
  </si>
  <si>
    <t>frederico so 12 ferias 100%</t>
  </si>
  <si>
    <t xml:space="preserve">TESTE 1 </t>
  </si>
  <si>
    <t>TESTE 2</t>
  </si>
  <si>
    <t>TESTE 3</t>
  </si>
  <si>
    <t>TESTE 4</t>
  </si>
  <si>
    <t>6210-05_CAPATAZ-Encarrga_44hs</t>
  </si>
  <si>
    <t>TESTE 5</t>
  </si>
  <si>
    <t>6210-05_PEAO-Trab.Agropc_44hs</t>
  </si>
  <si>
    <t>TESTE 6</t>
  </si>
  <si>
    <t>6410-15_TRATORISTA-Geral_44hs</t>
  </si>
  <si>
    <t>TESTE 7</t>
  </si>
  <si>
    <t>TESTE 8</t>
  </si>
  <si>
    <t>TESTE 9</t>
  </si>
  <si>
    <t>TESTE 10</t>
  </si>
  <si>
    <t>TESTE 11</t>
  </si>
  <si>
    <t>TESTE 12</t>
  </si>
  <si>
    <t>1-ABA-DE-CARREGAMENTO</t>
  </si>
  <si>
    <t>Ministério da Educação</t>
  </si>
  <si>
    <t>Secretaria de Educação Tecnológica</t>
  </si>
  <si>
    <t>Instituto Federal de Educação, Ciência e Tecnologia Farroupilha - IFFar</t>
  </si>
  <si>
    <t>DADOS DA LICITAÇÃO</t>
  </si>
  <si>
    <t>Descrição do serviço:</t>
  </si>
  <si>
    <t>Processo:</t>
  </si>
  <si>
    <t>Licitação:</t>
  </si>
  <si>
    <t>Campus/Município/UF da prestação do serviço:</t>
  </si>
  <si>
    <t>« ←▬     SELECIONE</t>
  </si>
  <si>
    <t>Endereço</t>
  </si>
  <si>
    <t>Dia/Hora:</t>
  </si>
  <si>
    <t>Razão Social:</t>
  </si>
  <si>
    <t>CNPJ:</t>
  </si>
  <si>
    <t>Responsável pela Empresa:</t>
  </si>
  <si>
    <t xml:space="preserve">Contato </t>
  </si>
  <si>
    <t>Telefone</t>
  </si>
  <si>
    <t>E-mail</t>
  </si>
  <si>
    <t>CPF do Responsável:</t>
  </si>
  <si>
    <t>Cargo ou Função:</t>
  </si>
  <si>
    <t>REGIME DE TRIBUTAÇÃO DA EMPRESA</t>
  </si>
  <si>
    <t>% ALIQUOTA PIS</t>
  </si>
  <si>
    <t>% ALIQUOTA COFINS</t>
  </si>
  <si>
    <r>
      <rPr>
        <sz val="10"/>
        <color theme="1"/>
        <rFont val="Arial"/>
      </rPr>
      <t xml:space="preserve">Lucro Real (Digite - </t>
    </r>
    <r>
      <rPr>
        <b/>
        <sz val="10"/>
        <color theme="1"/>
        <rFont val="Arial"/>
      </rPr>
      <t xml:space="preserve">1 </t>
    </r>
    <r>
      <rPr>
        <sz val="10"/>
        <color theme="1"/>
        <rFont val="Arial"/>
      </rPr>
      <t xml:space="preserve">) </t>
    </r>
    <r>
      <rPr>
        <sz val="18"/>
        <color theme="1"/>
        <rFont val="Arial"/>
      </rPr>
      <t>→</t>
    </r>
  </si>
  <si>
    <r>
      <rPr>
        <sz val="10"/>
        <color theme="1"/>
        <rFont val="Arial"/>
      </rPr>
      <t xml:space="preserve">Lucro Presumido   ( Digite - </t>
    </r>
    <r>
      <rPr>
        <b/>
        <sz val="10"/>
        <color theme="1"/>
        <rFont val="Arial"/>
      </rPr>
      <t xml:space="preserve">2 </t>
    </r>
    <r>
      <rPr>
        <sz val="10"/>
        <color theme="1"/>
        <rFont val="Arial"/>
      </rPr>
      <t xml:space="preserve">)  </t>
    </r>
    <r>
      <rPr>
        <sz val="18"/>
        <color theme="1"/>
        <rFont val="Arial"/>
      </rPr>
      <t>→</t>
    </r>
  </si>
  <si>
    <t xml:space="preserve">I N F O R M A Ç Õ E S      D A S        C C T 's </t>
  </si>
  <si>
    <t>Descrição da função</t>
  </si>
  <si>
    <t>Dados/registro CCT</t>
  </si>
  <si>
    <t>Data base</t>
  </si>
  <si>
    <r>
      <rPr>
        <sz val="10"/>
        <color theme="1"/>
        <rFont val="Arial"/>
      </rPr>
      <t>Salário base Nomartivo /categoria</t>
    </r>
    <r>
      <rPr>
        <b/>
        <sz val="12"/>
        <color rgb="FFC00000"/>
        <rFont val="Arial"/>
      </rPr>
      <t xml:space="preserve"> (220 h)</t>
    </r>
  </si>
  <si>
    <t>Base para o Adicional De Função</t>
  </si>
  <si>
    <t>%  Adicional de Função</t>
  </si>
  <si>
    <t>Base para o Adicional de =&gt;</t>
  </si>
  <si>
    <t>% AD. INSALUBRIDADE</t>
  </si>
  <si>
    <r>
      <rPr>
        <sz val="14"/>
        <color theme="1"/>
        <rFont val="Arial"/>
      </rPr>
      <t>VALOR DO MINIMO NACIONAL</t>
    </r>
    <r>
      <rPr>
        <b/>
        <sz val="14"/>
        <color theme="1"/>
        <rFont val="Arial"/>
      </rPr>
      <t xml:space="preserve"> 2022</t>
    </r>
  </si>
  <si>
    <t xml:space="preserve">% Adicional Noturno </t>
  </si>
  <si>
    <t>% Adicional de Periculosidade</t>
  </si>
  <si>
    <t xml:space="preserve">Módulo 1:               J O R N A D A  </t>
  </si>
  <si>
    <t>Jornada DIÁRIA contratada "em horas" (h)</t>
  </si>
  <si>
    <t>Jornada SEMANAL contratada (h)</t>
  </si>
  <si>
    <t>Jornada NENSAL contratada (h)</t>
  </si>
  <si>
    <t xml:space="preserve">     E N C A R G O S   E   B E N E F Í C I O S  </t>
  </si>
  <si>
    <t>RAT</t>
  </si>
  <si>
    <t>FAP</t>
  </si>
  <si>
    <t>Valor - Auxílio alimentação(VA)/Refeicao POR DIA</t>
  </si>
  <si>
    <t>Percentual desc parte trabalhador - VA</t>
  </si>
  <si>
    <t>Qtd dias/mês recebimento aux. alim</t>
  </si>
  <si>
    <t>Vlr - Aux. Alimentação LANCHE (VA)/ POR DIA</t>
  </si>
  <si>
    <t>Média Mensal hs a 50%</t>
  </si>
  <si>
    <t>nº de HS a 50% No plantao por SABADO</t>
  </si>
  <si>
    <t>QUANTIDADE DE PLANTONISTAS POR DIA  50%</t>
  </si>
  <si>
    <t>Média Mensal hs a 100%</t>
  </si>
  <si>
    <t>nº HS a 100% Plantao por DOM/FERIADO</t>
  </si>
  <si>
    <t>TRABALHADOR faz PLANTOES</t>
  </si>
  <si>
    <t>QUANTIDADE DE PLANTONISTAS POR DIA 100%</t>
  </si>
  <si>
    <t>Valor unit. da passagem</t>
  </si>
  <si>
    <t>Quantid. passagens/dia</t>
  </si>
  <si>
    <t xml:space="preserve">Qtd dias/mês receb. aux. Transp </t>
  </si>
  <si>
    <t>Percentual desc parte trabalhador - VT</t>
  </si>
  <si>
    <t>PLANO DE BENEFICIOS BSF</t>
  </si>
  <si>
    <t xml:space="preserve">Seguro de VIDA </t>
  </si>
  <si>
    <t xml:space="preserve">AUX. Funeral </t>
  </si>
  <si>
    <t>MÓDULO 6: CUSTOS INDIRETOS, LUCRO E TRIBUTOS</t>
  </si>
  <si>
    <t>Custos indiretos</t>
  </si>
  <si>
    <t>Lucro</t>
  </si>
  <si>
    <t>ISSQN</t>
  </si>
  <si>
    <t xml:space="preserve">QUADRO RESUMO VALOR MENSAL DOS SERVIÇOS </t>
  </si>
  <si>
    <t xml:space="preserve">Quantidade de Postos </t>
  </si>
  <si>
    <t>Quantidade de Empregados por Posto</t>
  </si>
  <si>
    <t xml:space="preserve">Quantidade em Meses de Vigencia do Contrato </t>
  </si>
  <si>
    <t>.</t>
  </si>
  <si>
    <t xml:space="preserve">QUADRO RESUMO DA PROPOSTA </t>
  </si>
  <si>
    <t>PROPOSTA DO SERVIÇO</t>
  </si>
  <si>
    <t>Campus/Municipio prestacao serviço</t>
  </si>
  <si>
    <t>CNPJ nº</t>
  </si>
  <si>
    <t>Endereço:</t>
  </si>
  <si>
    <t>Responsável Contato:</t>
  </si>
  <si>
    <t>Telefone:</t>
  </si>
  <si>
    <t>e-mail:</t>
  </si>
  <si>
    <t xml:space="preserve">Data da apresentação da proposta </t>
  </si>
  <si>
    <t>POSTO</t>
  </si>
  <si>
    <t>JORNADA MÊS
em hs</t>
  </si>
  <si>
    <t>QUANTIDADE DE POSTOS</t>
  </si>
  <si>
    <t>EMPREGADOS por  POSTO</t>
  </si>
  <si>
    <t>VALOR por
EMPREGADO</t>
  </si>
  <si>
    <t>VALOR por
POSTO</t>
  </si>
  <si>
    <t xml:space="preserve">VALOR
 por 
 MÊS </t>
  </si>
  <si>
    <t>VIGÊNCIA 
em 
 MESES</t>
  </si>
  <si>
    <t>QUANTITATIV
ITEM
EM MESES</t>
  </si>
  <si>
    <t>TOTAL ESTIMADO
PARA
12 MESES</t>
  </si>
  <si>
    <r>
      <rPr>
        <b/>
        <sz val="11"/>
        <color rgb="FF000000"/>
        <rFont val="Arial"/>
      </rPr>
      <t xml:space="preserve">TOTAL ESTIMADO
durante a
</t>
    </r>
    <r>
      <rPr>
        <b/>
        <sz val="11"/>
        <color rgb="FFC00000"/>
        <rFont val="Arial"/>
      </rPr>
      <t>VIGENCIA</t>
    </r>
  </si>
  <si>
    <t>INICIAL</t>
  </si>
  <si>
    <t>TOTAL CONTRATO (INICIAL)</t>
  </si>
  <si>
    <t>ANEXO IV - C</t>
  </si>
  <si>
    <t>Uniformes - EPIs_TODOS</t>
  </si>
  <si>
    <t>UNIFORMES, EPIs E INSUMOS</t>
  </si>
  <si>
    <t>Na tabela a seguir as quantidades e os valores mensais foram definidos por colaborador. Valor mensal por colaborador = [(preço unitário x quantidade por colaborador x colaboradores a receber) / total de colaboradores ] / período de reposição</t>
  </si>
  <si>
    <t>OR.</t>
  </si>
  <si>
    <t>DESCRIÇÃO</t>
  </si>
  <si>
    <t>Unidade</t>
  </si>
  <si>
    <t>Preço Unitário</t>
  </si>
  <si>
    <t>Quantidade por colaborador</t>
  </si>
  <si>
    <t>Valor mensal por colaborador</t>
  </si>
  <si>
    <t>Colaboradores a receber</t>
  </si>
  <si>
    <t>Período de Reposição</t>
  </si>
  <si>
    <t>Abafador de ruídos tipo concha que reduz 21db</t>
  </si>
  <si>
    <t>un</t>
  </si>
  <si>
    <t>meses</t>
  </si>
  <si>
    <t>Avental de raspa de couro, para operador de roçadeira costal</t>
  </si>
  <si>
    <t>UN</t>
  </si>
  <si>
    <t>Avental em napa branco para trabalhos no abatedouro e agroindústria. ABATEDOURO.</t>
  </si>
  <si>
    <t xml:space="preserve">Bloqueador, bloqueador solar, FPS 50, loção cremosa, dermatologicamente testada, vitamina E, hipoalergênico, não comedogênico, resistente a água e ao suor, com repelente, embalagem com mínimo 200 ml.
</t>
  </si>
  <si>
    <t>Frasco 200ml</t>
  </si>
  <si>
    <t>Blusa branca de algodão</t>
  </si>
  <si>
    <t>UND</t>
  </si>
  <si>
    <t>Boné aba curva com regulagem</t>
  </si>
  <si>
    <t>Boné árabe</t>
  </si>
  <si>
    <r>
      <rPr>
        <sz val="10"/>
        <color rgb="FF000000"/>
        <rFont val="Arial"/>
      </rPr>
      <t>Bota de borracha PVC impermeável,</t>
    </r>
    <r>
      <rPr>
        <sz val="10"/>
        <color rgb="FF000000"/>
        <rFont val="Arial"/>
      </rPr>
      <t xml:space="preserve"> cano alto,</t>
    </r>
    <r>
      <rPr>
        <sz val="10"/>
        <color rgb="FF000000"/>
        <rFont val="Arial"/>
      </rPr>
      <t xml:space="preserve"> Azul/amarela  com amarra galocha, com numeração do 38 ao 44</t>
    </r>
  </si>
  <si>
    <t>PAR</t>
  </si>
  <si>
    <r>
      <rPr>
        <sz val="10"/>
        <color rgb="FF000000"/>
        <rFont val="Arial"/>
      </rPr>
      <t>Bota de PVC cano médio branca</t>
    </r>
    <r>
      <rPr>
        <sz val="10"/>
        <color rgb="FF000000"/>
        <rFont val="Arial"/>
      </rPr>
      <t>, cano medio, com numeração do 38 ao 44</t>
    </r>
    <r>
      <rPr>
        <sz val="10"/>
        <color rgb="FF000000"/>
        <rFont val="Arial"/>
      </rPr>
      <t xml:space="preserve"> </t>
    </r>
  </si>
  <si>
    <t>Botinas em couro sintetico, cor preta, sem biqueira, com elastico, com solado reforçado, resistente a perfuração</t>
  </si>
  <si>
    <t xml:space="preserve">Calça branca de brim, com bolso para abates, elástico e cordão cintura(uso interno) </t>
  </si>
  <si>
    <t>UNIDADE</t>
  </si>
  <si>
    <r>
      <rPr>
        <sz val="10"/>
        <color rgb="FF000000"/>
        <rFont val="Arial"/>
      </rPr>
      <t xml:space="preserve">Calça comprida tecido social/brim (leve), </t>
    </r>
    <r>
      <rPr>
        <sz val="10"/>
        <color rgb="FF000000"/>
        <rFont val="Arial"/>
      </rPr>
      <t>cor escura,</t>
    </r>
    <r>
      <rPr>
        <sz val="10"/>
        <color rgb="FF000000"/>
        <rFont val="Arial"/>
      </rPr>
      <t xml:space="preserve"> mínimo 3 bolsos, corte diagonal, 30 ao 48, </t>
    </r>
    <r>
      <rPr>
        <sz val="10"/>
        <color rgb="FF000000"/>
        <rFont val="Arial"/>
      </rPr>
      <t>elástico e cordão cintura,</t>
    </r>
    <r>
      <rPr>
        <sz val="10"/>
        <color rgb="FF000000"/>
        <rFont val="Arial"/>
      </rPr>
      <t xml:space="preserve"> sem fecho. </t>
    </r>
  </si>
  <si>
    <r>
      <rPr>
        <sz val="10"/>
        <color rgb="FF000000"/>
        <rFont val="Arial"/>
      </rPr>
      <t xml:space="preserve">Calça em brim pesado, cintura com corda para ajuste, </t>
    </r>
    <r>
      <rPr>
        <sz val="10"/>
        <color rgb="FF000000"/>
        <rFont val="Arial"/>
      </rPr>
      <t>cor escura,</t>
    </r>
    <r>
      <rPr>
        <sz val="10"/>
        <color rgb="FF000000"/>
        <rFont val="Arial"/>
      </rPr>
      <t xml:space="preserve"> dois bolsos na frente e um bolso atrás</t>
    </r>
  </si>
  <si>
    <t>Calça de seletel (tactel)com bolso</t>
  </si>
  <si>
    <t>Calça para abates, cor escura, elástico e cordão cintura (uso externo).</t>
  </si>
  <si>
    <t>Camiseta manga curta, cor escura, contendo o nome da Empresa impresso ou bordado. Material 100% poliéster ou 50% algodão e 50% poliester</t>
  </si>
  <si>
    <t>Camiseta manga longa, cor escura, contendo o nome da Empresa impresso ou bordado. Material 100% poliéster ou 50% algodão e 50% poliester</t>
  </si>
  <si>
    <r>
      <rPr>
        <sz val="10"/>
        <color theme="1"/>
        <rFont val="Arial"/>
      </rPr>
      <t>Camiseta Braca para Abates,</t>
    </r>
    <r>
      <rPr>
        <sz val="10"/>
        <color theme="1"/>
        <rFont val="Arial"/>
      </rPr>
      <t xml:space="preserve"> </t>
    </r>
    <r>
      <rPr>
        <sz val="10"/>
        <color theme="1"/>
        <rFont val="Arial"/>
      </rPr>
      <t>manga curta.</t>
    </r>
  </si>
  <si>
    <t>CAPA DE CHUVA Com capuz e mangas compridas, em PVC, fechamento frontal, botões de pressão e costura através de solda eletrônica</t>
  </si>
  <si>
    <t>Capa cavaleiro boiadeiro sem manga (poncho) napa forrada impermeável</t>
  </si>
  <si>
    <t>Capacete com carneira classe A, material plastico, tipo Aba frontal, aplicação construção civil/Cia eletricidade e industriais</t>
  </si>
  <si>
    <r>
      <rPr>
        <sz val="10"/>
        <color theme="1"/>
        <rFont val="Arial"/>
      </rPr>
      <t xml:space="preserve">Capacete </t>
    </r>
    <r>
      <rPr>
        <sz val="10"/>
        <color theme="1"/>
        <rFont val="Arial"/>
      </rPr>
      <t>branco</t>
    </r>
    <r>
      <rPr>
        <sz val="10"/>
        <color theme="1"/>
        <rFont val="Arial"/>
      </rPr>
      <t xml:space="preserve"> contra impactos de queda de objetos, ABATEDOURO.</t>
    </r>
  </si>
  <si>
    <t>Chapéu de PALHA dupla com aba de 20 cm com barbicacho</t>
  </si>
  <si>
    <t>Chapéu, aba larga, com protetor de nuca para proteção do sol {não é o mesmo árabe, perguntar AL e SAU}</t>
  </si>
  <si>
    <t>Conjunto EPI completo impermeável para aplicação de defensivos (luvas, respirador com filtro viseira, boné tipo árabe, avental, 2 sacos big bag para descartes). Máximo de 30 ciclos de lavagens</t>
  </si>
  <si>
    <t>Conjunto composto por calça de segurança para motosserrista, luva de vaqueta e nylon motosserrista, capacete 3 em 1 com protetor facial tela e abafador (21db), botina com bico de aço e avental de raspa de couro</t>
  </si>
  <si>
    <t xml:space="preserve">Gorro branco para abates( uso interno) </t>
  </si>
  <si>
    <t xml:space="preserve">Gorro verde para abates (uso externo)
</t>
  </si>
  <si>
    <t xml:space="preserve">Jaleco branco para abates (uso interno)
</t>
  </si>
  <si>
    <t>Jaleco verde para abates (uso externo).</t>
  </si>
  <si>
    <r>
      <rPr>
        <sz val="10"/>
        <color theme="1"/>
        <rFont val="Arial"/>
      </rPr>
      <t>JAPONA, MATERIAL NYLON, MATERIAL FORRO MANTA TÉRMICA, TAMANHO G, TIPO MANGA LONGA COM PUNHO.</t>
    </r>
    <r>
      <rPr>
        <sz val="10"/>
        <color theme="1"/>
        <rFont val="Arial"/>
      </rPr>
      <t xml:space="preserve">
</t>
    </r>
  </si>
  <si>
    <r>
      <rPr>
        <sz val="10"/>
        <color theme="1"/>
        <rFont val="Arial"/>
      </rPr>
      <t>Jaqueta grossa para acesso a câmara fria</t>
    </r>
    <r>
      <rPr>
        <sz val="10"/>
        <color theme="1"/>
        <rFont val="Arial"/>
      </rPr>
      <t>, branca</t>
    </r>
    <r>
      <rPr>
        <sz val="10"/>
        <color theme="1"/>
        <rFont val="Arial"/>
      </rPr>
      <t>. ABATEDOURO</t>
    </r>
  </si>
  <si>
    <r>
      <rPr>
        <sz val="10"/>
        <color theme="1"/>
        <rFont val="Arial"/>
      </rPr>
      <t xml:space="preserve">Jaqueta social manga comprida contendo nome da empresa impresso ou bordado, </t>
    </r>
    <r>
      <rPr>
        <sz val="10"/>
        <color theme="1"/>
        <rFont val="Arial"/>
      </rPr>
      <t>cor escura,</t>
    </r>
    <r>
      <rPr>
        <sz val="10"/>
        <color theme="1"/>
        <rFont val="Arial"/>
      </rPr>
      <t xml:space="preserve"> tecido oxford, 100% poliéster, com forro interno</t>
    </r>
  </si>
  <si>
    <t>Luva de borracha impermeável, forrada e resistente, manga longa, com punho</t>
  </si>
  <si>
    <t>Luva Nitrilica, sem pó, ambidestra.</t>
  </si>
  <si>
    <t>caixa</t>
  </si>
  <si>
    <t>Luva Látex Tam. Único, cx com 100 unidades</t>
  </si>
  <si>
    <t>Caixa</t>
  </si>
  <si>
    <t>Luva de segurança de malha de aço, de cinco dedos, confeccionada em elos de aço inox cromo-níquel de 0,50mm, fechamento ajustável através de presilhas metálicas e botões metálicos de pressão no punho.</t>
  </si>
  <si>
    <t>Luvas de proteção, tipo vaqueta, em raspa de couro, 20 cm</t>
  </si>
  <si>
    <t>par</t>
  </si>
  <si>
    <t>Luvas tricotada pigmentada, para operador de roçadeira costal.</t>
  </si>
  <si>
    <t>Luva tátil, banhada em PU. A luva é confeccionada em nylon, recoberta com banho de poliuretano na palma, face palmar dos dedos e ponta dos dedos</t>
  </si>
  <si>
    <t>Macacão de Brim Manga Curta (cor escura)</t>
  </si>
  <si>
    <t>Máscara de proteção contra químicos fumigantes, com dois filtros removiveis. FABRICA DE RAÇOES UNIDADE DE ARMAZENAGEM</t>
  </si>
  <si>
    <t>Refil para Máscara de proteção (item anterior) vapor orânigo e gás ácido.</t>
  </si>
  <si>
    <r>
      <rPr>
        <sz val="10"/>
        <color theme="1"/>
        <rFont val="Arial"/>
      </rPr>
      <t>Máscara descartável para poeiras e fumos metálicos (cx 100und)</t>
    </r>
    <r>
      <rPr>
        <sz val="10"/>
        <color theme="1"/>
        <rFont val="Arial"/>
      </rPr>
      <t xml:space="preserve"> </t>
    </r>
  </si>
  <si>
    <t>Caixa 100 UND</t>
  </si>
  <si>
    <t>Óculos proteção, material armação policarbonato e nylon, tipo proteção lateral, material proteção policarbonato, tipo lente anti-risco, anti-embaçante, cor lente ESCURA, características adicionais com cordão de segurança, hastes de cor preta, material lente policarbonato.</t>
  </si>
  <si>
    <r>
      <rPr>
        <sz val="10"/>
        <color theme="1"/>
        <rFont val="Arial"/>
      </rPr>
      <t>Ó</t>
    </r>
    <r>
      <rPr>
        <sz val="10"/>
        <color theme="1"/>
        <rFont val="Arial"/>
      </rPr>
      <t>culos proteção, material armação policarbonato e nylon, tipo proteção lateral, material proteção policarbonato, tipo lente anti-risco, anti-embaçante, cor lente incolor, características adicionais com cordão de segurança, hastes de cor preta, material lente policarbonato</t>
    </r>
  </si>
  <si>
    <r>
      <rPr>
        <sz val="10"/>
        <color theme="1"/>
        <rFont val="Arial"/>
      </rPr>
      <t>Perneira para proteção em roçadas ou para locais com risco de animais peçonhentos</t>
    </r>
    <r>
      <rPr>
        <sz val="10"/>
        <color theme="1"/>
        <rFont val="Arial"/>
      </rPr>
      <t>, com tala</t>
    </r>
    <r>
      <rPr>
        <sz val="10"/>
        <color theme="1"/>
        <rFont val="Arial"/>
      </rPr>
      <t>.</t>
    </r>
  </si>
  <si>
    <t>Protetor auricular tipo plug. 3 falanges, tripla borda. Em silicone de grau farmacêutico, de fácil higienização. Atenuação mínima: 13 db. Acompanha caixa para guardar o produto. Deve conter o no do C.A. (Certificado de Aprovação do Ministério do Trabalho).</t>
  </si>
  <si>
    <r>
      <rPr>
        <sz val="10"/>
        <color theme="1"/>
        <rFont val="Arial"/>
      </rPr>
      <t>Protetor facial com tela de aço</t>
    </r>
    <r>
      <rPr>
        <sz val="10"/>
        <color theme="1"/>
        <rFont val="Arial"/>
      </rPr>
      <t>, com ajuste e anti embaçante,</t>
    </r>
    <r>
      <rPr>
        <sz val="10"/>
        <color theme="1"/>
        <rFont val="Arial"/>
      </rPr>
      <t xml:space="preserve"> para operador de roçadeira costal.</t>
    </r>
  </si>
  <si>
    <t>Repelente para Insetos, sem cheiro, sprey, 200ml.</t>
  </si>
  <si>
    <t>200 ml</t>
  </si>
  <si>
    <t>Touca de TNT branca descartável (caixa 100und)</t>
  </si>
  <si>
    <t>Respirador Valvulado PFF-1</t>
  </si>
  <si>
    <t>kit Cinto de Segurança Paraquedista/Abdominal 4 pontos de conexão (sem Talabarte), Talabarte (P) em Corda Trançada de 14mm com Regulador de Distância em INOX e Trava Queda para Corda 12mm com Extensor em Fita.
1 talabarte de posicionamento em corda com regulador aço inox</t>
  </si>
  <si>
    <t>Conjunto Calça/Camisa em polietileno transparente S/Capuz. Calça com elásticos na cintura e tornozelo. Proteção do tronco, membros superiores e membros inferiores do usuário contra umidade proveniente de operações com uso de água.</t>
  </si>
  <si>
    <t>CUSTO TOTAL MENSAL POR COLABORADOR</t>
  </si>
  <si>
    <t>EQUIPAMENTOS</t>
  </si>
  <si>
    <t>Na tabela a seguir as quantidades foram definidas para o total do contrato. Já os valores mensais foram definidos por colaborador. Valor mensal por colaborador = [(preço unitário x quantidade total do contrato) / total de colaboradores ] / período de reposição</t>
  </si>
  <si>
    <t>Quantidade Total do Contrato</t>
  </si>
  <si>
    <r>
      <rPr>
        <sz val="10"/>
        <color rgb="FF000000"/>
        <rFont val="Calibri, Arial"/>
      </rPr>
      <t>Furadeira de impacto;</t>
    </r>
    <r>
      <rPr>
        <sz val="10"/>
        <color rgb="FF000000"/>
        <rFont val="Calibri, Arial"/>
      </rPr>
      <t>minimo 650 watts,Diâmetro máximo de perfuração em metal: 13mm</t>
    </r>
  </si>
  <si>
    <t>Meses</t>
  </si>
  <si>
    <r>
      <rPr>
        <sz val="10"/>
        <color rgb="FF000000"/>
        <rFont val="Calibri, Arial"/>
      </rPr>
      <t xml:space="preserve">Kit de brocas para: Alvenaria, madeira e metal; </t>
    </r>
    <r>
      <rPr>
        <sz val="10"/>
        <color rgb="FF000000"/>
        <rFont val="Calibri, Arial"/>
      </rPr>
      <t>tamanhos: 2mm até 13mm; compativel com a furadeira</t>
    </r>
  </si>
  <si>
    <t>jogo</t>
  </si>
  <si>
    <t>Serra de mármore manual 4-7/8 pol</t>
  </si>
  <si>
    <t>Serra manual de madeira circular 7.1/2 pol.</t>
  </si>
  <si>
    <r>
      <rPr>
        <sz val="10"/>
        <color rgb="FF000000"/>
        <rFont val="Calibri, Arial"/>
      </rPr>
      <t>Esmerilhadeira angular</t>
    </r>
    <r>
      <rPr>
        <sz val="10"/>
        <color rgb="FF000000"/>
        <rFont val="Calibri, Arial"/>
      </rPr>
      <t xml:space="preserve"> 4.1/2 pol. minimo 650W  </t>
    </r>
  </si>
  <si>
    <t>Discos para mármore</t>
  </si>
  <si>
    <t>Disco para madeira para serra de  7.1/2 pol.</t>
  </si>
  <si>
    <t>Disco para ferro de corte, 4.1/2 pol</t>
  </si>
  <si>
    <t>Disco para ferro de desbaste, 4.1/2 pol</t>
  </si>
  <si>
    <t>Kit Caixa De Ferramentas Profissional Uso Mecanico 120 Pecas</t>
  </si>
  <si>
    <t xml:space="preserve">Soprador de folhas a gasolina motor 2 tempos </t>
  </si>
  <si>
    <t>Escada Extensível Vazada Laranja 6M, Degraus em formato “D”, Degraus úteis: 19, Dimensões:# Aberta: 6,00 metros, # Fechada: 3,65 metros.</t>
  </si>
  <si>
    <r>
      <rPr>
        <sz val="10"/>
        <color rgb="FF000000"/>
        <rFont val="Calibri, Arial"/>
      </rPr>
      <t xml:space="preserve">Parafusadeira e furadeira </t>
    </r>
    <r>
      <rPr>
        <sz val="10"/>
        <color rgb="FF000000"/>
        <rFont val="Calibri, Arial"/>
      </rPr>
      <t>(220v) a bateria minimo 18v com carregador,</t>
    </r>
    <r>
      <rPr>
        <sz val="10"/>
        <color rgb="FF000000"/>
        <rFont val="Calibri, Arial"/>
      </rPr>
      <t xml:space="preserve">  com 40 peças;</t>
    </r>
    <r>
      <rPr>
        <sz val="10"/>
        <color rgb="FF000000"/>
        <rFont val="Calibri, Arial"/>
      </rPr>
      <t xml:space="preserve"> velocidade variável e reversor</t>
    </r>
  </si>
  <si>
    <t>Pulverizador costal manual capacidade 20 litros</t>
  </si>
  <si>
    <r>
      <rPr>
        <sz val="10"/>
        <color rgb="FF000000"/>
        <rFont val="Calibri, Arial"/>
      </rPr>
      <t xml:space="preserve">Roçadeira lateral a gasolina 2 tempos, mínimo de 41,5 Cc e potência de 214HP, carretel de fio com rolamento, </t>
    </r>
    <r>
      <rPr>
        <sz val="10"/>
        <color rgb="FF000000"/>
        <rFont val="Calibri, Arial"/>
      </rPr>
      <t>lâmina de corte 3 pontas e lâmina de disco serra corte.</t>
    </r>
    <r>
      <rPr>
        <sz val="10"/>
        <color rgb="FF000000"/>
        <rFont val="Calibri, Arial"/>
      </rPr>
      <t xml:space="preserve"> </t>
    </r>
    <r>
      <rPr>
        <sz val="10"/>
        <color rgb="FF000000"/>
        <rFont val="Calibri, Arial"/>
      </rPr>
      <t>(Roçadeira similar a Husqvarna 345rf).</t>
    </r>
  </si>
  <si>
    <t>Carretel de fio com rolamento para roçadeira lateral a gasolina compatível com a roçadeira fornecida neste edital.</t>
  </si>
  <si>
    <t>Motossera a gasolina 2 tempos, 31,2 CC (similar a Stihl Ms180)</t>
  </si>
  <si>
    <r>
      <rPr>
        <sz val="10"/>
        <color rgb="FF000000"/>
        <rFont val="Calibri, Arial"/>
      </rPr>
      <t xml:space="preserve">Podador de galhos de altura a gasolina 2t 52cc </t>
    </r>
    <r>
      <rPr>
        <sz val="10"/>
        <color rgb="FF000000"/>
        <rFont val="Calibri, Arial"/>
      </rPr>
      <t>com extensor. Comprimento mínimo com extensor de 2,70 metros.</t>
    </r>
  </si>
  <si>
    <t>Lavadora de alta pressão pressão 2100 PSI, 220 volts, motor indução, vazão 360l/hora 2 rodas para transporte; Alça ergonômica removível; Espigão para conexão da mangueira;
Filtro de água;Sistema Stop Total;Suporte para Acessórios; Pistão de aço inox; Bomba axial com cabeçote de alumínio.Incluso: 01 Pistola de alta Pressão, 01 Lança, 01 Bico Regulável, 01 Bico Turbo, 01 Mangueira, 01 Aplicador de Detergente, 01 Cabo Elétrico</t>
  </si>
  <si>
    <t>Pulverizador costal a bateria elétrico, Capacidade: 20 litros, Peso líquido: 4,9 Kg, Pressão Máxima: 70 psi (4,9 bar) Vazão em aberto: 2,1 l/min, Painel Eletrônico com Micro Regulagem, bateria tipo: Lítio-ion, recarregável, Tensão nominal: 14,54 V (16,4 V max.), Capacidade: 84.3 Wh (5800 mAh), Cinta com alça de transporte, Gatilho e Engate Rápido. Similar a Jacto PJB.</t>
  </si>
  <si>
    <t>Conjunto caixa de ferramentas Cargobox contendo: Caixa com 5 gavetas,  Alças dobráveis,  Pintura eletrostática,  Alça e rodas para facilitar o transporte. Composto por no mínimo 60 peças sendo: - 01 Alicate de pressão 10” , 01 Alicate universal 8” isolado 1000V ,  01 Cabo T 10”,  01 Catraca 10”,  01 Chave ajustável 10”,  14 Chaves combinadas: 6, 8, 9, 10, 11, 12, 13, 14, 15, 16, 17, 19, 21 e 22 mm,  05 Chaves de fenda ponta chata: 3 x 75, 5 x 100, 6 x 125, 8 x 150, 9 x 150 mm,  04 Chaves de fenda ponta cruzada: 3 x 75, 5 x 100, 6 x 150, 8 x 150 mm;  01 Chave de fenda toco ponta chata: 6 x 38 mm,  01 Chave de fenda toco ponta cruzada: 6 x 38 mm,  02 Extensões: 5” e 10”,  01 Jogo de chaves hexagonais com 9 peças: 1.5, 2, 2.5, 3, 4, 5, 6, 8, 10 mm,  01 Martelo de pena 300g, 18 Soquetes estriados 1/2”: 12, 13, 14, 15, 16, 17, 18, 19, 20, 21, 22, 23, 24, 26, 27, 28, 30, 32mm.</t>
  </si>
  <si>
    <t>Soprador Aspirador e Triturador de Folhas Lateral a Gasolina 2T Especificações Técnicas: Aplicação: Uso Profissional,  Motor: Gasolina 2 tempos - 25:1, Potência: 0,9HP - 26cc, Rotação: # Máxima: 7,500 RPM, # Na Lenta: 3.000 RPM, Velocidade do ar: 77,78m/s - 280 km/h, Volume do ar: 470m³, Volume da bolsa: 70 litros, Partida: Manual Retrátil, Tanque: 0,65 litros, Consumo: 0,650 litros por hora, Autonomia: Aproximadamente 1 hora, Nível de Ruído: 114 Db,  Acessórios: Duto Reto 70mm x 320mm, Duto Reto 70mm x 380mm, Duto Curva 90° 70mm, Duto Reto 100mm x 480mm e Duto Reto Ponteira 100mm x 560mm, Bolsa para Aspirador, Dosador de Combustível, Chave de Vela e Manual do Produto. Similar a VULCAN-80029.</t>
  </si>
  <si>
    <t>Perfurador de Solo à Gasolina 52 CC com Broca 80 x 20 cm, Especificações Técnicas: Motor: 2 tempos; Potência: 2,5 HP (1.9 Kw), Cilindrada: 52 CC, Rotação máxima do motor: 11.000 RPM, Rotação na lenta: 3.200 RPM, Relação de redução: 30:01:00, Broca: 80 x 20 cm, Ignição: eletrônica, Arranque: manual com mola retrátil, Amortecedor: Sim, Carburador: membranas de alta eficiência, Combustível: gasolina com óleo 2 tempos – proporção: 25:1, Tanque de combustível: 1200 ml, Autonomia: Aproximadamente 1 hora. Similar a VULCAN-VPS-520.</t>
  </si>
  <si>
    <t>Máquina de esticar Arame para confecção de cercas e troques .</t>
  </si>
  <si>
    <t>Un</t>
  </si>
  <si>
    <t xml:space="preserve">Motosserra a gasolina, Cilindrada: 45.4 cc, Potência: 3.1 cv Similar a  
Motosserra Stihl MS 250. </t>
  </si>
  <si>
    <t>Tipo</t>
  </si>
  <si>
    <r>
      <rPr>
        <sz val="12"/>
        <color rgb="FF000000"/>
        <rFont val="Arial"/>
      </rPr>
      <t>Bota de borracha PVC impermeável,</t>
    </r>
    <r>
      <rPr>
        <sz val="12"/>
        <color rgb="FF000000"/>
        <rFont val="Arial"/>
      </rPr>
      <t xml:space="preserve"> cano alto,</t>
    </r>
    <r>
      <rPr>
        <sz val="12"/>
        <color rgb="FF000000"/>
        <rFont val="Arial"/>
      </rPr>
      <t xml:space="preserve"> Azul/amarela  com amarra galocha, com numeração do 38 ao 44</t>
    </r>
  </si>
  <si>
    <r>
      <rPr>
        <sz val="12"/>
        <color rgb="FF000000"/>
        <rFont val="Arial"/>
      </rPr>
      <t>Bota de PVC cano médio branca</t>
    </r>
    <r>
      <rPr>
        <sz val="12"/>
        <color rgb="FF000000"/>
        <rFont val="Arial"/>
      </rPr>
      <t>, cano medio, com numeração do 38 ao 44</t>
    </r>
    <r>
      <rPr>
        <sz val="12"/>
        <color rgb="FF000000"/>
        <rFont val="Arial"/>
      </rPr>
      <t xml:space="preserve"> </t>
    </r>
  </si>
  <si>
    <r>
      <rPr>
        <sz val="12"/>
        <color rgb="FF000000"/>
        <rFont val="Arial"/>
      </rPr>
      <t xml:space="preserve">Calça comprida tecido social/brim (leve), </t>
    </r>
    <r>
      <rPr>
        <sz val="12"/>
        <color rgb="FF000000"/>
        <rFont val="Arial"/>
      </rPr>
      <t>cor escura,</t>
    </r>
    <r>
      <rPr>
        <sz val="12"/>
        <color rgb="FF000000"/>
        <rFont val="Arial"/>
      </rPr>
      <t xml:space="preserve"> mínimo 3 bolsos, corte diagonal, 30 ao 48, </t>
    </r>
    <r>
      <rPr>
        <sz val="12"/>
        <color rgb="FF000000"/>
        <rFont val="Arial"/>
      </rPr>
      <t>elástico e cordão cintura,</t>
    </r>
    <r>
      <rPr>
        <sz val="12"/>
        <color rgb="FF000000"/>
        <rFont val="Arial"/>
      </rPr>
      <t xml:space="preserve"> sem fecho. </t>
    </r>
  </si>
  <si>
    <r>
      <rPr>
        <sz val="12"/>
        <color rgb="FF000000"/>
        <rFont val="Arial"/>
      </rPr>
      <t xml:space="preserve">Calça em brim pesado, cintura com corda para ajuste, </t>
    </r>
    <r>
      <rPr>
        <sz val="12"/>
        <color rgb="FF000000"/>
        <rFont val="Arial"/>
      </rPr>
      <t>cor escura,</t>
    </r>
    <r>
      <rPr>
        <sz val="12"/>
        <color rgb="FF000000"/>
        <rFont val="Arial"/>
      </rPr>
      <t xml:space="preserve"> dois bolsos na frente e um bolso atrás</t>
    </r>
  </si>
  <si>
    <r>
      <rPr>
        <sz val="12"/>
        <color theme="1"/>
        <rFont val="Arial"/>
      </rPr>
      <t>Camiseta Braca para Abates,</t>
    </r>
    <r>
      <rPr>
        <sz val="12"/>
        <color theme="1"/>
        <rFont val="Arial"/>
      </rPr>
      <t xml:space="preserve"> </t>
    </r>
    <r>
      <rPr>
        <sz val="12"/>
        <color theme="1"/>
        <rFont val="Arial"/>
      </rPr>
      <t>manga curta.</t>
    </r>
  </si>
  <si>
    <r>
      <rPr>
        <sz val="12"/>
        <color theme="1"/>
        <rFont val="Arial"/>
      </rPr>
      <t xml:space="preserve">Capacete </t>
    </r>
    <r>
      <rPr>
        <sz val="12"/>
        <color theme="1"/>
        <rFont val="Arial"/>
      </rPr>
      <t>branco</t>
    </r>
    <r>
      <rPr>
        <sz val="12"/>
        <color theme="1"/>
        <rFont val="Arial"/>
      </rPr>
      <t xml:space="preserve"> contra impactos de queda de objetos, ABATEDOURO.</t>
    </r>
  </si>
  <si>
    <r>
      <rPr>
        <sz val="12"/>
        <color theme="1"/>
        <rFont val="Arial"/>
      </rPr>
      <t>JAPONA, MATERIAL NYLON, MATERIAL FORRO MANTA TÉRMICA, TAMANHO G, TIPO MANGA LONGA COM PUNHO.</t>
    </r>
    <r>
      <rPr>
        <sz val="12"/>
        <color theme="1"/>
        <rFont val="Arial"/>
      </rPr>
      <t xml:space="preserve">
</t>
    </r>
  </si>
  <si>
    <r>
      <rPr>
        <sz val="12"/>
        <color theme="1"/>
        <rFont val="Arial"/>
      </rPr>
      <t>Jaqueta grossa para acesso a câmara fria</t>
    </r>
    <r>
      <rPr>
        <sz val="12"/>
        <color theme="1"/>
        <rFont val="Arial"/>
      </rPr>
      <t>, branca</t>
    </r>
    <r>
      <rPr>
        <sz val="12"/>
        <color theme="1"/>
        <rFont val="Arial"/>
      </rPr>
      <t>. ABATEDOURO</t>
    </r>
  </si>
  <si>
    <r>
      <rPr>
        <sz val="12"/>
        <color theme="1"/>
        <rFont val="Arial"/>
      </rPr>
      <t xml:space="preserve">Jaqueta social manga comprida contendo nome da empresa impresso ou bordado, </t>
    </r>
    <r>
      <rPr>
        <sz val="12"/>
        <color theme="1"/>
        <rFont val="Arial"/>
      </rPr>
      <t>cor escura,</t>
    </r>
    <r>
      <rPr>
        <sz val="12"/>
        <color theme="1"/>
        <rFont val="Arial"/>
      </rPr>
      <t xml:space="preserve"> tecido oxford, 100% poliéster, com forro interno</t>
    </r>
  </si>
  <si>
    <t>https://www.qualiflex.com.br/produto/protecao-ao-corte-alimenticio/luva-malha-de-aco-punho-curto</t>
  </si>
  <si>
    <r>
      <rPr>
        <sz val="12"/>
        <color theme="1"/>
        <rFont val="Arial"/>
      </rPr>
      <t>Máscara descartável para poeiras e fumos metálicos (cx 100und)</t>
    </r>
    <r>
      <rPr>
        <sz val="12"/>
        <color theme="1"/>
        <rFont val="Arial"/>
      </rPr>
      <t xml:space="preserve"> </t>
    </r>
  </si>
  <si>
    <r>
      <rPr>
        <sz val="12"/>
        <color theme="1"/>
        <rFont val="Arial"/>
      </rPr>
      <t>Ó</t>
    </r>
    <r>
      <rPr>
        <sz val="12"/>
        <color theme="1"/>
        <rFont val="Arial"/>
      </rPr>
      <t>culos proteção, material armação policarbonato e nylon, tipo proteção lateral, material proteção policarbonato, tipo lente anti-risco, anti-embaçante, cor lente incolor, características adicionais com cordão de segurança, hastes de cor preta, material lente policarbonato</t>
    </r>
  </si>
  <si>
    <r>
      <rPr>
        <sz val="12"/>
        <color theme="1"/>
        <rFont val="Arial"/>
      </rPr>
      <t>Perneira para proteção em roçadas ou para locais com risco de animais peçonhentos</t>
    </r>
    <r>
      <rPr>
        <sz val="12"/>
        <color theme="1"/>
        <rFont val="Arial"/>
      </rPr>
      <t>, com tala</t>
    </r>
    <r>
      <rPr>
        <sz val="12"/>
        <color theme="1"/>
        <rFont val="Arial"/>
      </rPr>
      <t>.</t>
    </r>
  </si>
  <si>
    <r>
      <rPr>
        <sz val="12"/>
        <color theme="1"/>
        <rFont val="Arial"/>
      </rPr>
      <t>Protetor facial com tela de aço</t>
    </r>
    <r>
      <rPr>
        <sz val="12"/>
        <color theme="1"/>
        <rFont val="Arial"/>
      </rPr>
      <t>, com ajuste e anti embaçante,</t>
    </r>
    <r>
      <rPr>
        <sz val="12"/>
        <color theme="1"/>
        <rFont val="Arial"/>
      </rPr>
      <t xml:space="preserve"> para operador de roçadeira costal.</t>
    </r>
  </si>
  <si>
    <t>dESCRIÇÃO</t>
  </si>
  <si>
    <t>Periodicidade de Consumo</t>
  </si>
  <si>
    <r>
      <rPr>
        <sz val="12"/>
        <color theme="1"/>
        <rFont val="Calibri, Arial"/>
      </rPr>
      <t>Furadeira de impacto;</t>
    </r>
    <r>
      <rPr>
        <sz val="12"/>
        <color theme="6"/>
        <rFont val="Calibri, Arial"/>
      </rPr>
      <t>minimo 650 watts,Diâmetro máximo de perfuração em metal: 13mm</t>
    </r>
  </si>
  <si>
    <r>
      <rPr>
        <sz val="12"/>
        <color theme="1"/>
        <rFont val="Calibri, Arial"/>
      </rPr>
      <t xml:space="preserve">Kit de brocas para: Alvenaria, madeira e metal; </t>
    </r>
    <r>
      <rPr>
        <sz val="12"/>
        <color rgb="FFFF0000"/>
        <rFont val="Calibri, Arial"/>
      </rPr>
      <t>tamanhos: 2mm até 13mm; compativel com a furadeira</t>
    </r>
  </si>
  <si>
    <r>
      <rPr>
        <sz val="12"/>
        <color theme="1"/>
        <rFont val="Calibri, Arial"/>
      </rPr>
      <t>Esmerilhadeira angular</t>
    </r>
    <r>
      <rPr>
        <sz val="12"/>
        <color rgb="FFFBBC04"/>
        <rFont val="Calibri, Arial"/>
      </rPr>
      <t xml:space="preserve"> 4.1/2 pol. minimo 650W  </t>
    </r>
  </si>
  <si>
    <r>
      <rPr>
        <sz val="12"/>
        <color theme="1"/>
        <rFont val="Calibri, Arial"/>
      </rPr>
      <t xml:space="preserve">Parafusadeira e furadeira </t>
    </r>
    <r>
      <rPr>
        <sz val="12"/>
        <color rgb="FFEA4335"/>
        <rFont val="Calibri, Arial"/>
      </rPr>
      <t>(220v) a bateria minimo 18v com carregador,</t>
    </r>
    <r>
      <rPr>
        <sz val="12"/>
        <color theme="1"/>
        <rFont val="Calibri, Arial"/>
      </rPr>
      <t xml:space="preserve">  com 40 peças;</t>
    </r>
    <r>
      <rPr>
        <sz val="12"/>
        <color rgb="FFFBBC04"/>
        <rFont val="Calibri, Arial"/>
      </rPr>
      <t xml:space="preserve"> velocidade variável e reversor</t>
    </r>
  </si>
  <si>
    <r>
      <rPr>
        <sz val="12"/>
        <color theme="1"/>
        <rFont val="Calibri, Arial"/>
      </rPr>
      <t xml:space="preserve">Roçadeira lateral a gasolina 2 tempos, mínimo de 41,5 Cc e potência de 214HP, carretel de fio com rolamento, </t>
    </r>
    <r>
      <rPr>
        <sz val="12"/>
        <color rgb="FF0000FF"/>
        <rFont val="Calibri, Arial"/>
      </rPr>
      <t>lâmina de corte 3 pontas e lâmina de disco serra corte.</t>
    </r>
    <r>
      <rPr>
        <sz val="12"/>
        <color rgb="FF00FF00"/>
        <rFont val="Calibri, Arial"/>
      </rPr>
      <t xml:space="preserve"> </t>
    </r>
    <r>
      <rPr>
        <sz val="12"/>
        <color theme="1"/>
        <rFont val="Calibri, Arial"/>
      </rPr>
      <t>(Roçadeira similar a Husqvarna 345rf).</t>
    </r>
  </si>
  <si>
    <r>
      <rPr>
        <sz val="12"/>
        <color theme="1"/>
        <rFont val="Calibri, Arial"/>
      </rPr>
      <t xml:space="preserve">Carretel de fio com rolamento para roçadeira lateral a gasolina </t>
    </r>
    <r>
      <rPr>
        <sz val="12"/>
        <color rgb="FF0000FF"/>
        <rFont val="Calibri, Arial"/>
      </rPr>
      <t>compativel com a roçadeira fornecida neste edital.</t>
    </r>
  </si>
  <si>
    <r>
      <rPr>
        <sz val="12"/>
        <color theme="1"/>
        <rFont val="Calibri, Arial"/>
      </rPr>
      <t xml:space="preserve">Podador de galhos de altura a gasolina 2t 52cc </t>
    </r>
    <r>
      <rPr>
        <sz val="12"/>
        <color rgb="FF0000FF"/>
        <rFont val="Calibri, Arial"/>
      </rPr>
      <t>com extensor. Comprimento mínimo com extensor de 2,70 metros.</t>
    </r>
  </si>
  <si>
    <t>Nº do processo:</t>
  </si>
  <si>
    <t>Licitação nº:</t>
  </si>
  <si>
    <t>DISCRIMINAÇÃO DOS SERVIÇOS (DADOS REFERENTES À CONTRATAÇÃO)</t>
  </si>
  <si>
    <t>A</t>
  </si>
  <si>
    <t>Data de apresentação da proposta (dia/mês/ano)</t>
  </si>
  <si>
    <t>B</t>
  </si>
  <si>
    <t>Município/UF</t>
  </si>
  <si>
    <t>C</t>
  </si>
  <si>
    <t>Ano do Acordo, Convenção ou Dissídio coletivo</t>
  </si>
  <si>
    <t>D</t>
  </si>
  <si>
    <t>Número de meses de execução contratual</t>
  </si>
  <si>
    <t>IDENTIFICAÇÃO DO SERVIÇO</t>
  </si>
  <si>
    <t>Unidade
 de 
Medida</t>
  </si>
  <si>
    <t xml:space="preserve">Quantidade total a contratar (Em função da unidade de medida) </t>
  </si>
  <si>
    <t>12 x 36 horas diurnas - de segunda-feira à sexta-feira</t>
  </si>
  <si>
    <t>posto</t>
  </si>
  <si>
    <t>-</t>
  </si>
  <si>
    <t>12  x 36 horas diurnas - de segunda-feira a domingo</t>
  </si>
  <si>
    <t>12 x 36 horas noturnas - de segunda-feira à sexta-feira</t>
  </si>
  <si>
    <t>44 horas semanais diurnas -  de segunda à sexta-feira</t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</si>
  <si>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</si>
  <si>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t>TOTAL DE POSTOS</t>
  </si>
  <si>
    <t>Nota 1: Esta tabela poderá ser adaptada às características do serviço contratado, inclusive no que concerne às rubricas e suas respectivas provisões e/ou estimativas, desde que haja justificativa.
Nota 2: As provisões constantes desta planilha poderão  ser desnecessárias quando se tratar de determinados serviços que prescindam da dedicação exclusiva dos trabalhadores da contratada para com a Administração.</t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</si>
  <si>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</si>
  <si>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>Dados para composição dos custos referente à mão de obra</t>
  </si>
  <si>
    <t>Tipo de serviço (mesmo serviço com características distintas)</t>
  </si>
  <si>
    <t>Classificação Brasileira de Ocupações (CBO)</t>
  </si>
  <si>
    <t>Salário Normativo da Categoria Profissional</t>
  </si>
  <si>
    <t>JORNADA
CONTRATADA</t>
  </si>
  <si>
    <t xml:space="preserve">Categoria Profissional (vinculada à execução contratual) </t>
  </si>
  <si>
    <t xml:space="preserve">Data-Base da Categoria (dia/mês/ano)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</si>
  <si>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</si>
  <si>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</si>
  <si>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</si>
  <si>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</si>
  <si>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t>Adicionais Previstos
Modulo - 1</t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</si>
  <si>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</si>
  <si>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</si>
  <si>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</si>
  <si>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t>Adicional de troca de uniforme com periculosidade</t>
  </si>
  <si>
    <t>Quantidade de pessoas por posto de serviço</t>
  </si>
  <si>
    <t>VALOR SALARIO MÍNIMO NACIONAL (2022)</t>
  </si>
  <si>
    <t>Nota 1:  Deverá ser elaborado um quadro para cada tipo de serviço.
Nota 2: A planilha será calculada considerando o valor mensal do empregado</t>
  </si>
  <si>
    <t>Módulo 1: Composição da Remuneração (por Posto)</t>
  </si>
  <si>
    <t>Composição da Remuneração (por Posto)</t>
  </si>
  <si>
    <t>Percentual (%)</t>
  </si>
  <si>
    <t xml:space="preserve">Valor 
(R$) </t>
  </si>
  <si>
    <t>Salário-Base</t>
  </si>
  <si>
    <t xml:space="preserve">Adicional de função </t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</si>
  <si>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</si>
  <si>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</t>
    </r>
  </si>
  <si>
    <t>E</t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</si>
  <si>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</si>
  <si>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t>F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</si>
  <si>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</si>
  <si>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t>G</t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</si>
  <si>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</si>
  <si>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t>H</t>
  </si>
  <si>
    <t xml:space="preserve">Horas extras A 50% </t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</si>
  <si>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</si>
  <si>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t>I</t>
  </si>
  <si>
    <t xml:space="preserve">Horas extras A 100% </t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</si>
  <si>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</si>
  <si>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t>J</t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</si>
  <si>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</si>
  <si>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t>K</t>
  </si>
  <si>
    <t xml:space="preserve">Outros (especificar)                      </t>
  </si>
  <si>
    <t xml:space="preserve">Remuneração 1 = Total da Remuneração de verbas de natureza salarial nas quais incidem INSS + FGTS + Férias + 13º, etc.  </t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</si>
  <si>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</si>
  <si>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</si>
  <si>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</si>
  <si>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t>Nota1:  O Módulo 1 refere-se ao valor mensal devido ao empregado pela prestação do serviço no período de 12 meses.</t>
  </si>
  <si>
    <t>Módulo 2 : Encargos e Benefícios Anuais, Mensais e Diários</t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</si>
  <si>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</si>
  <si>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2.1</t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</si>
  <si>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</si>
  <si>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t>Valor (R$)</t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</si>
  <si>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</si>
  <si>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</si>
  <si>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t>Total</t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</si>
  <si>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</si>
  <si>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</si>
  <si>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t>2.2</t>
  </si>
  <si>
    <t>GPS, FGTS e outras contribuições</t>
  </si>
  <si>
    <t>Valor
 (R$)</t>
  </si>
  <si>
    <t xml:space="preserve">INSS                                                                                                </t>
  </si>
  <si>
    <t xml:space="preserve">Salário Educação                                                                                            </t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</si>
  <si>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</si>
  <si>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t>RAT =</t>
  </si>
  <si>
    <t xml:space="preserve"> FAP =</t>
  </si>
  <si>
    <t xml:space="preserve">SESC ou SESI                                                                                                 </t>
  </si>
  <si>
    <t xml:space="preserve">SENAC ou SENAI                                                                                           </t>
  </si>
  <si>
    <t xml:space="preserve">SEBRAE                                                                                                              </t>
  </si>
  <si>
    <t xml:space="preserve">INCRA                                                                                                                  </t>
  </si>
  <si>
    <t xml:space="preserve">FGTS                                                                                                                 </t>
  </si>
  <si>
    <t>Nota 1: Os percentuais dos encargos previdenciários, do FGTS e demais contribuições são aqueles estabelecidos pela legislação vigente.
Nota 2: O SAT a depender do grau de risco do serviço irá variar entre 1%, para risco leve, de 2% para risco médio, e de 3% para risco grave.
Nota 3: Esses percentuais incidem sobre o Módulo 1, o Submódulo 2.1.</t>
  </si>
  <si>
    <t>Submódulo 2.3 – Benefícios Mensais e Diários</t>
  </si>
  <si>
    <t>2.3</t>
  </si>
  <si>
    <t>Benefícios Mensais e Diários</t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</si>
  <si>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</si>
  <si>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</si>
  <si>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</si>
  <si>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t xml:space="preserve">     A.3) Quantidade de dias do mês de recebimento de passagens</t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</si>
  <si>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</si>
  <si>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</si>
  <si>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F.1) Valor do Auxílio-Alimentação 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</si>
  <si>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F.2) Quantidade de dias do mês de recebimento de auxílio-alimentação</t>
    </r>
  </si>
  <si>
    <r>
      <rPr>
        <b/>
        <sz val="9"/>
        <color rgb="FFFF0000"/>
        <rFont val="Arial"/>
      </rPr>
      <t xml:space="preserve">     F.3)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</si>
  <si>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t>Assistência Médica e Familiar</t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</si>
  <si>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</si>
  <si>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L</t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</si>
  <si>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</si>
  <si>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>M</t>
  </si>
  <si>
    <t>Plano de Beneficio Familiar - BSF</t>
  </si>
  <si>
    <t>Outros (especificar)</t>
  </si>
  <si>
    <t>Nota 1: o valor informado deverá ser o custo real do insumo (descontado o valor eventualmente pago pelo empregado).
Nota 2: Observar a previsão dos benefícios contidos em Acordos, Convenções e Dissídios Coletivos de Trabalho e atentar-se ao disposto no artigo 6º desta Instrução Normativa.</t>
  </si>
  <si>
    <t>Quadro-Resumo do Módulo 2 – Encargos e Benefícios Anuais, Mensais e Diários</t>
  </si>
  <si>
    <t>Encargos e Benefícios Anuais, Mensais e Diários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</si>
  <si>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</si>
  <si>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t>Módulo 3 - Provisão para Rescisão</t>
  </si>
  <si>
    <t>Provisão para Rescisão</t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</si>
  <si>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</si>
  <si>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t>Incidência do FGTS sobre o Aviso Prévio Indenizado</t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</si>
  <si>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 xml:space="preserve">negociar extinção/redução na 1ª prorrogação)  Cálculo do valor= [(Rem1/30)x7]/ meses do contratox100% dos empregados - ao final do contrato)  </t>
    </r>
    <r>
      <rPr>
        <b/>
        <sz val="10"/>
        <color theme="1"/>
        <rFont val="Arial"/>
      </rPr>
      <t xml:space="preserve">  
</t>
    </r>
    <r>
      <rPr>
        <b/>
        <sz val="10"/>
        <color rgb="FF4A86E8"/>
        <rFont val="Arial"/>
      </rPr>
      <t>CONFORME ACORDAO  TCU 1.186/2017 definiu NOTA TEC. 652/2017 - MP PERCENTUAL MAXIMO DE 1,94% para aviso trabalhado e a sua reducao PARA o MAXIMO de  0,194%  apartir DA PRIMEIRA RENOVAÇÃO (observada rotatividade para manutenção deste custo - PREVIAMENTE ACORDADO COM A EMPRESA)</t>
    </r>
  </si>
  <si>
    <t>Incidência de GPS, FGTS e outras contribuições sobre o Aviso Prévio Trabalhado</t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</si>
  <si>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</si>
  <si>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t>TOTAL</t>
  </si>
  <si>
    <t>Módulo 4 - Custo de Reposição do Profissional Ausente</t>
  </si>
  <si>
    <t xml:space="preserve">Nota 1: Os itens que contemplam o módulo 4 se referem ao custo dos dias trabalhados pelo repositor/substituto quando o empregado alocado na prestação do serviço estiver ausente, conforme as previsões estabelecidas na legislação. </t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</si>
  <si>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</si>
  <si>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t>MÓD 1                 (= a Rem1)=</t>
  </si>
  <si>
    <t>+</t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</si>
  <si>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</si>
  <si>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t>MÓD 3 =</t>
  </si>
  <si>
    <t xml:space="preserve">Submódulo 4.1 – Substituto nas Ausências Legais </t>
  </si>
  <si>
    <t>4.1</t>
  </si>
  <si>
    <t>Substituto nas Ausências Legais</t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</si>
  <si>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</si>
  <si>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</si>
  <si>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</si>
  <si>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</si>
  <si>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</si>
  <si>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</si>
  <si>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Submódulo 4.2 – Substituto na Intrajornada</t>
  </si>
  <si>
    <t xml:space="preserve">4.2 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</si>
  <si>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</si>
  <si>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</si>
  <si>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</si>
  <si>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</si>
  <si>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4.2</t>
  </si>
  <si>
    <t>Módulo 5 – Insumos Diversos</t>
  </si>
  <si>
    <t>Insumos Diversos</t>
  </si>
  <si>
    <t xml:space="preserve">Uniformes </t>
  </si>
  <si>
    <t xml:space="preserve">OUTROS  </t>
  </si>
  <si>
    <t>0.00</t>
  </si>
  <si>
    <t xml:space="preserve">Total </t>
  </si>
  <si>
    <t>Nota: Valores mensais por empregado</t>
  </si>
  <si>
    <t>Módulo 6 - Custos Indiretos, Lucro e Tributos</t>
  </si>
  <si>
    <t xml:space="preserve">Custos Indiretos, Lucro e Tributos </t>
  </si>
  <si>
    <t>BASE DE CÁLCULO DOS CUSTOS INDIRETOS  = 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Diversos)</t>
  </si>
  <si>
    <t>Custos Indiretos</t>
  </si>
  <si>
    <t>BASE DE CÁLCULO DO LUCRO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Indiretos)</t>
  </si>
  <si>
    <t>BASE DE CÁLCULO DOS TRIBUTOS = (Total do Módulo 1 – Composição da  Remuneração2 + Total do Módulo 2 - Encargos e Benefícios Anuais, Mensais e Diários + Total do Módulo 3 – Provisão da Rescisão + Total do Módulo 4 - Custo de Reposição do Profissional Ausente + Total do Módulo 5 - Insumos Diversos + Custos Indiretos + Lucro)</t>
  </si>
  <si>
    <t>Tributos</t>
  </si>
  <si>
    <t>C.1    Tributos federais (especificar)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</si>
  <si>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</si>
  <si>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</si>
  <si>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</si>
  <si>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</si>
  <si>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>C.2   Tributos estaduais (especificar)</t>
  </si>
  <si>
    <t>C.3   Tributos municipais (especificar):</t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</si>
  <si>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</si>
  <si>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t xml:space="preserve">Percentual Total e Valor Total de Tributos  </t>
  </si>
  <si>
    <t>Cálculo dos Tributos</t>
  </si>
  <si>
    <t xml:space="preserve">                                         Base de Cálculo para os Tributos</t>
  </si>
  <si>
    <t xml:space="preserve"> = ( --------------------------------------------------------- ) x Alíquota do Tributo</t>
  </si>
  <si>
    <t xml:space="preserve">                                  1 - (Total de Tributos em % dividido por 100)</t>
  </si>
  <si>
    <t>Nota 1: Custos Indiretos, Lucro e Tributos por empregado.
Nota 2: O valor referente a tributos é obtido aplicando-se o percentual sobre o valor do faturamento.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</si>
  <si>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</si>
  <si>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Mão de obra vinculada à execução contratual (valor por Posto de Trabalho)</t>
  </si>
  <si>
    <t>Módulo 1 - Composição da Remuneração2</t>
  </si>
  <si>
    <t>Módulo 2 – Encargos e Benefícios Anuais, Mensais e Diários</t>
  </si>
  <si>
    <t>Módulo 3 – Provisão para Rescisão</t>
  </si>
  <si>
    <t>Módulo 4 – Custo de Reposição do Profissional Ausente</t>
  </si>
  <si>
    <t xml:space="preserve">Módulo 5 - Insumos Diversos </t>
  </si>
  <si>
    <t>Subtotal (A + B + C + D + E)</t>
  </si>
  <si>
    <t>Valor Total por Posto</t>
  </si>
  <si>
    <t xml:space="preserve">O complemento abaixo é uma planilha auxiliar que consolida as várias planilhas com os diferentes tipos de postos </t>
  </si>
  <si>
    <t>3.  COMPLEMENTO DOS SERVIÇOS – VALOR MENSAL DOS SERVIÇOS</t>
  </si>
  <si>
    <t>ESCALA DE TRABALHO</t>
  </si>
  <si>
    <t>PREÇO MENSAL DO POSTO  
(R$)</t>
  </si>
  <si>
    <t>NÚMERO DE POSTOS</t>
  </si>
  <si>
    <t>SUBTOTAL
(R$)</t>
  </si>
  <si>
    <t>44 (quarenta e quatro) horas semanais diurnas, de segunda a sexta-feira envolvendo 1 (um) vigilante</t>
  </si>
  <si>
    <t xml:space="preserve">12 horas diurnas, de segunda-feira a domingo, envolvendo 2 (dois) vigilantes em turnos de  12 (doze) por 36 (trinta e seis) horas </t>
  </si>
  <si>
    <t xml:space="preserve">12 horas diurnas, de segunda-feira à sexta-feira, envolvendo 2 (dois) vigilantes em turnos de  12 (doze) por 36 (trinta e seis) horas </t>
  </si>
  <si>
    <t xml:space="preserve">12 horas noturnas, de segunda-feira à sexta-feira, envolvendo 2 (dois) vigilantes em turnos de  12 (doze) por 36 (trinta e seis) horas 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</si>
  <si>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</si>
  <si>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t>TOTAL:</t>
  </si>
  <si>
    <t xml:space="preserve">Nota: Nos casos de inclusão de outros tipos de postos, observar o disposto no item 4 do Anexo VI-A, desta Instrução Normativa </t>
  </si>
  <si>
    <t>Valor mensal do serviço</t>
  </si>
  <si>
    <t>Número de meses do contrato</t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</si>
  <si>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</si>
  <si>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</si>
  <si>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</si>
  <si>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t xml:space="preserve">Salário Normativo da Categoria Profissional </t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</si>
  <si>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</si>
  <si>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</si>
  <si>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</si>
  <si>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</si>
  <si>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</si>
  <si>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</si>
  <si>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t xml:space="preserve">Valor da Hora COM 
periculosidade </t>
  </si>
  <si>
    <r>
      <rPr>
        <b/>
        <sz val="10"/>
        <color rgb="FFFF0000"/>
        <rFont val="Arial"/>
      </rPr>
      <t xml:space="preserve">VALOR DO ADICIONAL DE PERICULOSIDADE
</t>
    </r>
    <r>
      <rPr>
        <b/>
        <sz val="10"/>
        <color rgb="FF0000FF"/>
        <rFont val="Arial"/>
      </rPr>
      <t>(30% do salário normativo)</t>
    </r>
    <r>
      <rPr>
        <b/>
        <sz val="10"/>
        <color rgb="FFFF0000"/>
        <rFont val="Arial"/>
      </rPr>
      <t xml:space="preserve">             </t>
    </r>
    <r>
      <rPr>
        <b/>
        <sz val="9"/>
        <color rgb="FFFF0000"/>
        <rFont val="Arial"/>
      </rPr>
      <t xml:space="preserve">  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</si>
  <si>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</si>
  <si>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</si>
  <si>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</si>
  <si>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</si>
  <si>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</si>
  <si>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</si>
  <si>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</si>
  <si>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</si>
  <si>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</si>
  <si>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</si>
  <si>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</si>
  <si>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</si>
  <si>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</si>
  <si>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</si>
  <si>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</si>
  <si>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</si>
  <si>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</si>
  <si>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</si>
  <si>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</si>
  <si>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</si>
  <si>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</si>
  <si>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</si>
  <si>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</si>
  <si>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</si>
  <si>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</si>
  <si>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</si>
  <si>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</si>
  <si>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</si>
  <si>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</si>
  <si>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</si>
  <si>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 xml:space="preserve">negociar extinção/redução na 1ª prorrogação)  Cálculo do valor= [(Rem1/30)x7]/ meses do contratox100% dos empregados - ao final do contrato)  </t>
    </r>
    <r>
      <rPr>
        <b/>
        <sz val="10"/>
        <color theme="1"/>
        <rFont val="Arial"/>
      </rPr>
      <t xml:space="preserve">  
</t>
    </r>
    <r>
      <rPr>
        <b/>
        <sz val="10"/>
        <color rgb="FF4A86E8"/>
        <rFont val="Arial"/>
      </rPr>
      <t>CONFORME ACORDAO  TCU 1.186/2017 definiu NOTA TEC. 652/2017 - MP PERCENTUAL MAXIMO DE 1,94% para aviso trabalhado e a sua reducao PARA o MAXIMO de  0,194%  apartir DA PRIMEIRA RENOVAÇÃO (observada rotatividade para manutenção deste custo - PREVIAMENTE ACORDADO COM A EMPRESA)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</si>
  <si>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</si>
  <si>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</si>
  <si>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</si>
  <si>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</si>
  <si>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</si>
  <si>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</si>
  <si>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</si>
  <si>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</si>
  <si>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</si>
  <si>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t>Uniformes</t>
  </si>
  <si>
    <t xml:space="preserve">Outros  </t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</si>
  <si>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</si>
  <si>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</si>
  <si>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</si>
  <si>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</si>
  <si>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</si>
  <si>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</si>
  <si>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</si>
  <si>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</si>
  <si>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</si>
  <si>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</si>
  <si>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</si>
  <si>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</si>
  <si>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</si>
  <si>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</si>
  <si>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</si>
  <si>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</si>
  <si>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</si>
  <si>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</si>
  <si>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</si>
  <si>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</si>
  <si>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</si>
  <si>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</si>
  <si>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</si>
  <si>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</si>
  <si>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</si>
  <si>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</si>
  <si>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</si>
  <si>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</si>
  <si>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</si>
  <si>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</si>
  <si>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</si>
  <si>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</si>
  <si>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</si>
  <si>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</si>
  <si>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</si>
  <si>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</si>
  <si>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</si>
  <si>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</si>
  <si>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</si>
  <si>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</si>
  <si>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</si>
  <si>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</si>
  <si>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</si>
  <si>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</si>
  <si>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</si>
  <si>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t xml:space="preserve">Plano de Beneficio Familiar </t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</si>
  <si>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</si>
  <si>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</si>
  <si>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</si>
  <si>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</si>
  <si>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</si>
  <si>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</si>
  <si>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</si>
  <si>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</si>
  <si>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</si>
  <si>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</si>
  <si>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</si>
  <si>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</si>
  <si>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</si>
  <si>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</si>
  <si>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</si>
  <si>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t xml:space="preserve">  a) ISS        </t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</si>
  <si>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</si>
  <si>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</si>
  <si>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</si>
  <si>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</si>
  <si>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</si>
  <si>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R$ 2.016,00</t>
    </r>
  </si>
  <si>
    <r>
      <rPr>
        <b/>
        <sz val="10"/>
        <color rgb="FFFF0000"/>
        <rFont val="Arial"/>
      </rPr>
      <t xml:space="preserve">Valor do salário x  hora SEM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</si>
  <si>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</si>
  <si>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</si>
  <si>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</si>
  <si>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com ADIC. 25%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</si>
  <si>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50% com ADIC 25% SÁBADOS (febrabpils)
</t>
    </r>
    <r>
      <rPr>
        <b/>
        <sz val="10"/>
        <color rgb="FF0070C0"/>
        <rFont val="Arial"/>
      </rPr>
      <t>salar hora × 1,75</t>
    </r>
  </si>
  <si>
    <r>
      <rPr>
        <b/>
        <sz val="10"/>
        <color rgb="FFFF0000"/>
        <rFont val="Arial"/>
      </rPr>
      <t xml:space="preserve">Valor da hora EXTRA A 100% com ADIC 50% DOMINGOS E FERIADOS (febrabpils)
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sal hora × 2,5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</si>
  <si>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</si>
  <si>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</si>
  <si>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</si>
  <si>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t>QUANT. hs NOTURNAS</t>
  </si>
  <si>
    <t>Vlr da Hora
NOTURNA</t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</si>
  <si>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</si>
  <si>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</si>
  <si>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</si>
  <si>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t>QUANT. hs 50%</t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</si>
  <si>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</si>
  <si>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</si>
  <si>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t>QUANT. hs 100%</t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</si>
  <si>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</si>
  <si>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</si>
  <si>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</si>
  <si>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</si>
  <si>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</si>
  <si>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</si>
  <si>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</si>
  <si>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</si>
  <si>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</si>
  <si>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</si>
  <si>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</si>
  <si>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</si>
  <si>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</si>
  <si>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</si>
  <si>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</si>
  <si>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</si>
  <si>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</si>
  <si>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</si>
  <si>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</si>
  <si>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</si>
  <si>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</si>
  <si>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</si>
  <si>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</si>
  <si>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</si>
  <si>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</si>
  <si>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</si>
  <si>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</si>
  <si>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</si>
  <si>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</si>
  <si>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</si>
  <si>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</si>
  <si>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</si>
  <si>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</si>
  <si>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</si>
  <si>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</si>
  <si>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</si>
  <si>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</si>
  <si>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</si>
  <si>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</si>
  <si>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</si>
  <si>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t>3.  COMPLEMENTO DOS SERVIÇOS DE VIGILÂNCIA – VALOR MENSAL DOS SERVIÇOS</t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</si>
  <si>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</si>
  <si>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</si>
  <si>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</si>
  <si>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</si>
  <si>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theme="1"/>
        <rFont val="Arial"/>
      </rPr>
      <t xml:space="preserve">Salário Normativo da Categoria Profissional 
</t>
    </r>
    <r>
      <rPr>
        <b/>
        <sz val="10"/>
        <color rgb="FFC00000"/>
        <rFont val="Arial"/>
      </rPr>
      <t>(PESQUISA MERCADO)
100hs  R$ 2.016,00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</si>
  <si>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</si>
  <si>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</si>
  <si>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</si>
  <si>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</si>
  <si>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</si>
  <si>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</si>
  <si>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</si>
  <si>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</si>
  <si>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</si>
  <si>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: </t>
    </r>
    <r>
      <rPr>
        <b/>
        <sz val="10"/>
        <color rgb="FF0070C0"/>
        <rFont val="Arial"/>
      </rPr>
      <t xml:space="preserve">25% s/salario base febrapils </t>
    </r>
    <r>
      <rPr>
        <b/>
        <sz val="10"/>
        <color rgb="FF00B050"/>
        <rFont val="Arial"/>
      </rPr>
      <t>(INFORMAR realizadas)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</si>
  <si>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</si>
  <si>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</si>
  <si>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>Hrs extras A 50%</t>
    </r>
    <r>
      <rPr>
        <b/>
        <sz val="10"/>
        <color rgb="FF00B050"/>
        <rFont val="Arial"/>
      </rPr>
      <t xml:space="preserve">(INFORMAR realizadas)
</t>
    </r>
    <r>
      <rPr>
        <b/>
        <sz val="10"/>
        <color rgb="FFC00000"/>
        <rFont val="Arial"/>
      </rPr>
      <t>ADIC 25% SÁBADOS (febrabpils)</t>
    </r>
  </si>
  <si>
    <r>
      <rPr>
        <b/>
        <sz val="10"/>
        <color theme="1"/>
        <rFont val="Arial"/>
      </rPr>
      <t xml:space="preserve">Vlr da Hora 50%
</t>
    </r>
    <r>
      <rPr>
        <b/>
        <sz val="10"/>
        <color rgb="FFC00000"/>
        <rFont val="Arial"/>
      </rPr>
      <t>+ 25% febrapils</t>
    </r>
  </si>
  <si>
    <r>
      <rPr>
        <b/>
        <sz val="10"/>
        <color rgb="FF000000"/>
        <rFont val="Arial"/>
      </rPr>
      <t>Hrs extras A 100%</t>
    </r>
    <r>
      <rPr>
        <b/>
        <sz val="10"/>
        <color rgb="FF00B050"/>
        <rFont val="Arial"/>
      </rPr>
      <t xml:space="preserve"> (INFORMAR realizadas)
</t>
    </r>
    <r>
      <rPr>
        <b/>
        <sz val="10"/>
        <color rgb="FFC00000"/>
        <rFont val="Arial"/>
      </rPr>
      <t>ADIC 50% DOM e FERIADOS (febrabpils)</t>
    </r>
  </si>
  <si>
    <r>
      <rPr>
        <b/>
        <sz val="10"/>
        <color theme="1"/>
        <rFont val="Arial"/>
      </rPr>
      <t xml:space="preserve">Vlr da Hora 100% 
</t>
    </r>
    <r>
      <rPr>
        <b/>
        <sz val="10"/>
        <color rgb="FFC00000"/>
        <rFont val="Arial"/>
      </rPr>
      <t>+ 50% febrapils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</si>
  <si>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</si>
  <si>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</si>
  <si>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</si>
  <si>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</si>
  <si>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</si>
  <si>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</si>
  <si>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</si>
  <si>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</si>
  <si>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</si>
  <si>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</si>
  <si>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</si>
  <si>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</si>
  <si>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</si>
  <si>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</si>
  <si>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</si>
  <si>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</si>
  <si>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</si>
  <si>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</si>
  <si>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</si>
  <si>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</si>
  <si>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</si>
  <si>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</si>
  <si>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</si>
  <si>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</si>
  <si>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</si>
  <si>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</si>
  <si>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</si>
  <si>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</si>
  <si>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</si>
  <si>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</si>
  <si>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</si>
  <si>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</si>
  <si>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</si>
  <si>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</si>
  <si>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</si>
  <si>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</si>
  <si>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</si>
  <si>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</si>
  <si>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</si>
  <si>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</si>
  <si>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</si>
  <si>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</si>
  <si>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</si>
  <si>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</si>
  <si>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</si>
  <si>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</si>
  <si>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</si>
  <si>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</si>
  <si>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</si>
  <si>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</si>
  <si>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</si>
  <si>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</si>
  <si>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</si>
  <si>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</si>
  <si>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</si>
  <si>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</si>
  <si>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</si>
  <si>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</si>
  <si>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</si>
  <si>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</si>
  <si>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</si>
  <si>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</si>
  <si>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</si>
  <si>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</si>
  <si>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</si>
  <si>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</si>
  <si>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</si>
  <si>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</si>
  <si>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</si>
  <si>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</si>
  <si>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</si>
  <si>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</si>
  <si>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</si>
  <si>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</si>
  <si>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</si>
  <si>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</si>
  <si>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</si>
  <si>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</si>
  <si>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</si>
  <si>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</si>
  <si>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</si>
  <si>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</si>
  <si>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</si>
  <si>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</si>
  <si>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</si>
  <si>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</si>
  <si>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</si>
  <si>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</si>
  <si>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</si>
  <si>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</si>
  <si>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</si>
  <si>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</si>
  <si>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</si>
  <si>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</si>
  <si>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</si>
  <si>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</si>
  <si>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</si>
  <si>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</si>
  <si>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</si>
  <si>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</si>
  <si>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</si>
  <si>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</si>
  <si>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</si>
  <si>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</si>
  <si>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</si>
  <si>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</si>
  <si>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</si>
  <si>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</si>
  <si>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</si>
  <si>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</si>
  <si>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</si>
  <si>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</si>
  <si>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</si>
  <si>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</si>
  <si>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</si>
  <si>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</si>
  <si>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</si>
  <si>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</si>
  <si>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</si>
  <si>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</si>
  <si>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</si>
  <si>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</si>
  <si>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</si>
  <si>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</si>
  <si>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</si>
  <si>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</si>
  <si>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</si>
  <si>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</si>
  <si>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</si>
  <si>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</si>
  <si>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</si>
  <si>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</si>
  <si>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</si>
  <si>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</si>
  <si>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</si>
  <si>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</si>
  <si>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</si>
  <si>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</si>
  <si>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</si>
  <si>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</si>
  <si>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</si>
  <si>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</si>
  <si>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</si>
  <si>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</si>
  <si>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</si>
  <si>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</si>
  <si>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</si>
  <si>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</si>
  <si>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</si>
  <si>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</si>
  <si>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</si>
  <si>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</si>
  <si>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</si>
  <si>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</si>
  <si>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</si>
  <si>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</si>
  <si>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</si>
  <si>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</si>
  <si>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</si>
  <si>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</si>
  <si>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</si>
  <si>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</si>
  <si>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</si>
  <si>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</si>
  <si>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</si>
  <si>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</si>
  <si>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</si>
  <si>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</si>
  <si>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</si>
  <si>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</si>
  <si>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</si>
  <si>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</si>
  <si>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</si>
  <si>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</si>
  <si>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</si>
  <si>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</si>
  <si>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</si>
  <si>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</si>
  <si>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</si>
  <si>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</si>
  <si>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</si>
  <si>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</si>
  <si>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</si>
  <si>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</si>
  <si>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</si>
  <si>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</si>
  <si>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</si>
  <si>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</si>
  <si>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</si>
  <si>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</si>
  <si>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</si>
  <si>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</si>
  <si>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</si>
  <si>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</si>
  <si>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</si>
  <si>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</si>
  <si>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</si>
  <si>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</si>
  <si>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</si>
  <si>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</si>
  <si>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</si>
  <si>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</si>
  <si>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</si>
  <si>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</si>
  <si>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</si>
  <si>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</si>
  <si>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</si>
  <si>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</si>
  <si>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</si>
  <si>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</si>
  <si>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</si>
  <si>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</si>
  <si>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</si>
  <si>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</si>
  <si>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</si>
  <si>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</si>
  <si>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</si>
  <si>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</si>
  <si>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</si>
  <si>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</si>
  <si>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</si>
  <si>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</si>
  <si>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</si>
  <si>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</si>
  <si>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</si>
  <si>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</si>
  <si>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</si>
  <si>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</si>
  <si>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</si>
  <si>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</si>
  <si>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</si>
  <si>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</si>
  <si>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</si>
  <si>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</si>
  <si>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</si>
  <si>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</si>
  <si>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</si>
  <si>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</si>
  <si>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</si>
  <si>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</si>
  <si>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</si>
  <si>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</si>
  <si>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</si>
  <si>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</si>
  <si>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</si>
  <si>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</si>
  <si>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</si>
  <si>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</si>
  <si>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</si>
  <si>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</si>
  <si>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</si>
  <si>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</si>
  <si>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</si>
  <si>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</si>
  <si>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</si>
  <si>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</si>
  <si>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</si>
  <si>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</si>
  <si>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</si>
  <si>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</si>
  <si>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</si>
  <si>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</si>
  <si>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</si>
  <si>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</si>
  <si>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</si>
  <si>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</si>
  <si>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</si>
  <si>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</si>
  <si>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</si>
  <si>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</si>
  <si>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</si>
  <si>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</si>
  <si>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</si>
  <si>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</si>
  <si>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</si>
  <si>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</si>
  <si>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</si>
  <si>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</si>
  <si>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</si>
  <si>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</si>
  <si>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</si>
  <si>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</si>
  <si>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</si>
  <si>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</si>
  <si>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</si>
  <si>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</si>
  <si>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</si>
  <si>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</si>
  <si>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</si>
  <si>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</si>
  <si>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</si>
  <si>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</si>
  <si>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</si>
  <si>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</si>
  <si>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</si>
  <si>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</si>
  <si>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</si>
  <si>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</si>
  <si>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</si>
  <si>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</si>
  <si>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</si>
  <si>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</si>
  <si>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</si>
  <si>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</si>
  <si>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</si>
  <si>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</si>
  <si>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</si>
  <si>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</si>
  <si>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</si>
  <si>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</si>
  <si>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</si>
  <si>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</si>
  <si>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</si>
  <si>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</si>
  <si>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</si>
  <si>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</si>
  <si>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</si>
  <si>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</si>
  <si>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</si>
  <si>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</si>
  <si>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</si>
  <si>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</si>
  <si>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</si>
  <si>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</si>
  <si>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</si>
  <si>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</si>
  <si>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</si>
  <si>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</si>
  <si>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</si>
  <si>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</si>
  <si>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</si>
  <si>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</si>
  <si>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</si>
  <si>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</si>
  <si>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</si>
  <si>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</si>
  <si>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</si>
  <si>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</si>
  <si>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</si>
  <si>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</si>
  <si>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</si>
  <si>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</si>
  <si>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</si>
  <si>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</si>
  <si>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</si>
  <si>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</si>
  <si>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</si>
  <si>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</si>
  <si>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</si>
  <si>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</si>
  <si>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</si>
  <si>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</si>
  <si>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</si>
  <si>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</si>
  <si>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</si>
  <si>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</si>
  <si>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</si>
  <si>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</si>
  <si>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</si>
  <si>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</si>
  <si>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</si>
  <si>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</si>
  <si>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</si>
  <si>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</si>
  <si>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</si>
  <si>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</si>
  <si>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</si>
  <si>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</si>
  <si>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</si>
  <si>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</si>
  <si>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</si>
  <si>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</si>
  <si>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</si>
  <si>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</si>
  <si>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</si>
  <si>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</si>
  <si>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</si>
  <si>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</si>
  <si>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</si>
  <si>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</si>
  <si>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</si>
  <si>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</si>
  <si>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</si>
  <si>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r>
      <rPr>
        <b/>
        <sz val="10"/>
        <color rgb="FF00B0F0"/>
        <rFont val="Arial"/>
      </rPr>
      <t xml:space="preserve">Outros (especificar) </t>
    </r>
    <r>
      <rPr>
        <b/>
        <sz val="12"/>
        <color rgb="FF00B0F0"/>
        <rFont val="Arial"/>
      </rPr>
      <t>(excluir as linhas não utilizadas)</t>
    </r>
  </si>
  <si>
    <r>
      <rPr>
        <b/>
        <sz val="15"/>
        <color theme="1"/>
        <rFont val="Arial"/>
      </rPr>
      <t xml:space="preserve">1. MÓDULOS .
</t>
    </r>
    <r>
      <rPr>
        <b/>
        <sz val="12"/>
        <color rgb="FF000000"/>
        <rFont val="Arial"/>
      </rPr>
      <t xml:space="preserve">Mão de obra
</t>
    </r>
    <r>
      <rPr>
        <b/>
        <sz val="11"/>
        <color rgb="FF000000"/>
        <rFont val="Arial"/>
      </rPr>
      <t>Mão de obra vinculada à execução contratual</t>
    </r>
  </si>
  <si>
    <r>
      <rPr>
        <b/>
        <sz val="10"/>
        <color rgb="FFFF0000"/>
        <rFont val="Arial"/>
      </rPr>
      <t xml:space="preserve">Valor do salário x hora adicionais 
</t>
    </r>
    <r>
      <rPr>
        <b/>
        <sz val="10"/>
        <color rgb="FF0000FF"/>
        <rFont val="Arial"/>
      </rPr>
      <t>VSH (s/peri)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do salário normativo / 220 h)</t>
    </r>
  </si>
  <si>
    <r>
      <rPr>
        <b/>
        <sz val="10"/>
        <color rgb="FFFF0000"/>
        <rFont val="Arial"/>
      </rPr>
      <t xml:space="preserve">Vlr do salário × hora com  Adicionais pertinentes 
</t>
    </r>
    <r>
      <rPr>
        <b/>
        <sz val="10"/>
        <color rgb="FF0000FF"/>
        <rFont val="Arial"/>
      </rPr>
      <t>VSH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ou 20% insalub)  e adicional de funcao</t>
    </r>
  </si>
  <si>
    <r>
      <rPr>
        <b/>
        <sz val="10"/>
        <color rgb="FFFF0000"/>
        <rFont val="Arial"/>
      </rPr>
      <t xml:space="preserve">Valor da hora EXTRA sem adicionais pertinentes -  50% 
</t>
    </r>
    <r>
      <rPr>
        <b/>
        <sz val="10"/>
        <color rgb="FF0000FF"/>
        <rFont val="Arial"/>
      </rPr>
      <t>HE (c/peri) = (valor da hora + 50% de peri)</t>
    </r>
  </si>
  <si>
    <r>
      <rPr>
        <b/>
        <sz val="10"/>
        <color rgb="FFFF0000"/>
        <rFont val="Arial"/>
      </rPr>
      <t xml:space="preserve">Valor da hora EXTRA 50% - com Adicionais
</t>
    </r>
    <r>
      <rPr>
        <b/>
        <sz val="10"/>
        <color rgb="FF0000FF"/>
        <rFont val="Arial"/>
      </rPr>
      <t>HE (c/peri) = (valor da hora + 30% de peri) + 50%</t>
    </r>
  </si>
  <si>
    <r>
      <rPr>
        <b/>
        <sz val="10"/>
        <color rgb="FFFF0000"/>
        <rFont val="Arial"/>
      </rPr>
      <t xml:space="preserve">Valor da hora NOTURNA  com adicionais pertinentes 
</t>
    </r>
    <r>
      <rPr>
        <b/>
        <sz val="10"/>
        <color rgb="FF0000FF"/>
        <rFont val="Arial"/>
      </rPr>
      <t>AN (c/peri) =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>(valor da hora + 30% de peri) x 20%</t>
    </r>
  </si>
  <si>
    <r>
      <rPr>
        <b/>
        <sz val="10"/>
        <color rgb="FFFF0000"/>
        <rFont val="Arial"/>
      </rPr>
      <t xml:space="preserve">Valor da hora EXTRA A 100% COM ADICIONAIS PERTINENTES 
</t>
    </r>
    <r>
      <rPr>
        <b/>
        <sz val="10"/>
        <color rgb="FF0000FF"/>
        <rFont val="Arial"/>
      </rPr>
      <t>VHP =</t>
    </r>
    <r>
      <rPr>
        <b/>
        <sz val="10"/>
        <color rgb="FFFF0000"/>
        <rFont val="Arial"/>
      </rPr>
      <t xml:space="preserve">  </t>
    </r>
    <r>
      <rPr>
        <b/>
        <sz val="10"/>
        <color rgb="FF0000FF"/>
        <rFont val="Arial"/>
      </rPr>
      <t>(30% do valor da hora sem peri)</t>
    </r>
  </si>
  <si>
    <r>
      <rPr>
        <b/>
        <sz val="10"/>
        <color rgb="FFFF0000"/>
        <rFont val="Arial"/>
      </rPr>
      <t xml:space="preserve">Valor do adicional de periculosidade              </t>
    </r>
    <r>
      <rPr>
        <b/>
        <sz val="9"/>
        <color rgb="FFFF0000"/>
        <rFont val="Arial"/>
      </rPr>
      <t xml:space="preserve">  </t>
    </r>
    <r>
      <rPr>
        <b/>
        <sz val="10"/>
        <color rgb="FF0000FF"/>
        <rFont val="Arial"/>
      </rPr>
      <t>(30% do salário normativo)</t>
    </r>
  </si>
  <si>
    <r>
      <rPr>
        <b/>
        <sz val="10"/>
        <color theme="1"/>
        <rFont val="Arial"/>
      </rPr>
      <t>Adicional de Periculosidade</t>
    </r>
    <r>
      <rPr>
        <b/>
        <sz val="10"/>
        <color rgb="FFFF0000"/>
        <rFont val="Arial"/>
      </rPr>
      <t xml:space="preserve"> (Lei nº 12.740/2012)    (30% do Salário-Base) </t>
    </r>
    <r>
      <rPr>
        <b/>
        <sz val="10"/>
        <color theme="1"/>
        <rFont val="Arial"/>
      </rPr>
      <t xml:space="preserve">
(cláusula 29 da CCT 2021/2023)</t>
    </r>
  </si>
  <si>
    <r>
      <rPr>
        <b/>
        <sz val="10"/>
        <color theme="1"/>
        <rFont val="Arial"/>
      </rPr>
      <t>Adicional de Insalubridade</t>
    </r>
    <r>
      <rPr>
        <b/>
        <sz val="10"/>
        <color rgb="FFFF0000"/>
        <rFont val="Arial"/>
      </rPr>
      <t xml:space="preserve"> (MEDIANTE LAUDO)</t>
    </r>
  </si>
  <si>
    <r>
      <rPr>
        <b/>
        <sz val="10"/>
        <color theme="1"/>
        <rFont val="Arial"/>
      </rPr>
      <t xml:space="preserve">Adicional Noturno  sobre: 1) 7h de 60min p/dia + 2) 1 h reduzida noturna p/dia                  </t>
    </r>
    <r>
      <rPr>
        <b/>
        <sz val="10"/>
        <color rgb="FFFF0000"/>
        <rFont val="Arial"/>
      </rPr>
      <t xml:space="preserve">Cálculo do valor: AN (c/peri) x 8h x 15 d x 2 vig. </t>
    </r>
    <r>
      <rPr>
        <b/>
        <sz val="10"/>
        <color rgb="FF0000FF"/>
        <rFont val="Arial"/>
      </rPr>
      <t xml:space="preserve">Das 22h às 5h </t>
    </r>
    <r>
      <rPr>
        <b/>
        <sz val="10"/>
        <color theme="1"/>
        <rFont val="Arial"/>
      </rPr>
      <t>(cláusulas 27 e 28, §único da CCT 2021/2023)</t>
    </r>
  </si>
  <si>
    <r>
      <rPr>
        <b/>
        <sz val="10"/>
        <color rgb="FF000000"/>
        <rFont val="Arial"/>
      </rPr>
      <t>Adicional de Hora Noturna Reduzida</t>
    </r>
    <r>
      <rPr>
        <b/>
        <sz val="10"/>
        <color rgb="FFFF0000"/>
        <rFont val="Arial"/>
      </rPr>
      <t xml:space="preserve"> (Hora Reduzida Noturna como Extra) </t>
    </r>
    <r>
      <rPr>
        <b/>
        <sz val="10"/>
        <color rgb="FF0000FF"/>
        <rFont val="Arial"/>
      </rPr>
      <t xml:space="preserve">(HRN que excedeu de 190,67h) </t>
    </r>
    <r>
      <rPr>
        <b/>
        <sz val="10"/>
        <color rgb="FFFF0000"/>
        <rFont val="Arial"/>
      </rPr>
      <t xml:space="preserve">Cálculo do valor: HE (c/peri) x 4,33 h x 2 vig.)   [195h (=180h + 15h) - 190,67 = 4,33h como horas extras, sendo  15 = 15 x (7hx1,1428571 – 7h) </t>
    </r>
    <r>
      <rPr>
        <b/>
        <sz val="10"/>
        <color rgb="FF0000FF"/>
        <rFont val="Arial"/>
      </rPr>
      <t>Das 22h às 5h</t>
    </r>
    <r>
      <rPr>
        <b/>
        <sz val="10"/>
        <color rgb="FF000000"/>
        <rFont val="Arial"/>
      </rPr>
      <t xml:space="preserve"> (cláusula 28 da CCT 2021/2023)</t>
    </r>
  </si>
  <si>
    <r>
      <rPr>
        <b/>
        <sz val="10"/>
        <color rgb="FF000000"/>
        <rFont val="Arial"/>
      </rPr>
      <t xml:space="preserve">Adicional para Troca de Uniforme -  Cálculo do valor: 1/6 do salário-hora por dia = </t>
    </r>
    <r>
      <rPr>
        <b/>
        <sz val="10"/>
        <color rgb="FFFF0000"/>
        <rFont val="Arial"/>
      </rPr>
      <t xml:space="preserve">(VSH/6=1,34)x1,3x 2x15 </t>
    </r>
    <r>
      <rPr>
        <b/>
        <sz val="10"/>
        <color rgb="FF000000"/>
        <rFont val="Arial"/>
      </rPr>
      <t xml:space="preserve"> (cláusulas 16 e 31, §7º, da CCT 2021/2023)</t>
    </r>
  </si>
  <si>
    <r>
      <rPr>
        <b/>
        <sz val="10"/>
        <color rgb="FF000000"/>
        <rFont val="Arial"/>
      </rPr>
      <t xml:space="preserve">HS a 50%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</si>
  <si>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rgb="FF000000"/>
        <rFont val="Arial"/>
      </rPr>
      <t xml:space="preserve">HS 100% estimadas - Estimativ
Plantoes </t>
    </r>
    <r>
      <rPr>
        <b/>
        <sz val="10"/>
        <color rgb="FFFF0000"/>
        <rFont val="Arial"/>
      </rPr>
      <t>(mês)</t>
    </r>
  </si>
  <si>
    <r>
      <rPr>
        <b/>
        <sz val="10"/>
        <color theme="1"/>
        <rFont val="Arial"/>
      </rPr>
      <t xml:space="preserve">RSR (Repouso Semanal Remunerado) - </t>
    </r>
    <r>
      <rPr>
        <b/>
        <sz val="10"/>
        <color rgb="FFFF0000"/>
        <rFont val="Arial"/>
      </rPr>
      <t>Cálculo do valor: 20% sobre os adicionais pertinentes) -</t>
    </r>
    <r>
      <rPr>
        <b/>
        <sz val="10"/>
        <color theme="1"/>
        <rFont val="Arial"/>
      </rPr>
      <t xml:space="preserve"> (cláusula 32 da CCT 2021/2023) -</t>
    </r>
    <r>
      <rPr>
        <b/>
        <sz val="10"/>
        <color rgb="FFFF0000"/>
        <rFont val="Arial"/>
      </rPr>
      <t xml:space="preserve"> </t>
    </r>
    <r>
      <rPr>
        <b/>
        <strike/>
        <sz val="10"/>
        <color rgb="FF0000FF"/>
        <rFont val="Arial"/>
      </rPr>
      <t>(???? Item controverso - consulte sua CCT ou assessoria jurídica)</t>
    </r>
    <r>
      <rPr>
        <b/>
        <strike/>
        <sz val="10"/>
        <color theme="1"/>
        <rFont val="Arial"/>
      </rPr>
      <t xml:space="preserve">. </t>
    </r>
    <r>
      <rPr>
        <b/>
        <strike/>
        <sz val="10"/>
        <color rgb="FF0000FF"/>
        <rFont val="Arial"/>
      </rPr>
      <t>Se não tiver na CCT não cotar</t>
    </r>
  </si>
  <si>
    <r>
      <rPr>
        <b/>
        <sz val="10"/>
        <color theme="1"/>
        <rFont val="Arial"/>
      </rPr>
      <t xml:space="preserve">Intervalo Intrajornada </t>
    </r>
    <r>
      <rPr>
        <b/>
        <sz val="10"/>
        <color rgb="FFFF0000"/>
        <rFont val="Arial"/>
      </rPr>
      <t>(Adicional de Intervalo)  Cálculo do valor: HE (s/peri) x 15d x2vigx</t>
    </r>
    <r>
      <rPr>
        <b/>
        <sz val="10"/>
        <color rgb="FF0000FF"/>
        <rFont val="Arial"/>
      </rPr>
      <t>0,5h</t>
    </r>
    <r>
      <rPr>
        <b/>
        <sz val="10"/>
        <color rgb="FFFF0000"/>
        <rFont val="Arial"/>
      </rPr>
      <t>) - (</t>
    </r>
    <r>
      <rPr>
        <b/>
        <sz val="10"/>
        <color theme="1"/>
        <rFont val="Arial"/>
      </rPr>
      <t>cláusula 69 da CCT 2021/2023)</t>
    </r>
  </si>
  <si>
    <r>
      <rPr>
        <b/>
        <sz val="11"/>
        <color theme="1"/>
        <rFont val="Arial"/>
      </rPr>
      <t xml:space="preserve">Total da Remuneração de verbas de natureza indenizatória nas quais não incidem INSS, FGTS, Férias, 13º, etc. -  </t>
    </r>
    <r>
      <rPr>
        <b/>
        <sz val="11"/>
        <color rgb="FFFF0000"/>
        <rFont val="Arial"/>
      </rPr>
      <t>Empregado só recebe se estiver trabalhando.</t>
    </r>
  </si>
  <si>
    <r>
      <rPr>
        <b/>
        <sz val="14"/>
        <color theme="1"/>
        <rFont val="Arial"/>
      </rPr>
      <t xml:space="preserve">Remuneração 2 = Total da Remuneração que o empregado irá receber
</t>
    </r>
    <r>
      <rPr>
        <b/>
        <sz val="11"/>
        <color rgb="FF0000FF"/>
        <rFont val="Arial"/>
      </rPr>
      <t>Valor entra nos seguintes cálculos: Item 2, "A" - Quadro-Resumo do Custo por Posto de Trabalho, Custos Indiretos, Lucro e Tributos.</t>
    </r>
  </si>
  <si>
    <r>
      <rPr>
        <b/>
        <sz val="11"/>
        <color rgb="FF000000"/>
        <rFont val="Arial"/>
      </rPr>
      <t xml:space="preserve">Submódulo 2.1 – 13º (décimo terceiro) Salário </t>
    </r>
    <r>
      <rPr>
        <b/>
        <strike/>
        <sz val="11"/>
        <color rgb="FF993366"/>
        <rFont val="Arial"/>
      </rPr>
      <t>(Férias???)</t>
    </r>
    <r>
      <rPr>
        <b/>
        <strike/>
        <sz val="11"/>
        <color rgb="FF808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</si>
  <si>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1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trike/>
        <sz val="11"/>
        <color rgb="FF000000"/>
        <rFont val="Arial"/>
      </rPr>
      <t xml:space="preserve"> </t>
    </r>
    <r>
      <rPr>
        <b/>
        <sz val="11"/>
        <color rgb="FF000000"/>
        <rFont val="Arial"/>
      </rPr>
      <t>e Adicional de Férias</t>
    </r>
  </si>
  <si>
    <r>
      <rPr>
        <b/>
        <sz val="10"/>
        <color rgb="FF000000"/>
        <rFont val="Arial"/>
      </rPr>
      <t>13º (décimo terceiro) Salário</t>
    </r>
    <r>
      <rPr>
        <b/>
        <sz val="11"/>
        <color rgb="FF000000"/>
        <rFont val="Arial"/>
      </rPr>
      <t xml:space="preserve"> </t>
    </r>
    <r>
      <rPr>
        <b/>
        <sz val="8"/>
        <color rgb="FFFF0000"/>
        <rFont val="Arial"/>
      </rPr>
      <t>Obrigatória a cotação de 8,33% sobre o valor do Módulo 1 – Composição da Remuneração1, conforme Anexo XII da IN 5/17</t>
    </r>
  </si>
  <si>
    <r>
      <rPr>
        <b/>
        <strike/>
        <sz val="10"/>
        <color rgb="FFFF0000"/>
        <rFont val="Arial"/>
      </rPr>
      <t>(Férias e ???)</t>
    </r>
    <r>
      <rPr>
        <b/>
        <sz val="11"/>
        <color rgb="FF808000"/>
        <rFont val="Arial"/>
      </rPr>
      <t xml:space="preserve"> </t>
    </r>
    <r>
      <rPr>
        <b/>
        <sz val="10"/>
        <color rgb="FF000000"/>
        <rFont val="Arial"/>
      </rPr>
      <t>Adicional de Férias</t>
    </r>
    <r>
      <rPr>
        <b/>
        <sz val="10"/>
        <color rgb="FF808000"/>
        <rFont val="Arial"/>
      </rPr>
      <t xml:space="preserve"> </t>
    </r>
    <r>
      <rPr>
        <b/>
        <sz val="8"/>
        <color rgb="FFFF0000"/>
        <rFont val="Arial"/>
      </rPr>
      <t xml:space="preserve">Obrigatória a cotação de 3,025% sobre o valor do Módulo 1 – Composição da Remuneração1. </t>
    </r>
    <r>
      <rPr>
        <b/>
        <sz val="9"/>
        <color rgb="FF0000FF"/>
        <rFont val="Arial"/>
      </rPr>
      <t xml:space="preserve"> É vedada a cotação de Férias neste Submódulo, </t>
    </r>
    <r>
      <rPr>
        <b/>
        <sz val="10"/>
        <color rgb="FF00B050"/>
        <rFont val="Arial"/>
      </rPr>
      <t>em face de tratar-se de Conta Vinculada</t>
    </r>
    <r>
      <rPr>
        <b/>
        <sz val="9"/>
        <color rgb="FF0000FF"/>
        <rFont val="Arial"/>
      </rPr>
      <t>. O custo do empregado substituto, quando o titular gozar férias, deverá ser previsto no Submódulo 4.1.A. Isso demonstra que a provisão de Férias neste Submódulo não teria  finalidade, em razão de que o pagamento do titular no seu mês de gozo de férias será feito pelo Módulo 1 - Composição da Remuneração. Na hipótese de o contrato não ser prorrogado, o pagamento relativo a Férias do empregado deverá ser efetivado pela provisão feita no Submódulo 4.1.A.</t>
    </r>
  </si>
  <si>
    <r>
      <rPr>
        <sz val="9"/>
        <color rgb="FF000000"/>
        <rFont val="Arial"/>
      </rPr>
      <t xml:space="preserve">Nota 1:  Como a planilha de custos e formação de preços é calculada mensalmente, provisiona-se proporcionalmente 1/12 (um doze avos) dos valores referentes à gratificação natalina, </t>
    </r>
    <r>
      <rPr>
        <sz val="9"/>
        <color rgb="FF000000"/>
        <rFont val="Arial"/>
      </rPr>
      <t>férias</t>
    </r>
    <r>
      <rPr>
        <sz val="9"/>
        <color rgb="FF000000"/>
        <rFont val="Arial"/>
      </rPr>
      <t xml:space="preserve"> e adicional de férias.
Nota 2:  O adicional de férias contido no Submódulo 2.1 corresponde a 1/3 (um terço) da remuneração que por sua vez é dividido por 12 (doze) conforme Nota 1 acima.
</t>
    </r>
    <r>
      <rPr>
        <b/>
        <strike/>
        <sz val="9"/>
        <color rgb="FFFF0000"/>
        <rFont val="Arial"/>
      </rPr>
      <t>Nota 3: Levando em consideração a vigência contratual prevista no art. 57 da Lei nº 8.666/93, de 23 de junho de 1993, a rubrica férias tem como objetivo principal suprir a necessidade do pagamento das férias remuneradas ao final do contrato de 12 meses. Esta rubrica, quando da prorrogação contratual, torna-se custo não renovável.</t>
    </r>
    <r>
      <rPr>
        <sz val="9"/>
        <color rgb="FF000000"/>
        <rFont val="Arial"/>
      </rPr>
      <t xml:space="preserve"> </t>
    </r>
    <r>
      <rPr>
        <b/>
        <strike/>
        <sz val="9"/>
        <color rgb="FF0000FF"/>
        <rFont val="Arial"/>
      </rPr>
      <t>EXCLUIR A NOTA 3, POIS  MODELAGEM É DE APENAS 1 FÉRIAS</t>
    </r>
  </si>
  <si>
    <r>
      <rPr>
        <b/>
        <sz val="11"/>
        <color rgb="FF000000"/>
        <rFont val="Arial"/>
      </rPr>
      <t xml:space="preserve">Submódulo 2.2 - Encargos Previdenciários (GPS), Fundo de Garantia por Tempo de Serviço (FGTS) e outras contribuições </t>
    </r>
    <r>
      <rPr>
        <b/>
        <sz val="11"/>
        <color rgb="FF0000FF"/>
        <rFont val="Arial"/>
      </rPr>
      <t xml:space="preserve"> (Base de Cálculo = Módulo 1 (Rem1) + Submódulo 2.1)</t>
    </r>
  </si>
  <si>
    <r>
      <rPr>
        <b/>
        <sz val="10"/>
        <color theme="1"/>
        <rFont val="Arial"/>
      </rPr>
      <t xml:space="preserve">RAT x FAP  </t>
    </r>
    <r>
      <rPr>
        <b/>
        <sz val="11"/>
        <color rgb="FF0000FF"/>
        <rFont val="Arial"/>
      </rPr>
      <t xml:space="preserve"> 
</t>
    </r>
    <r>
      <rPr>
        <b/>
        <sz val="8"/>
        <color rgb="FFFF0000"/>
        <rFont val="Arial"/>
      </rPr>
      <t>Cálculo do valor: % do RAT x FAP (Fator Acidentário de Prevenção de cada empresa)</t>
    </r>
  </si>
  <si>
    <r>
      <rPr>
        <b/>
        <sz val="10"/>
        <color theme="1"/>
        <rFont val="Arial"/>
      </rPr>
      <t xml:space="preserve">Transporte  </t>
    </r>
    <r>
      <rPr>
        <b/>
        <sz val="10"/>
        <color rgb="FFFF0000"/>
        <rFont val="Arial"/>
      </rPr>
      <t>Cálculo do valor: [(n passag dia × vlr VT × n dias mês ) – (6%xSB)]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</si>
  <si>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A.1)  Valor da passagem do transporte coletivo no município de
                prestação dos serviços</t>
    </r>
    <r>
      <rPr>
        <b/>
        <sz val="10"/>
        <color theme="1"/>
        <rFont val="Arial"/>
      </rPr>
      <t xml:space="preserve"> (Decreto Municipal POA nº ------ 2021)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</si>
  <si>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A.2) Quantidade de passagens por dia por empregado</t>
    </r>
  </si>
  <si>
    <r>
      <rPr>
        <b/>
        <sz val="10"/>
        <color rgb="FFFF0000"/>
        <rFont val="Arial"/>
      </rPr>
      <t xml:space="preserve">     A.4) Participação do empregado em percentual do salário-base  </t>
    </r>
    <r>
      <rPr>
        <b/>
        <sz val="10"/>
        <color rgb="FFFF0000"/>
        <rFont val="Arial"/>
      </rPr>
      <t>(cláusula 34, §1º, da CCT 2021/2023)</t>
    </r>
  </si>
  <si>
    <r>
      <rPr>
        <b/>
        <sz val="10"/>
        <color theme="1"/>
        <rFont val="Arial"/>
      </rPr>
      <t xml:space="preserve">Auxílio-Refeição/Alimentação  </t>
    </r>
    <r>
      <rPr>
        <b/>
        <sz val="10"/>
        <color rgb="FFFF0000"/>
        <rFont val="Arial"/>
      </rPr>
      <t>Cálculo do valor = [(30xVA)x(1-0,20)]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</si>
  <si>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 xml:space="preserve">B.1) Valor do Auxílio-Alimentação  </t>
    </r>
    <r>
      <rPr>
        <b/>
        <sz val="10"/>
        <color theme="1"/>
        <rFont val="Arial"/>
      </rPr>
      <t xml:space="preserve">(cláusula 33, §10, da CCT 2021/2023) </t>
    </r>
  </si>
  <si>
    <r>
      <rPr>
        <b/>
        <sz val="10"/>
        <color theme="1"/>
        <rFont val="Arial"/>
      </rPr>
      <t xml:space="preserve">     </t>
    </r>
    <r>
      <rPr>
        <b/>
        <sz val="10"/>
        <color rgb="FFFF0000"/>
        <rFont val="Arial"/>
      </rPr>
      <t>B.2) Quantidade de dias do mês de recebimento de auxílio-alimentação</t>
    </r>
  </si>
  <si>
    <r>
      <rPr>
        <b/>
        <sz val="9"/>
        <color rgb="FFFF0000"/>
        <rFont val="Arial"/>
      </rPr>
      <t xml:space="preserve">     B.3) Participação do empregado em percentual sobre o auxílio-alimentação </t>
    </r>
    <r>
      <rPr>
        <b/>
        <sz val="9"/>
        <color rgb="FFFF0000"/>
        <rFont val="Arial"/>
      </rPr>
      <t xml:space="preserve">(cláusula 33, §3º, da CCT 2021/2023) </t>
    </r>
  </si>
  <si>
    <r>
      <rPr>
        <b/>
        <sz val="10"/>
        <color theme="1"/>
        <rFont val="Arial"/>
      </rPr>
      <t xml:space="preserve">Seguro de Vida </t>
    </r>
    <r>
      <rPr>
        <b/>
        <sz val="9"/>
        <color rgb="FFFF0000"/>
        <rFont val="Arial"/>
      </rPr>
      <t xml:space="preserve">Cálculo do valor: 26 x Rem x 0,023%  </t>
    </r>
    <r>
      <rPr>
        <b/>
        <sz val="9"/>
        <color theme="1"/>
        <rFont val="Arial"/>
      </rPr>
      <t xml:space="preserve"> (cláusula 38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</si>
  <si>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theme="1"/>
        <rFont val="Arial"/>
      </rPr>
      <t xml:space="preserve">Auxílio-Funeral   </t>
    </r>
    <r>
      <rPr>
        <b/>
        <sz val="9"/>
        <color rgb="FFFF0000"/>
        <rFont val="Arial"/>
      </rPr>
      <t xml:space="preserve">Cálculo do valor: (SB x 0,52066%)/12  </t>
    </r>
    <r>
      <rPr>
        <b/>
        <sz val="9"/>
        <color theme="1"/>
        <rFont val="Arial"/>
      </rPr>
      <t>(cláusula 37 da CCT 2021/2023)</t>
    </r>
    <r>
      <rPr>
        <b/>
        <sz val="10"/>
        <color theme="1"/>
        <rFont val="Arial"/>
      </rPr>
      <t xml:space="preserve">
</t>
    </r>
    <r>
      <rPr>
        <b/>
        <sz val="8"/>
        <color rgb="FF0000FF"/>
        <rFont val="Arial"/>
      </rPr>
      <t>O valor cotado pelo licitante deve ser fixado na planilha e somente deve ser alterado mediante repactuação com comprovação do aumento. Depois da licitação, excluir a fórmula</t>
    </r>
  </si>
  <si>
    <r>
      <rPr>
        <b/>
        <sz val="10"/>
        <color rgb="FF000000"/>
        <rFont val="Arial"/>
      </rPr>
      <t xml:space="preserve">13º (décimo terceiro) Salário </t>
    </r>
    <r>
      <rPr>
        <b/>
        <strike/>
        <sz val="10"/>
        <color rgb="FF993366"/>
        <rFont val="Arial"/>
      </rPr>
      <t>(Férias???)</t>
    </r>
    <r>
      <rPr>
        <b/>
        <sz val="10"/>
        <color rgb="FF008080"/>
        <rFont val="Arial"/>
      </rPr>
      <t xml:space="preserve"> </t>
    </r>
    <r>
      <rPr>
        <b/>
        <sz val="10"/>
        <color rgb="FF000000"/>
        <rFont val="Arial"/>
      </rPr>
      <t>e Adicional de Férias</t>
    </r>
  </si>
  <si>
    <r>
      <rPr>
        <b/>
        <sz val="10"/>
        <color theme="1"/>
        <rFont val="Arial"/>
      </rPr>
      <t xml:space="preserve">Aviso Prévio Indenizado    </t>
    </r>
    <r>
      <rPr>
        <b/>
        <sz val="8"/>
        <color rgb="FFFF0000"/>
        <rFont val="Arial"/>
      </rPr>
      <t>Cálculo do valor = {Rem/12 + 13º/12= a (Rem/12)/12 + Férias/12= a (Rem/12)/12 + (1/3xFérias)/12= a 1/3x[(Rem/12)/12]} x (30/30=1) x 5% de rotatividade anual - Os reflexos de 13º, F e 1/3F são referentes a 1 mês de APInd - Na prorrogação, poderão ser considerados 3 dias conforme Lei nº 12.506/2011, dependendo da análise do nº de ocorrências deste evento no período.</t>
    </r>
  </si>
  <si>
    <r>
      <rPr>
        <b/>
        <sz val="10"/>
        <color theme="1"/>
        <rFont val="Arial"/>
      </rP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>negociar extinção/redução na 1ª prorrogação)  Cálculo do valor= [(Rem1/30)x7]/</t>
    </r>
    <r>
      <rPr>
        <b/>
        <sz val="11"/>
        <color rgb="FF0000FF"/>
        <rFont val="Arial"/>
      </rPr>
      <t>12</t>
    </r>
    <r>
      <rPr>
        <b/>
        <sz val="9"/>
        <color rgb="FFFF0000"/>
        <rFont val="Arial"/>
      </rPr>
      <t xml:space="preserve"> meses do contratox100% dos empregados - ao final do contrato  </t>
    </r>
  </si>
  <si>
    <r>
      <rPr>
        <b/>
        <sz val="10"/>
        <color theme="1"/>
        <rFont val="Arial"/>
      </rPr>
      <t>Multa do FGTS sobre o Aviso PrévioTrabalhado e Aviso Prévio Indenizado</t>
    </r>
    <r>
      <rPr>
        <b/>
        <sz val="8"/>
        <color rgb="FFFF0000"/>
        <rFont val="Arial"/>
      </rPr>
      <t xml:space="preserve">Obrigatória a cotação de 4% sobre o valor do Módulo 1 – Composição da Remuneração1, conforme Anexo XII da IN Seges nº 5/2017 </t>
    </r>
  </si>
  <si>
    <r>
      <rPr>
        <b/>
        <sz val="11"/>
        <color rgb="FF000000"/>
        <rFont val="Arial"/>
      </rPr>
      <t>Base de cálculo para o Custo de Reposição do Profissional Ausente (substituto): BCCPA = MÓDULO 1 (= a Rem2) + MÓDULO 2 + MÓDULO 3 -</t>
    </r>
    <r>
      <rPr>
        <sz val="11"/>
        <color rgb="FF000000"/>
        <rFont val="Arial"/>
      </rPr>
      <t xml:space="preserve"> </t>
    </r>
    <r>
      <rPr>
        <b/>
        <sz val="11"/>
        <color rgb="FFFF0000"/>
        <rFont val="Arial"/>
      </rPr>
      <t xml:space="preserve"> exceto o Substituto na cobertura de Férias e o Afastamento Maternidade, sendo que neste último a Rem e o 13º podem ser compensados pelo INSS, ambos com base de cálculo própria, conforme consta nesses itens de custo.</t>
    </r>
  </si>
  <si>
    <r>
      <rPr>
        <b/>
        <sz val="11"/>
        <color rgb="FF0000FF"/>
        <rFont val="Arial"/>
      </rPr>
      <t xml:space="preserve">MÓD 2 </t>
    </r>
    <r>
      <rPr>
        <b/>
        <sz val="9"/>
        <color rgb="FFFF0000"/>
        <rFont val="Arial"/>
      </rPr>
      <t>(sem VA e VT)</t>
    </r>
    <r>
      <rPr>
        <b/>
        <sz val="11"/>
        <color rgb="FFFF0000"/>
        <rFont val="Arial"/>
      </rPr>
      <t xml:space="preserve"> </t>
    </r>
    <r>
      <rPr>
        <b/>
        <sz val="11"/>
        <color rgb="FF0000FF"/>
        <rFont val="Arial"/>
      </rPr>
      <t>=</t>
    </r>
  </si>
  <si>
    <r>
      <rPr>
        <b/>
        <sz val="10"/>
        <color rgb="FF000000"/>
        <rFont val="Arial"/>
      </rPr>
      <t xml:space="preserve">Substituto na cobertura de Férias  </t>
    </r>
    <r>
      <rPr>
        <b/>
        <sz val="9"/>
        <color rgb="FFFF0000"/>
        <rFont val="Arial"/>
      </rPr>
      <t xml:space="preserve">Obrigatória a cotação de 9,075% sobre o valor do Módulo 1 - Composição da Remuneração, </t>
    </r>
    <r>
      <rPr>
        <b/>
        <sz val="9"/>
        <color rgb="FF0066CC"/>
        <rFont val="Arial"/>
      </rPr>
      <t xml:space="preserve">mais </t>
    </r>
    <r>
      <rPr>
        <b/>
        <sz val="9"/>
        <color rgb="FFFF0000"/>
        <rFont val="Arial"/>
      </rPr>
      <t>o percentual do Submódulo 2.2 sobre o cálculo anterior, conforme Anexo XII da IN 5/17 (Férias + Adicional = 12,10% = 9,075% + 3,025%)</t>
    </r>
  </si>
  <si>
    <r>
      <rPr>
        <b/>
        <sz val="10"/>
        <color theme="1"/>
        <rFont val="Arial"/>
      </rPr>
      <t xml:space="preserve">Substituto na cobertura de Ausências Legais 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/30)x1dia]/12</t>
    </r>
  </si>
  <si>
    <r>
      <rPr>
        <b/>
        <sz val="10"/>
        <color theme="1"/>
        <rFont val="Arial"/>
      </rPr>
      <t xml:space="preserve">Substituto na cobertura de Licença-Paternidade
</t>
    </r>
    <r>
      <rPr>
        <b/>
        <sz val="10"/>
        <color rgb="FFFF0000"/>
        <rFont val="Arial"/>
      </rPr>
      <t>Cálculo do valor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/30)x5dias]/12}x1,5%</t>
    </r>
  </si>
  <si>
    <r>
      <rPr>
        <b/>
        <sz val="10"/>
        <color theme="1"/>
        <rFont val="Arial"/>
      </rPr>
      <t xml:space="preserve">Substituto na cobertura de Ausência por acidente de trabalho
</t>
    </r>
    <r>
      <rPr>
        <b/>
        <sz val="10"/>
        <color rgb="FFFF0000"/>
        <rFont val="Arial"/>
      </rPr>
      <t>Cálculo do valor  = {[(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/30)x15dias]/12}x0,78%</t>
    </r>
  </si>
  <si>
    <r>
      <rPr>
        <b/>
        <sz val="10"/>
        <color theme="1"/>
        <rFont val="Arial"/>
      </rPr>
      <t xml:space="preserve">Substituto na cobertura de Afastamento Maternidade 
</t>
    </r>
    <r>
      <rPr>
        <b/>
        <sz val="8"/>
        <color rgb="FFFF0000"/>
        <rFont val="Arial"/>
      </rPr>
      <t>{[((MÓD1 + MÓD1 / 3) + SUB2.2 x (MÓD1 + MÓD1 / 3)) x (4/12)] / 12} x 2% + [(SUB2.3 - VA - VT + MÓD3) x (4/12)] x 2%</t>
    </r>
  </si>
  <si>
    <r>
      <rPr>
        <b/>
        <sz val="10"/>
        <color theme="1"/>
        <rFont val="Arial"/>
      </rPr>
      <t>Substituto na cobertura de Outras ausências (especificar)
Substituto na cobertura de Ausência por doença</t>
    </r>
    <r>
      <rPr>
        <b/>
        <sz val="10"/>
        <color rgb="FFFF0000"/>
        <rFont val="Arial"/>
      </rPr>
      <t xml:space="preserve"> </t>
    </r>
    <r>
      <rPr>
        <b/>
        <sz val="10"/>
        <color rgb="FF0000FF"/>
        <rFont val="Arial"/>
      </rPr>
      <t xml:space="preserve">(incluído)
</t>
    </r>
    <r>
      <rPr>
        <b/>
        <sz val="10"/>
        <color rgb="FFFF0000"/>
        <rFont val="Arial"/>
      </rPr>
      <t>Cálculo do valor = [(</t>
    </r>
    <r>
      <rPr>
        <b/>
        <sz val="10"/>
        <color rgb="FF0000FF"/>
        <rFont val="Arial"/>
      </rPr>
      <t>BCCPA</t>
    </r>
    <r>
      <rPr>
        <b/>
        <sz val="10"/>
        <color rgb="FFFF0000"/>
        <rFont val="Arial"/>
      </rPr>
      <t>)/30)x3dias]/12 
Incluído por permissão da IN Seges nº 5/2017, Anexo VII-B, item 1.7, alíneas "b" e "c".5.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</si>
  <si>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a) PIS  </t>
    </r>
    <r>
      <rPr>
        <sz val="8"/>
        <color rgb="FFFF0000"/>
        <rFont val="Arial"/>
      </rPr>
      <t>(depende do regime de tributação - utilizada a hipótese de Lucro Real ou Presumido)</t>
    </r>
  </si>
  <si>
    <r>
      <rPr>
        <sz val="11"/>
        <color rgb="FF000000"/>
        <rFont val="Calibri"/>
      </rPr>
      <t xml:space="preserve">  </t>
    </r>
    <r>
      <rPr>
        <b/>
        <sz val="10"/>
        <color rgb="FF000000"/>
        <rFont val="Arial"/>
      </rPr>
      <t xml:space="preserve">b) COFINS       </t>
    </r>
    <r>
      <rPr>
        <sz val="9"/>
        <color rgb="FFFF0000"/>
        <rFont val="Arial"/>
      </rPr>
      <t>(depende do regime de tributação - utilizada a hipótese de Lucro Real ou Presumido)</t>
    </r>
  </si>
  <si>
    <r>
      <rPr>
        <b/>
        <sz val="10"/>
        <color theme="1"/>
        <rFont val="Arial"/>
      </rPr>
      <t xml:space="preserve"> c) IRPJ</t>
    </r>
    <r>
      <rPr>
        <b/>
        <sz val="10"/>
        <color rgb="FF0000FF"/>
        <rFont val="Arial"/>
      </rPr>
      <t xml:space="preserve"> </t>
    </r>
    <r>
      <rPr>
        <b/>
        <sz val="10"/>
        <color rgb="FF0000FF"/>
        <rFont val="Arial"/>
      </rPr>
      <t>-</t>
    </r>
    <r>
      <rPr>
        <b/>
        <sz val="9"/>
        <color rgb="FF0000FF"/>
        <rFont val="Arial"/>
      </rPr>
      <t xml:space="preserve"> 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</si>
  <si>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d) CSLL </t>
    </r>
    <r>
      <rPr>
        <b/>
        <sz val="10"/>
        <color rgb="FF0000FF"/>
        <rFont val="Arial"/>
      </rPr>
      <t xml:space="preserve">- </t>
    </r>
    <r>
      <rPr>
        <b/>
        <sz val="9"/>
        <color rgb="FF0000FF"/>
        <rFont val="Arial"/>
      </rPr>
      <t>Em face dos Acórdãos TCU nºs 950/2007-P e 205/2018-P, o licitante não pode cotar expressamente este tributo.</t>
    </r>
  </si>
  <si>
    <r>
      <rPr>
        <b/>
        <sz val="10"/>
        <color theme="1"/>
        <rFont val="Arial"/>
      </rPr>
      <t xml:space="preserve">  a) ISS             </t>
    </r>
    <r>
      <rPr>
        <b/>
        <sz val="10"/>
        <color rgb="FFFF0000"/>
        <rFont val="Arial"/>
      </rPr>
      <t>( Lei comp Minic Julio de Cast. .55/2017 )</t>
    </r>
  </si>
  <si>
    <r>
      <rPr>
        <b/>
        <sz val="12"/>
        <color theme="1"/>
        <rFont val="Arial"/>
      </rPr>
      <t xml:space="preserve">
</t>
    </r>
    <r>
      <rPr>
        <b/>
        <sz val="11"/>
        <color theme="1"/>
        <rFont val="Arial"/>
      </rPr>
      <t xml:space="preserve">2. QUADRO-RESUMO DO CUSTO POR POSTO DE TRABALHO
</t>
    </r>
  </si>
  <si>
    <r>
      <rPr>
        <b/>
        <sz val="10"/>
        <color theme="1"/>
        <rFont val="Arial"/>
      </rPr>
      <t xml:space="preserve">Outros (especificar) </t>
    </r>
    <r>
      <rPr>
        <b/>
        <sz val="14"/>
        <color rgb="FFFF0000"/>
        <rFont val="Arial"/>
      </rPr>
      <t>(excluir linhas que não serão utilizadas)</t>
    </r>
  </si>
  <si>
    <r>
      <rPr>
        <b/>
        <sz val="14"/>
        <color theme="1"/>
        <rFont val="Arial"/>
      </rPr>
      <t xml:space="preserve">Valor global da proposta </t>
    </r>
    <r>
      <rPr>
        <b/>
        <sz val="10"/>
        <color theme="1"/>
        <rFont val="Arial"/>
      </rPr>
      <t>(valor mensal do serviço x nº de meses do contrato)</t>
    </r>
  </si>
  <si>
    <t xml:space="preserve">TOTALIZADORES GERAL - IFFar </t>
  </si>
  <si>
    <t>CAMPUS
UG</t>
  </si>
  <si>
    <t>VALOR por 
POSTO</t>
  </si>
  <si>
    <t xml:space="preserve">TOTAL GERAL </t>
  </si>
  <si>
    <t>36/2022</t>
  </si>
  <si>
    <t>23243.000784/2022-23</t>
  </si>
  <si>
    <r>
      <t xml:space="preserve">Aviso Prévio Trabalhado       </t>
    </r>
    <r>
      <rPr>
        <b/>
        <sz val="10"/>
        <color rgb="FFFF0000"/>
        <rFont val="Arial"/>
      </rPr>
      <t>(</t>
    </r>
    <r>
      <rPr>
        <b/>
        <sz val="9"/>
        <color rgb="FFFF0000"/>
        <rFont val="Arial"/>
      </rPr>
      <t xml:space="preserve">negociar extinção/redução na 1ª prorrogação)  Cálculo do valor= [(Rem1/30)x7]/ meses do contratox100% dos empregados - ao final do contrato)  </t>
    </r>
    <r>
      <rPr>
        <b/>
        <sz val="10"/>
        <color theme="1"/>
        <rFont val="Arial"/>
      </rPr>
      <t xml:space="preserve">  
</t>
    </r>
    <r>
      <rPr>
        <b/>
        <sz val="10"/>
        <color rgb="FF4A86E8"/>
        <rFont val="Arial"/>
      </rPr>
      <t>CONFORME ACORDAO  TCU 1.186/2017 definiu NOTA TEC. 652/2017 - MP  PERCENTUAL MAXIMO DE 1,94% para aviso trabalhado e a sua reducao PARA o MAXIMO de  0,194%  apartir DA PRIMEIRA RENOVAÇÃO (observada rotatividade para manutenção deste custo - PREVIAMENTE ACORDADO COM A EMPRESA)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</si>
</sst>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$-F800]dddd\,\ mmmm\ dd\,\ yyyy"/>
    <numFmt numFmtId="165" formatCode="dd/mm/yy"/>
    <numFmt numFmtId="166" formatCode="&quot;R$&quot;\ #,##0.00"/>
    <numFmt numFmtId="167" formatCode="0.0%"/>
    <numFmt numFmtId="168" formatCode="0.000"/>
    <numFmt numFmtId="169" formatCode="_-* #,##0.00_-;\-* #,##0.00_-;_-* &quot;-&quot;??_-;_-@"/>
    <numFmt numFmtId="170" formatCode="_-&quot;R$&quot;\ * #,##0.00_-;\-&quot;R$&quot;\ * #,##0.00_-;_-&quot;R$&quot;\ * &quot;-&quot;??_-;_-@"/>
    <numFmt numFmtId="171" formatCode="[$R$ -416]#,##0.00"/>
    <numFmt numFmtId="172" formatCode="&quot;R$ &quot;#,##0.00"/>
    <numFmt numFmtId="173" formatCode="0.000%"/>
    <numFmt numFmtId="174" formatCode="0.0000"/>
    <numFmt numFmtId="175" formatCode="0.0000%"/>
    <numFmt numFmtId="176" formatCode="_(* #,##0.00_);_(* \(#,##0.00\);_(* \-??_);_(@_)"/>
  </numFmts>
  <fonts count="207">
    <font>
      <sz val="11"/>
      <color rgb="FF000000"/>
      <name val="Calibri"/>
      <scheme val="minor"/>
    </font>
    <font>
      <sz val="11"/>
      <color rgb="FF000000"/>
      <name val="Calibri"/>
    </font>
    <font>
      <sz val="18"/>
      <color rgb="FF000000"/>
      <name val="Calibri"/>
    </font>
    <font>
      <b/>
      <sz val="11"/>
      <color theme="0"/>
      <name val="Calibri"/>
    </font>
    <font>
      <b/>
      <sz val="12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0070C0"/>
      <name val="Calibri"/>
    </font>
    <font>
      <sz val="13"/>
      <color rgb="FF000000"/>
      <name val="Arial Narrow"/>
    </font>
    <font>
      <b/>
      <sz val="13"/>
      <color rgb="FF000000"/>
      <name val="Arial Narrow"/>
    </font>
    <font>
      <b/>
      <sz val="13"/>
      <color rgb="FF0070C0"/>
      <name val="Arial Narrow"/>
    </font>
    <font>
      <sz val="13"/>
      <color theme="1"/>
      <name val="Arial Narrow"/>
    </font>
    <font>
      <sz val="11"/>
      <color theme="1"/>
      <name val="Calibri"/>
      <scheme val="minor"/>
    </font>
    <font>
      <b/>
      <sz val="18"/>
      <color rgb="FF0070C0"/>
      <name val="Arial Narrow"/>
    </font>
    <font>
      <b/>
      <sz val="13"/>
      <color rgb="FFFF0000"/>
      <name val="Arial Narrow"/>
    </font>
    <font>
      <b/>
      <sz val="13"/>
      <color theme="1"/>
      <name val="Arial Narrow"/>
    </font>
    <font>
      <sz val="13"/>
      <color rgb="FFA61C00"/>
      <name val="Arial Narrow"/>
    </font>
    <font>
      <b/>
      <sz val="13"/>
      <color rgb="FF980000"/>
      <name val="Arial Narrow"/>
    </font>
    <font>
      <sz val="13"/>
      <color rgb="FF980000"/>
      <name val="Arial Narrow"/>
    </font>
    <font>
      <b/>
      <sz val="13"/>
      <color rgb="FF00B050"/>
      <name val="Arial Narrow"/>
    </font>
    <font>
      <sz val="18"/>
      <color rgb="FF000000"/>
      <name val="Arial Narrow"/>
    </font>
    <font>
      <b/>
      <u/>
      <sz val="14"/>
      <color rgb="FFFFFFFF"/>
      <name val="Calibri"/>
    </font>
    <font>
      <sz val="26"/>
      <color rgb="FF000000"/>
      <name val="Calibri"/>
    </font>
    <font>
      <u/>
      <sz val="24"/>
      <color rgb="FF1155CC"/>
      <name val="Calibri"/>
    </font>
    <font>
      <sz val="24"/>
      <color rgb="FF000000"/>
      <name val="Calibri"/>
    </font>
    <font>
      <b/>
      <sz val="12"/>
      <color rgb="FF00B050"/>
      <name val="Calibri"/>
    </font>
    <font>
      <b/>
      <sz val="15"/>
      <color rgb="FF000000"/>
      <name val="Book Antiqua"/>
    </font>
    <font>
      <b/>
      <sz val="15"/>
      <color rgb="FF00B050"/>
      <name val="Book Antiqua"/>
    </font>
    <font>
      <sz val="11"/>
      <name val="Calibri"/>
    </font>
    <font>
      <sz val="11"/>
      <color theme="1"/>
      <name val="Calibri"/>
    </font>
    <font>
      <b/>
      <sz val="18"/>
      <color rgb="FFFFFFFF"/>
      <name val="Calibri"/>
    </font>
    <font>
      <b/>
      <sz val="18"/>
      <color theme="0"/>
      <name val="Calibri"/>
    </font>
    <font>
      <sz val="11"/>
      <color theme="0"/>
      <name val="Calibri"/>
      <scheme val="minor"/>
    </font>
    <font>
      <b/>
      <sz val="10"/>
      <color rgb="FF0070C0"/>
      <name val="Arial Narrow"/>
    </font>
    <font>
      <b/>
      <sz val="10"/>
      <color rgb="FFE36C09"/>
      <name val="Arial Narrow"/>
    </font>
    <font>
      <b/>
      <sz val="12"/>
      <color rgb="FFC00000"/>
      <name val="Calibri"/>
    </font>
    <font>
      <b/>
      <sz val="12"/>
      <color theme="1"/>
      <name val="Calibri"/>
    </font>
    <font>
      <b/>
      <sz val="12"/>
      <color theme="0"/>
      <name val="Calibri"/>
    </font>
    <font>
      <b/>
      <sz val="12"/>
      <color rgb="FF00B050"/>
      <name val="Arial Narrow"/>
    </font>
    <font>
      <b/>
      <sz val="10"/>
      <color theme="1"/>
      <name val="Arial Narrow"/>
    </font>
    <font>
      <b/>
      <sz val="10"/>
      <color rgb="FF0000FF"/>
      <name val="Arial Narrow"/>
    </font>
    <font>
      <b/>
      <sz val="10"/>
      <color rgb="FFFF0000"/>
      <name val="Arial Narrow"/>
    </font>
    <font>
      <b/>
      <sz val="12"/>
      <color rgb="FF000000"/>
      <name val="Arial Narrow"/>
    </font>
    <font>
      <b/>
      <sz val="10"/>
      <color rgb="FF000000"/>
      <name val="Arial Narrow"/>
    </font>
    <font>
      <b/>
      <sz val="10"/>
      <color rgb="FF980000"/>
      <name val="Arial Narrow"/>
    </font>
    <font>
      <b/>
      <sz val="12"/>
      <color theme="1"/>
      <name val="Arial Narrow"/>
    </font>
    <font>
      <b/>
      <sz val="10"/>
      <color rgb="FF800000"/>
      <name val="Arial Narrow"/>
    </font>
    <font>
      <b/>
      <sz val="12"/>
      <color theme="0"/>
      <name val="Arial Narrow"/>
    </font>
    <font>
      <b/>
      <sz val="10"/>
      <color theme="0"/>
      <name val="Arial Narrow"/>
    </font>
    <font>
      <b/>
      <sz val="11"/>
      <color rgb="FF00B0F0"/>
      <name val="Calibri"/>
    </font>
    <font>
      <b/>
      <sz val="11"/>
      <color rgb="FF00B050"/>
      <name val="Calibri"/>
    </font>
    <font>
      <b/>
      <sz val="11"/>
      <color rgb="FF0000FF"/>
      <name val="Calibri"/>
    </font>
    <font>
      <b/>
      <sz val="11"/>
      <color theme="1"/>
      <name val="Calibri"/>
    </font>
    <font>
      <sz val="11"/>
      <color theme="0"/>
      <name val="Calibri"/>
    </font>
    <font>
      <b/>
      <sz val="11"/>
      <color rgb="FFE36C09"/>
      <name val="Calibri"/>
    </font>
    <font>
      <b/>
      <sz val="11"/>
      <color rgb="FFFF0000"/>
      <name val="Calibri"/>
    </font>
    <font>
      <sz val="11"/>
      <color rgb="FF980000"/>
      <name val="Calibri"/>
    </font>
    <font>
      <b/>
      <sz val="11"/>
      <color rgb="FF980000"/>
      <name val="Calibri"/>
    </font>
    <font>
      <b/>
      <sz val="11"/>
      <color rgb="FF800000"/>
      <name val="Calibri"/>
    </font>
    <font>
      <b/>
      <sz val="11"/>
      <color theme="9"/>
      <name val="Calibri"/>
      <scheme val="minor"/>
    </font>
    <font>
      <b/>
      <sz val="11"/>
      <color theme="0"/>
      <name val="Calibri"/>
      <scheme val="minor"/>
    </font>
    <font>
      <b/>
      <sz val="14"/>
      <color theme="0"/>
      <name val="Calibri"/>
    </font>
    <font>
      <sz val="11"/>
      <color rgb="FF0000FF"/>
      <name val="Calibri"/>
    </font>
    <font>
      <sz val="11"/>
      <color rgb="FFFF0000"/>
      <name val="Calibri"/>
    </font>
    <font>
      <sz val="11"/>
      <color rgb="FF800000"/>
      <name val="Calibri"/>
    </font>
    <font>
      <b/>
      <sz val="12"/>
      <color rgb="FFD6E3BC"/>
      <name val="Calibri"/>
    </font>
    <font>
      <sz val="11"/>
      <color rgb="FFD6E3BC"/>
      <name val="Calibri"/>
    </font>
    <font>
      <b/>
      <sz val="12"/>
      <color theme="1"/>
      <name val="Merriweather"/>
    </font>
    <font>
      <sz val="14"/>
      <color theme="0"/>
      <name val="Calibri"/>
    </font>
    <font>
      <sz val="12"/>
      <color rgb="FF0070C0"/>
      <name val="Merriweather"/>
    </font>
    <font>
      <b/>
      <sz val="12"/>
      <color rgb="FFFFFF99"/>
      <name val="Merriweather"/>
    </font>
    <font>
      <sz val="11"/>
      <color rgb="FF00B050"/>
      <name val="Calibri"/>
    </font>
    <font>
      <sz val="11"/>
      <color rgb="FF0070C0"/>
      <name val="Calibri"/>
    </font>
    <font>
      <b/>
      <sz val="11"/>
      <color theme="1"/>
      <name val="Calibri"/>
      <scheme val="minor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FF0000"/>
      <name val="Arial"/>
    </font>
    <font>
      <b/>
      <sz val="10"/>
      <color theme="1"/>
      <name val="Arial"/>
    </font>
    <font>
      <b/>
      <sz val="16"/>
      <color rgb="FF000000"/>
      <name val="Arial"/>
    </font>
    <font>
      <sz val="11"/>
      <color theme="1"/>
      <name val="Arial"/>
    </font>
    <font>
      <b/>
      <sz val="16"/>
      <color rgb="FFFF0000"/>
      <name val="Arial"/>
    </font>
    <font>
      <u/>
      <sz val="11"/>
      <color theme="10"/>
      <name val="Calibri"/>
    </font>
    <font>
      <b/>
      <sz val="10"/>
      <color theme="1"/>
      <name val="Corrier"/>
    </font>
    <font>
      <b/>
      <sz val="14"/>
      <color rgb="FFC00000"/>
      <name val="Arial"/>
    </font>
    <font>
      <b/>
      <sz val="18"/>
      <color theme="1"/>
      <name val="Arial"/>
    </font>
    <font>
      <sz val="14"/>
      <color theme="1"/>
      <name val="Arial"/>
    </font>
    <font>
      <b/>
      <sz val="20"/>
      <color theme="1"/>
      <name val="Arial"/>
    </font>
    <font>
      <b/>
      <sz val="11"/>
      <color theme="1"/>
      <name val="Arial Narrow"/>
    </font>
    <font>
      <b/>
      <sz val="11"/>
      <color theme="0"/>
      <name val="Arial Narrow"/>
    </font>
    <font>
      <sz val="10"/>
      <color theme="0"/>
      <name val="Arial"/>
    </font>
    <font>
      <b/>
      <sz val="12"/>
      <color theme="1"/>
      <name val="Arial"/>
    </font>
    <font>
      <b/>
      <sz val="12"/>
      <color theme="0"/>
      <name val="Arial"/>
    </font>
    <font>
      <b/>
      <sz val="14"/>
      <color theme="1"/>
      <name val="Arial"/>
    </font>
    <font>
      <b/>
      <sz val="14"/>
      <color theme="0"/>
      <name val="Arial"/>
    </font>
    <font>
      <sz val="14"/>
      <color theme="0"/>
      <name val="Arial"/>
    </font>
    <font>
      <b/>
      <sz val="12"/>
      <color rgb="FFFFFFFF"/>
      <name val="Arial"/>
    </font>
    <font>
      <b/>
      <sz val="10"/>
      <color theme="0"/>
      <name val="Arial"/>
    </font>
    <font>
      <sz val="12"/>
      <color theme="1"/>
      <name val="Arial"/>
    </font>
    <font>
      <sz val="12"/>
      <color theme="0"/>
      <name val="Arial"/>
    </font>
    <font>
      <sz val="12"/>
      <color rgb="FFFFFFFF"/>
      <name val="Arial"/>
    </font>
    <font>
      <sz val="18"/>
      <color theme="1"/>
      <name val="Arial"/>
    </font>
    <font>
      <b/>
      <sz val="18"/>
      <color rgb="FFFFFFFF"/>
      <name val="Arial"/>
    </font>
    <font>
      <sz val="18"/>
      <color theme="0"/>
      <name val="Arial"/>
    </font>
    <font>
      <sz val="11"/>
      <color theme="1"/>
      <name val="Corrier"/>
    </font>
    <font>
      <sz val="11"/>
      <color theme="0"/>
      <name val="Corrier"/>
    </font>
    <font>
      <b/>
      <sz val="12"/>
      <color rgb="FF000000"/>
      <name val="Arial"/>
    </font>
    <font>
      <b/>
      <sz val="14"/>
      <color rgb="FFFF0000"/>
      <name val="Arial"/>
    </font>
    <font>
      <b/>
      <sz val="10"/>
      <color theme="0"/>
      <name val="Corrier"/>
    </font>
    <font>
      <sz val="11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b/>
      <sz val="16"/>
      <color rgb="FFC00000"/>
      <name val="Calibri"/>
    </font>
    <font>
      <b/>
      <sz val="20"/>
      <color rgb="FFC00000"/>
      <name val="Calibri"/>
    </font>
    <font>
      <sz val="14"/>
      <color rgb="FF800000"/>
      <name val="Calibri"/>
    </font>
    <font>
      <b/>
      <sz val="16"/>
      <color rgb="FFC00000"/>
      <name val="Arial"/>
    </font>
    <font>
      <u/>
      <sz val="11"/>
      <color theme="10"/>
      <name val="Calibri"/>
    </font>
    <font>
      <b/>
      <sz val="14"/>
      <color rgb="FF000000"/>
      <name val="Arial"/>
    </font>
    <font>
      <sz val="16"/>
      <color rgb="FF000000"/>
      <name val="Arial"/>
    </font>
    <font>
      <b/>
      <sz val="11"/>
      <color theme="1"/>
      <name val="Arial"/>
    </font>
    <font>
      <b/>
      <sz val="14"/>
      <color rgb="FF000000"/>
      <name val="Calibri"/>
    </font>
    <font>
      <sz val="14"/>
      <color rgb="FF000000"/>
      <name val="Arial"/>
    </font>
    <font>
      <b/>
      <sz val="16"/>
      <color theme="1"/>
      <name val="Arial"/>
    </font>
    <font>
      <b/>
      <sz val="18"/>
      <color rgb="FFC00000"/>
      <name val="Arial"/>
    </font>
    <font>
      <b/>
      <sz val="16"/>
      <color rgb="FFA5A5A5"/>
      <name val="Arial"/>
    </font>
    <font>
      <sz val="10"/>
      <color rgb="FF000000"/>
      <name val="Arial"/>
    </font>
    <font>
      <b/>
      <sz val="10"/>
      <color rgb="FFE36C09"/>
      <name val="Arial"/>
    </font>
    <font>
      <sz val="10"/>
      <color rgb="FF000000"/>
      <name val="Calibri"/>
    </font>
    <font>
      <b/>
      <sz val="10"/>
      <color rgb="FFC00000"/>
      <name val="Arial"/>
    </font>
    <font>
      <sz val="10"/>
      <color rgb="FFC00000"/>
      <name val="Arial"/>
    </font>
    <font>
      <sz val="10"/>
      <color theme="1"/>
      <name val="Calibri"/>
    </font>
    <font>
      <sz val="10"/>
      <color theme="1"/>
      <name val="&quot;Times New Roman&quot;"/>
    </font>
    <font>
      <sz val="11"/>
      <color theme="1"/>
      <name val="Arial"/>
    </font>
    <font>
      <sz val="11"/>
      <color rgb="FF000000"/>
      <name val="Inconsolata"/>
    </font>
    <font>
      <b/>
      <sz val="11"/>
      <color theme="1"/>
      <name val="Arial"/>
    </font>
    <font>
      <sz val="12"/>
      <color rgb="FF000000"/>
      <name val="Arial"/>
    </font>
    <font>
      <u/>
      <sz val="12"/>
      <color rgb="FF1155CC"/>
      <name val="Arial"/>
    </font>
    <font>
      <sz val="12"/>
      <color theme="1"/>
      <name val="Calibri"/>
    </font>
    <font>
      <sz val="12"/>
      <color theme="1"/>
      <name val="&quot;Times New Roman&quot;"/>
    </font>
    <font>
      <sz val="11"/>
      <color rgb="FF212529"/>
      <name val="&quot;Times New Roman&quot;"/>
    </font>
    <font>
      <sz val="9"/>
      <color theme="1"/>
      <name val="Arial"/>
    </font>
    <font>
      <b/>
      <sz val="15"/>
      <color rgb="FF800080"/>
      <name val="Arial"/>
    </font>
    <font>
      <b/>
      <sz val="10"/>
      <color rgb="FF00B0F0"/>
      <name val="Arial"/>
    </font>
    <font>
      <b/>
      <sz val="15"/>
      <color theme="1"/>
      <name val="Arial"/>
    </font>
    <font>
      <b/>
      <sz val="12"/>
      <color rgb="FFFF0000"/>
      <name val="Arial"/>
    </font>
    <font>
      <b/>
      <sz val="14"/>
      <color theme="1"/>
      <name val="Calibri"/>
    </font>
    <font>
      <b/>
      <sz val="10"/>
      <color rgb="FF0000FF"/>
      <name val="Arial"/>
    </font>
    <font>
      <b/>
      <sz val="9"/>
      <color rgb="FF0000FF"/>
      <name val="Arial"/>
    </font>
    <font>
      <sz val="8"/>
      <color theme="1"/>
      <name val="Arial"/>
    </font>
    <font>
      <b/>
      <sz val="12"/>
      <color rgb="FF0000FF"/>
      <name val="Arial"/>
    </font>
    <font>
      <sz val="9"/>
      <color rgb="FF000000"/>
      <name val="Arial"/>
    </font>
    <font>
      <b/>
      <strike/>
      <sz val="10"/>
      <color rgb="FFFF0000"/>
      <name val="Arial"/>
    </font>
    <font>
      <b/>
      <sz val="9"/>
      <color rgb="FFFF0000"/>
      <name val="Arial"/>
    </font>
    <font>
      <b/>
      <sz val="10"/>
      <color rgb="FF808000"/>
      <name val="Arial"/>
    </font>
    <font>
      <b/>
      <sz val="14"/>
      <color rgb="FF0000FF"/>
      <name val="Arial"/>
    </font>
    <font>
      <b/>
      <sz val="11"/>
      <color rgb="FF0000FF"/>
      <name val="Arial"/>
    </font>
    <font>
      <b/>
      <sz val="11"/>
      <color rgb="FF00B050"/>
      <name val="Arial"/>
    </font>
    <font>
      <sz val="9"/>
      <color rgb="FF808000"/>
      <name val="Arial"/>
    </font>
    <font>
      <sz val="10"/>
      <color rgb="FFFF0000"/>
      <name val="Arial"/>
    </font>
    <font>
      <b/>
      <sz val="16"/>
      <color rgb="FF0000FF"/>
      <name val="Arial"/>
    </font>
    <font>
      <sz val="11"/>
      <color rgb="FF999999"/>
      <name val="Calibri"/>
      <scheme val="minor"/>
    </font>
    <font>
      <b/>
      <sz val="12"/>
      <color theme="1"/>
      <name val="Calibri"/>
      <scheme val="minor"/>
    </font>
    <font>
      <sz val="11"/>
      <color rgb="FF999999"/>
      <name val="Calibri"/>
    </font>
    <font>
      <sz val="11"/>
      <color theme="9"/>
      <name val="Calibri"/>
      <scheme val="minor"/>
    </font>
    <font>
      <b/>
      <sz val="16"/>
      <color theme="9"/>
      <name val="Calibri"/>
    </font>
    <font>
      <b/>
      <sz val="20"/>
      <color theme="9"/>
      <name val="Calibri"/>
    </font>
    <font>
      <sz val="11"/>
      <color theme="9"/>
      <name val="Calibri"/>
    </font>
    <font>
      <sz val="14"/>
      <color theme="9"/>
      <name val="Calibri"/>
    </font>
    <font>
      <sz val="14"/>
      <color rgb="FF999999"/>
      <name val="Calibri"/>
    </font>
    <font>
      <sz val="11"/>
      <color theme="9"/>
      <name val="Arial"/>
    </font>
    <font>
      <b/>
      <sz val="16"/>
      <color theme="9"/>
      <name val="Arial"/>
    </font>
    <font>
      <b/>
      <sz val="11"/>
      <color theme="9"/>
      <name val="Arial"/>
    </font>
    <font>
      <sz val="11"/>
      <color rgb="FF999999"/>
      <name val="Arial"/>
    </font>
    <font>
      <sz val="16"/>
      <color theme="1"/>
      <name val="Arial"/>
    </font>
    <font>
      <sz val="16"/>
      <color rgb="FF999999"/>
      <name val="Arial"/>
    </font>
    <font>
      <b/>
      <sz val="16"/>
      <color rgb="FF999999"/>
      <name val="Arial"/>
    </font>
    <font>
      <sz val="18"/>
      <color rgb="FFFABF8F"/>
      <name val="Calibri"/>
    </font>
    <font>
      <b/>
      <sz val="12"/>
      <color rgb="FFC00000"/>
      <name val="Arial"/>
    </font>
    <font>
      <b/>
      <sz val="11"/>
      <color rgb="FFC00000"/>
      <name val="Arial"/>
    </font>
    <font>
      <sz val="10"/>
      <color rgb="FF000000"/>
      <name val="Calibri, Arial"/>
    </font>
    <font>
      <sz val="12"/>
      <color theme="1"/>
      <name val="Calibri, Arial"/>
    </font>
    <font>
      <sz val="12"/>
      <color theme="6"/>
      <name val="Calibri, Arial"/>
    </font>
    <font>
      <sz val="12"/>
      <color rgb="FFFF0000"/>
      <name val="Calibri, Arial"/>
    </font>
    <font>
      <sz val="12"/>
      <color rgb="FFFBBC04"/>
      <name val="Calibri, Arial"/>
    </font>
    <font>
      <sz val="12"/>
      <color rgb="FFEA4335"/>
      <name val="Calibri, Arial"/>
    </font>
    <font>
      <sz val="12"/>
      <color rgb="FF0000FF"/>
      <name val="Calibri, Arial"/>
    </font>
    <font>
      <sz val="12"/>
      <color rgb="FF00FF00"/>
      <name val="Calibri, Arial"/>
    </font>
    <font>
      <b/>
      <sz val="12"/>
      <color rgb="FF00B0F0"/>
      <name val="Arial"/>
    </font>
    <font>
      <b/>
      <strike/>
      <sz val="10"/>
      <color rgb="FF0000FF"/>
      <name val="Arial"/>
    </font>
    <font>
      <b/>
      <strike/>
      <sz val="10"/>
      <color theme="1"/>
      <name val="Arial"/>
    </font>
    <font>
      <b/>
      <sz val="11"/>
      <color rgb="FFFF0000"/>
      <name val="Arial"/>
    </font>
    <font>
      <b/>
      <strike/>
      <sz val="11"/>
      <color rgb="FF993366"/>
      <name val="Arial"/>
    </font>
    <font>
      <b/>
      <strike/>
      <sz val="11"/>
      <color rgb="FF808000"/>
      <name val="Arial"/>
    </font>
    <font>
      <b/>
      <strike/>
      <sz val="10"/>
      <color rgb="FF993366"/>
      <name val="Arial"/>
    </font>
    <font>
      <b/>
      <strike/>
      <sz val="11"/>
      <color rgb="FF000000"/>
      <name val="Arial"/>
    </font>
    <font>
      <b/>
      <sz val="8"/>
      <color rgb="FFFF0000"/>
      <name val="Arial"/>
    </font>
    <font>
      <b/>
      <sz val="11"/>
      <color rgb="FF808000"/>
      <name val="Arial"/>
    </font>
    <font>
      <b/>
      <sz val="10"/>
      <color rgb="FF00B050"/>
      <name val="Arial"/>
    </font>
    <font>
      <b/>
      <strike/>
      <sz val="9"/>
      <color rgb="FFFF0000"/>
      <name val="Arial"/>
    </font>
    <font>
      <b/>
      <strike/>
      <sz val="9"/>
      <color rgb="FF0000FF"/>
      <name val="Arial"/>
    </font>
    <font>
      <b/>
      <sz val="9"/>
      <color theme="1"/>
      <name val="Arial"/>
    </font>
    <font>
      <b/>
      <sz val="8"/>
      <color rgb="FF0000FF"/>
      <name val="Arial"/>
    </font>
    <font>
      <b/>
      <sz val="10"/>
      <color rgb="FF008080"/>
      <name val="Arial"/>
    </font>
    <font>
      <b/>
      <sz val="10"/>
      <color rgb="FF4A86E8"/>
      <name val="Arial"/>
    </font>
    <font>
      <b/>
      <sz val="9"/>
      <color rgb="FF0066CC"/>
      <name val="Arial"/>
    </font>
    <font>
      <sz val="8"/>
      <color rgb="FFFF0000"/>
      <name val="Arial"/>
    </font>
    <font>
      <sz val="9"/>
      <color rgb="FFFF0000"/>
      <name val="Arial"/>
    </font>
    <font>
      <b/>
      <sz val="10"/>
      <color rgb="FF0070C0"/>
      <name val="Arial"/>
    </font>
  </fonts>
  <fills count="33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C3FB25"/>
        <bgColor rgb="FFC3FB25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99594"/>
        <bgColor rgb="FFD99594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BF9000"/>
        <bgColor rgb="FFBF9000"/>
      </patternFill>
    </fill>
    <fill>
      <patternFill patternType="solid">
        <fgColor rgb="FFBDBDBD"/>
        <bgColor rgb="FFBDBDBD"/>
      </patternFill>
    </fill>
    <fill>
      <patternFill patternType="solid">
        <fgColor rgb="FFD9D9D9"/>
        <bgColor rgb="FFD9D9D9"/>
      </patternFill>
    </fill>
    <fill>
      <patternFill patternType="solid">
        <fgColor rgb="FF6D9EEB"/>
        <bgColor rgb="FF6D9EEB"/>
      </patternFill>
    </fill>
    <fill>
      <patternFill patternType="solid">
        <fgColor rgb="FFF6B26B"/>
        <bgColor rgb="FFF6B26B"/>
      </patternFill>
    </fill>
    <fill>
      <patternFill patternType="solid">
        <fgColor rgb="FF274E13"/>
        <bgColor rgb="FF274E13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9900FF"/>
        <bgColor rgb="FF9900FF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F99"/>
        <bgColor rgb="FFFFFF99"/>
      </patternFill>
    </fill>
    <fill>
      <patternFill patternType="solid">
        <fgColor rgb="FFD6E3BC"/>
        <bgColor rgb="FFD6E3BC"/>
      </patternFill>
    </fill>
  </fills>
  <borders count="1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double">
        <color rgb="FF92CDDC"/>
      </top>
      <bottom style="double">
        <color rgb="FF92CDDC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/>
      <bottom style="hair">
        <color rgb="FF7F7F7F"/>
      </bottom>
      <diagonal/>
    </border>
    <border>
      <left/>
      <right/>
      <top style="hair">
        <color rgb="FF7F7F7F"/>
      </top>
      <bottom style="hair">
        <color rgb="FF7F7F7F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2" fillId="2" borderId="0" xfId="0" applyFont="1" applyFill="1"/>
    <xf numFmtId="0" fontId="13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4" fontId="14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4" fontId="19" fillId="0" borderId="0" xfId="0" applyNumberFormat="1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10" fontId="19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1" fillId="0" borderId="0" xfId="0" applyFont="1" applyAlignment="1"/>
    <xf numFmtId="0" fontId="22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" fillId="4" borderId="0" xfId="0" applyFont="1" applyFill="1" applyAlignment="1"/>
    <xf numFmtId="0" fontId="1" fillId="4" borderId="0" xfId="0" applyFont="1" applyFill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4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4" fillId="6" borderId="7" xfId="0" applyFont="1" applyFill="1" applyBorder="1" applyAlignment="1">
      <alignment vertical="center"/>
    </xf>
    <xf numFmtId="0" fontId="29" fillId="0" borderId="8" xfId="0" applyFont="1" applyBorder="1"/>
    <xf numFmtId="0" fontId="32" fillId="8" borderId="0" xfId="0" applyFont="1" applyFill="1"/>
    <xf numFmtId="0" fontId="4" fillId="0" borderId="0" xfId="0" applyFont="1" applyAlignment="1">
      <alignment vertical="center"/>
    </xf>
    <xf numFmtId="0" fontId="37" fillId="8" borderId="0" xfId="0" applyFont="1" applyFill="1" applyAlignment="1">
      <alignment vertical="center"/>
    </xf>
    <xf numFmtId="0" fontId="38" fillId="9" borderId="21" xfId="0" applyFont="1" applyFill="1" applyBorder="1" applyAlignment="1">
      <alignment horizontal="center" vertical="center" textRotation="90" wrapText="1"/>
    </xf>
    <xf numFmtId="0" fontId="39" fillId="9" borderId="3" xfId="0" applyFont="1" applyFill="1" applyBorder="1" applyAlignment="1">
      <alignment horizontal="center" vertical="center" wrapText="1"/>
    </xf>
    <xf numFmtId="0" fontId="38" fillId="9" borderId="28" xfId="0" applyFont="1" applyFill="1" applyBorder="1" applyAlignment="1">
      <alignment horizontal="center" vertical="center" textRotation="90" wrapText="1"/>
    </xf>
    <xf numFmtId="0" fontId="42" fillId="10" borderId="21" xfId="0" applyFont="1" applyFill="1" applyBorder="1" applyAlignment="1">
      <alignment horizontal="center" vertical="center" textRotation="90" wrapText="1"/>
    </xf>
    <xf numFmtId="0" fontId="43" fillId="10" borderId="3" xfId="0" applyFont="1" applyFill="1" applyBorder="1" applyAlignment="1">
      <alignment horizontal="center" vertical="center" wrapText="1"/>
    </xf>
    <xf numFmtId="0" fontId="42" fillId="10" borderId="28" xfId="0" applyFont="1" applyFill="1" applyBorder="1" applyAlignment="1">
      <alignment horizontal="center" vertical="center" textRotation="90" wrapText="1"/>
    </xf>
    <xf numFmtId="0" fontId="45" fillId="9" borderId="21" xfId="0" applyFont="1" applyFill="1" applyBorder="1" applyAlignment="1">
      <alignment horizontal="center" vertical="center" textRotation="90" wrapText="1"/>
    </xf>
    <xf numFmtId="0" fontId="47" fillId="8" borderId="21" xfId="0" applyFont="1" applyFill="1" applyBorder="1" applyAlignment="1">
      <alignment horizontal="center" vertical="center" textRotation="90" wrapText="1"/>
    </xf>
    <xf numFmtId="0" fontId="48" fillId="8" borderId="3" xfId="0" applyFont="1" applyFill="1" applyBorder="1" applyAlignment="1">
      <alignment horizontal="center" vertical="center" wrapText="1"/>
    </xf>
    <xf numFmtId="0" fontId="25" fillId="9" borderId="37" xfId="0" applyFont="1" applyFill="1" applyBorder="1" applyAlignment="1">
      <alignment horizontal="center" vertical="center"/>
    </xf>
    <xf numFmtId="0" fontId="6" fillId="9" borderId="40" xfId="0" applyFont="1" applyFill="1" applyBorder="1" applyAlignment="1">
      <alignment wrapText="1"/>
    </xf>
    <xf numFmtId="0" fontId="1" fillId="9" borderId="41" xfId="0" applyFont="1" applyFill="1" applyBorder="1" applyAlignment="1">
      <alignment horizontal="center"/>
    </xf>
    <xf numFmtId="0" fontId="51" fillId="9" borderId="40" xfId="0" applyFont="1" applyFill="1" applyBorder="1" applyAlignment="1">
      <alignment horizontal="center" wrapText="1"/>
    </xf>
    <xf numFmtId="0" fontId="1" fillId="9" borderId="3" xfId="0" applyFont="1" applyFill="1" applyBorder="1"/>
    <xf numFmtId="0" fontId="25" fillId="9" borderId="43" xfId="0" applyFont="1" applyFill="1" applyBorder="1" applyAlignment="1">
      <alignment horizontal="center" vertical="center"/>
    </xf>
    <xf numFmtId="0" fontId="4" fillId="10" borderId="37" xfId="0" applyFont="1" applyFill="1" applyBorder="1" applyAlignment="1">
      <alignment horizontal="center" vertical="center"/>
    </xf>
    <xf numFmtId="0" fontId="1" fillId="10" borderId="40" xfId="0" applyFont="1" applyFill="1" applyBorder="1"/>
    <xf numFmtId="0" fontId="1" fillId="10" borderId="41" xfId="0" applyFont="1" applyFill="1" applyBorder="1" applyAlignment="1">
      <alignment horizontal="center"/>
    </xf>
    <xf numFmtId="0" fontId="51" fillId="10" borderId="40" xfId="0" applyFont="1" applyFill="1" applyBorder="1" applyAlignment="1">
      <alignment horizontal="center" wrapText="1"/>
    </xf>
    <xf numFmtId="0" fontId="1" fillId="10" borderId="3" xfId="0" applyFont="1" applyFill="1" applyBorder="1"/>
    <xf numFmtId="0" fontId="4" fillId="10" borderId="43" xfId="0" applyFont="1" applyFill="1" applyBorder="1" applyAlignment="1">
      <alignment horizontal="center" vertical="center"/>
    </xf>
    <xf numFmtId="0" fontId="36" fillId="9" borderId="37" xfId="0" applyFont="1" applyFill="1" applyBorder="1" applyAlignment="1">
      <alignment horizontal="center" vertical="center"/>
    </xf>
    <xf numFmtId="0" fontId="29" fillId="9" borderId="40" xfId="0" applyFont="1" applyFill="1" applyBorder="1"/>
    <xf numFmtId="0" fontId="29" fillId="9" borderId="41" xfId="0" applyFont="1" applyFill="1" applyBorder="1" applyAlignment="1">
      <alignment horizontal="center"/>
    </xf>
    <xf numFmtId="0" fontId="29" fillId="9" borderId="3" xfId="0" applyFont="1" applyFill="1" applyBorder="1"/>
    <xf numFmtId="0" fontId="37" fillId="8" borderId="37" xfId="0" applyFont="1" applyFill="1" applyBorder="1" applyAlignment="1">
      <alignment horizontal="center" vertical="center"/>
    </xf>
    <xf numFmtId="0" fontId="53" fillId="8" borderId="40" xfId="0" applyFont="1" applyFill="1" applyBorder="1"/>
    <xf numFmtId="0" fontId="53" fillId="8" borderId="41" xfId="0" applyFont="1" applyFill="1" applyBorder="1" applyAlignment="1">
      <alignment horizontal="center"/>
    </xf>
    <xf numFmtId="0" fontId="3" fillId="8" borderId="40" xfId="0" applyFont="1" applyFill="1" applyBorder="1" applyAlignment="1">
      <alignment horizontal="center" wrapText="1"/>
    </xf>
    <xf numFmtId="0" fontId="53" fillId="8" borderId="3" xfId="0" applyFont="1" applyFill="1" applyBorder="1"/>
    <xf numFmtId="0" fontId="25" fillId="9" borderId="48" xfId="0" applyFont="1" applyFill="1" applyBorder="1" applyAlignment="1">
      <alignment horizontal="center" vertical="center"/>
    </xf>
    <xf numFmtId="0" fontId="6" fillId="9" borderId="48" xfId="0" applyFont="1" applyFill="1" applyBorder="1"/>
    <xf numFmtId="0" fontId="1" fillId="9" borderId="51" xfId="0" applyFont="1" applyFill="1" applyBorder="1" applyAlignment="1">
      <alignment horizontal="center"/>
    </xf>
    <xf numFmtId="0" fontId="51" fillId="9" borderId="48" xfId="0" applyFont="1" applyFill="1" applyBorder="1" applyAlignment="1">
      <alignment horizontal="center" wrapText="1"/>
    </xf>
    <xf numFmtId="0" fontId="1" fillId="9" borderId="53" xfId="0" applyFont="1" applyFill="1" applyBorder="1"/>
    <xf numFmtId="0" fontId="25" fillId="9" borderId="54" xfId="0" applyFont="1" applyFill="1" applyBorder="1" applyAlignment="1">
      <alignment horizontal="center" vertical="center"/>
    </xf>
    <xf numFmtId="0" fontId="4" fillId="10" borderId="48" xfId="0" applyFont="1" applyFill="1" applyBorder="1" applyAlignment="1">
      <alignment horizontal="center" vertical="center"/>
    </xf>
    <xf numFmtId="0" fontId="1" fillId="10" borderId="57" xfId="0" applyFont="1" applyFill="1" applyBorder="1"/>
    <xf numFmtId="0" fontId="1" fillId="10" borderId="51" xfId="0" applyFont="1" applyFill="1" applyBorder="1" applyAlignment="1">
      <alignment horizontal="center"/>
    </xf>
    <xf numFmtId="0" fontId="51" fillId="10" borderId="48" xfId="0" applyFont="1" applyFill="1" applyBorder="1" applyAlignment="1">
      <alignment horizontal="center" wrapText="1"/>
    </xf>
    <xf numFmtId="0" fontId="1" fillId="10" borderId="53" xfId="0" applyFont="1" applyFill="1" applyBorder="1"/>
    <xf numFmtId="0" fontId="4" fillId="10" borderId="54" xfId="0" applyFont="1" applyFill="1" applyBorder="1" applyAlignment="1">
      <alignment horizontal="center" vertical="center"/>
    </xf>
    <xf numFmtId="0" fontId="36" fillId="9" borderId="57" xfId="0" applyFont="1" applyFill="1" applyBorder="1" applyAlignment="1">
      <alignment horizontal="center" vertical="center"/>
    </xf>
    <xf numFmtId="0" fontId="29" fillId="9" borderId="57" xfId="0" applyFont="1" applyFill="1" applyBorder="1"/>
    <xf numFmtId="0" fontId="29" fillId="9" borderId="51" xfId="0" applyFont="1" applyFill="1" applyBorder="1" applyAlignment="1">
      <alignment horizontal="center"/>
    </xf>
    <xf numFmtId="0" fontId="29" fillId="9" borderId="53" xfId="0" applyFont="1" applyFill="1" applyBorder="1"/>
    <xf numFmtId="0" fontId="36" fillId="9" borderId="48" xfId="0" applyFont="1" applyFill="1" applyBorder="1" applyAlignment="1">
      <alignment horizontal="center" vertical="center"/>
    </xf>
    <xf numFmtId="0" fontId="37" fillId="8" borderId="48" xfId="0" applyFont="1" applyFill="1" applyBorder="1" applyAlignment="1">
      <alignment horizontal="center" vertical="center"/>
    </xf>
    <xf numFmtId="0" fontId="53" fillId="8" borderId="57" xfId="0" applyFont="1" applyFill="1" applyBorder="1"/>
    <xf numFmtId="0" fontId="53" fillId="8" borderId="59" xfId="0" applyFont="1" applyFill="1" applyBorder="1" applyAlignment="1">
      <alignment horizontal="center"/>
    </xf>
    <xf numFmtId="0" fontId="3" fillId="8" borderId="48" xfId="0" applyFont="1" applyFill="1" applyBorder="1" applyAlignment="1">
      <alignment horizontal="center" wrapText="1"/>
    </xf>
    <xf numFmtId="0" fontId="53" fillId="8" borderId="53" xfId="0" applyFont="1" applyFill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" fontId="54" fillId="0" borderId="61" xfId="0" applyNumberFormat="1" applyFont="1" applyBorder="1" applyAlignment="1">
      <alignment horizontal="center"/>
    </xf>
    <xf numFmtId="4" fontId="54" fillId="0" borderId="61" xfId="0" applyNumberFormat="1" applyFont="1" applyBorder="1" applyAlignment="1">
      <alignment horizontal="center"/>
    </xf>
    <xf numFmtId="0" fontId="25" fillId="9" borderId="62" xfId="0" applyFont="1" applyFill="1" applyBorder="1" applyAlignment="1">
      <alignment horizontal="center" vertical="center"/>
    </xf>
    <xf numFmtId="0" fontId="6" fillId="9" borderId="53" xfId="0" applyFont="1" applyFill="1" applyBorder="1" applyAlignment="1">
      <alignment horizontal="center"/>
    </xf>
    <xf numFmtId="4" fontId="6" fillId="9" borderId="48" xfId="0" applyNumberFormat="1" applyFont="1" applyFill="1" applyBorder="1" applyAlignment="1">
      <alignment horizontal="center"/>
    </xf>
    <xf numFmtId="10" fontId="6" fillId="9" borderId="48" xfId="0" applyNumberFormat="1" applyFont="1" applyFill="1" applyBorder="1" applyAlignment="1">
      <alignment horizontal="center"/>
    </xf>
    <xf numFmtId="10" fontId="6" fillId="9" borderId="48" xfId="0" applyNumberFormat="1" applyFont="1" applyFill="1" applyBorder="1" applyAlignment="1">
      <alignment horizontal="center"/>
    </xf>
    <xf numFmtId="49" fontId="6" fillId="9" borderId="51" xfId="0" applyNumberFormat="1" applyFont="1" applyFill="1" applyBorder="1" applyAlignment="1">
      <alignment horizontal="center" wrapText="1"/>
    </xf>
    <xf numFmtId="3" fontId="51" fillId="9" borderId="62" xfId="0" applyNumberFormat="1" applyFont="1" applyFill="1" applyBorder="1" applyAlignment="1">
      <alignment horizontal="center" wrapText="1"/>
    </xf>
    <xf numFmtId="2" fontId="51" fillId="9" borderId="53" xfId="0" applyNumberFormat="1" applyFont="1" applyFill="1" applyBorder="1" applyAlignment="1">
      <alignment horizontal="center"/>
    </xf>
    <xf numFmtId="0" fontId="55" fillId="9" borderId="52" xfId="0" applyFont="1" applyFill="1" applyBorder="1" applyAlignment="1">
      <alignment horizontal="center"/>
    </xf>
    <xf numFmtId="0" fontId="55" fillId="9" borderId="65" xfId="0" applyFont="1" applyFill="1" applyBorder="1" applyAlignment="1">
      <alignment horizontal="center"/>
    </xf>
    <xf numFmtId="0" fontId="4" fillId="10" borderId="66" xfId="0" applyFont="1" applyFill="1" applyBorder="1" applyAlignment="1">
      <alignment horizontal="center" vertical="center"/>
    </xf>
    <xf numFmtId="0" fontId="4" fillId="10" borderId="62" xfId="0" applyFont="1" applyFill="1" applyBorder="1" applyAlignment="1">
      <alignment horizontal="center" vertical="center"/>
    </xf>
    <xf numFmtId="0" fontId="6" fillId="10" borderId="53" xfId="0" applyFont="1" applyFill="1" applyBorder="1" applyAlignment="1">
      <alignment horizontal="center"/>
    </xf>
    <xf numFmtId="4" fontId="6" fillId="10" borderId="48" xfId="0" applyNumberFormat="1" applyFont="1" applyFill="1" applyBorder="1" applyAlignment="1">
      <alignment horizontal="center"/>
    </xf>
    <xf numFmtId="10" fontId="6" fillId="10" borderId="48" xfId="0" applyNumberFormat="1" applyFont="1" applyFill="1" applyBorder="1" applyAlignment="1">
      <alignment horizontal="center"/>
    </xf>
    <xf numFmtId="10" fontId="6" fillId="10" borderId="48" xfId="0" applyNumberFormat="1" applyFont="1" applyFill="1" applyBorder="1" applyAlignment="1">
      <alignment horizontal="center"/>
    </xf>
    <xf numFmtId="49" fontId="6" fillId="10" borderId="51" xfId="0" applyNumberFormat="1" applyFont="1" applyFill="1" applyBorder="1" applyAlignment="1">
      <alignment horizontal="center" wrapText="1"/>
    </xf>
    <xf numFmtId="3" fontId="51" fillId="10" borderId="62" xfId="0" applyNumberFormat="1" applyFont="1" applyFill="1" applyBorder="1" applyAlignment="1">
      <alignment horizontal="center" wrapText="1"/>
    </xf>
    <xf numFmtId="2" fontId="56" fillId="10" borderId="53" xfId="0" applyNumberFormat="1" applyFont="1" applyFill="1" applyBorder="1" applyAlignment="1">
      <alignment horizontal="center"/>
    </xf>
    <xf numFmtId="2" fontId="57" fillId="10" borderId="53" xfId="0" applyNumberFormat="1" applyFont="1" applyFill="1" applyBorder="1" applyAlignment="1">
      <alignment horizontal="center"/>
    </xf>
    <xf numFmtId="0" fontId="6" fillId="10" borderId="52" xfId="0" applyFont="1" applyFill="1" applyBorder="1" applyAlignment="1">
      <alignment horizontal="center"/>
    </xf>
    <xf numFmtId="0" fontId="36" fillId="9" borderId="66" xfId="0" applyFont="1" applyFill="1" applyBorder="1" applyAlignment="1">
      <alignment horizontal="center" vertical="center"/>
    </xf>
    <xf numFmtId="0" fontId="36" fillId="9" borderId="62" xfId="0" applyFont="1" applyFill="1" applyBorder="1" applyAlignment="1">
      <alignment horizontal="center" vertical="center"/>
    </xf>
    <xf numFmtId="0" fontId="52" fillId="9" borderId="53" xfId="0" applyFont="1" applyFill="1" applyBorder="1" applyAlignment="1">
      <alignment horizontal="center"/>
    </xf>
    <xf numFmtId="4" fontId="52" fillId="9" borderId="53" xfId="0" applyNumberFormat="1" applyFont="1" applyFill="1" applyBorder="1" applyAlignment="1">
      <alignment horizontal="center"/>
    </xf>
    <xf numFmtId="10" fontId="52" fillId="9" borderId="48" xfId="0" applyNumberFormat="1" applyFont="1" applyFill="1" applyBorder="1" applyAlignment="1">
      <alignment horizontal="center"/>
    </xf>
    <xf numFmtId="49" fontId="52" fillId="9" borderId="51" xfId="0" applyNumberFormat="1" applyFont="1" applyFill="1" applyBorder="1" applyAlignment="1">
      <alignment horizontal="center" wrapText="1"/>
    </xf>
    <xf numFmtId="2" fontId="58" fillId="9" borderId="53" xfId="0" applyNumberFormat="1" applyFont="1" applyFill="1" applyBorder="1" applyAlignment="1">
      <alignment horizontal="center"/>
    </xf>
    <xf numFmtId="0" fontId="52" fillId="9" borderId="53" xfId="0" applyFont="1" applyFill="1" applyBorder="1" applyAlignment="1">
      <alignment horizontal="center"/>
    </xf>
    <xf numFmtId="0" fontId="52" fillId="9" borderId="67" xfId="0" applyFont="1" applyFill="1" applyBorder="1" applyAlignment="1">
      <alignment horizontal="center"/>
    </xf>
    <xf numFmtId="0" fontId="37" fillId="8" borderId="66" xfId="0" applyFont="1" applyFill="1" applyBorder="1" applyAlignment="1">
      <alignment horizontal="center" vertical="center"/>
    </xf>
    <xf numFmtId="0" fontId="37" fillId="8" borderId="62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/>
    </xf>
    <xf numFmtId="4" fontId="3" fillId="8" borderId="53" xfId="0" applyNumberFormat="1" applyFont="1" applyFill="1" applyBorder="1" applyAlignment="1">
      <alignment horizontal="center"/>
    </xf>
    <xf numFmtId="10" fontId="3" fillId="8" borderId="48" xfId="0" applyNumberFormat="1" applyFont="1" applyFill="1" applyBorder="1" applyAlignment="1">
      <alignment horizontal="center"/>
    </xf>
    <xf numFmtId="49" fontId="3" fillId="8" borderId="51" xfId="0" applyNumberFormat="1" applyFont="1" applyFill="1" applyBorder="1" applyAlignment="1">
      <alignment horizontal="center" wrapText="1"/>
    </xf>
    <xf numFmtId="3" fontId="3" fillId="8" borderId="62" xfId="0" applyNumberFormat="1" applyFont="1" applyFill="1" applyBorder="1" applyAlignment="1">
      <alignment horizontal="center" wrapText="1"/>
    </xf>
    <xf numFmtId="2" fontId="3" fillId="8" borderId="53" xfId="0" applyNumberFormat="1" applyFont="1" applyFill="1" applyBorder="1" applyAlignment="1">
      <alignment horizontal="center"/>
    </xf>
    <xf numFmtId="0" fontId="3" fillId="8" borderId="68" xfId="0" applyFont="1" applyFill="1" applyBorder="1" applyAlignment="1">
      <alignment horizontal="center"/>
    </xf>
    <xf numFmtId="0" fontId="37" fillId="8" borderId="66" xfId="0" applyFont="1" applyFill="1" applyBorder="1" applyAlignment="1">
      <alignment horizontal="center" vertical="center"/>
    </xf>
    <xf numFmtId="0" fontId="3" fillId="8" borderId="53" xfId="0" applyFont="1" applyFill="1" applyBorder="1" applyAlignment="1">
      <alignment horizontal="center"/>
    </xf>
    <xf numFmtId="49" fontId="3" fillId="8" borderId="51" xfId="0" applyNumberFormat="1" applyFont="1" applyFill="1" applyBorder="1" applyAlignment="1">
      <alignment horizontal="center" wrapText="1"/>
    </xf>
    <xf numFmtId="0" fontId="59" fillId="8" borderId="0" xfId="0" applyFont="1" applyFill="1"/>
    <xf numFmtId="0" fontId="60" fillId="8" borderId="0" xfId="0" applyFont="1" applyFill="1"/>
    <xf numFmtId="0" fontId="61" fillId="8" borderId="0" xfId="0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4" fontId="54" fillId="0" borderId="4" xfId="0" applyNumberFormat="1" applyFont="1" applyBorder="1" applyAlignment="1">
      <alignment horizontal="center"/>
    </xf>
    <xf numFmtId="4" fontId="54" fillId="0" borderId="4" xfId="0" applyNumberFormat="1" applyFont="1" applyBorder="1" applyAlignment="1">
      <alignment horizontal="center"/>
    </xf>
    <xf numFmtId="0" fontId="25" fillId="9" borderId="69" xfId="0" applyFont="1" applyFill="1" applyBorder="1" applyAlignment="1">
      <alignment horizontal="center" vertical="center"/>
    </xf>
    <xf numFmtId="0" fontId="1" fillId="9" borderId="53" xfId="0" applyFont="1" applyFill="1" applyBorder="1" applyAlignment="1">
      <alignment horizontal="center"/>
    </xf>
    <xf numFmtId="4" fontId="1" fillId="9" borderId="70" xfId="0" applyNumberFormat="1" applyFont="1" applyFill="1" applyBorder="1" applyAlignment="1">
      <alignment horizontal="center"/>
    </xf>
    <xf numFmtId="10" fontId="1" fillId="9" borderId="70" xfId="0" applyNumberFormat="1" applyFont="1" applyFill="1" applyBorder="1" applyAlignment="1">
      <alignment horizontal="center"/>
    </xf>
    <xf numFmtId="49" fontId="1" fillId="9" borderId="51" xfId="0" applyNumberFormat="1" applyFont="1" applyFill="1" applyBorder="1" applyAlignment="1">
      <alignment horizontal="center" wrapText="1"/>
    </xf>
    <xf numFmtId="2" fontId="62" fillId="9" borderId="53" xfId="0" applyNumberFormat="1" applyFont="1" applyFill="1" applyBorder="1" applyAlignment="1">
      <alignment horizontal="center"/>
    </xf>
    <xf numFmtId="0" fontId="1" fillId="9" borderId="67" xfId="0" applyFont="1" applyFill="1" applyBorder="1" applyAlignment="1">
      <alignment horizontal="center"/>
    </xf>
    <xf numFmtId="0" fontId="1" fillId="9" borderId="53" xfId="0" applyFont="1" applyFill="1" applyBorder="1" applyAlignment="1">
      <alignment horizontal="center"/>
    </xf>
    <xf numFmtId="0" fontId="63" fillId="9" borderId="67" xfId="0" applyFont="1" applyFill="1" applyBorder="1" applyAlignment="1">
      <alignment horizontal="center"/>
    </xf>
    <xf numFmtId="0" fontId="55" fillId="9" borderId="71" xfId="0" applyFont="1" applyFill="1" applyBorder="1" applyAlignment="1">
      <alignment horizontal="center"/>
    </xf>
    <xf numFmtId="0" fontId="4" fillId="10" borderId="72" xfId="0" applyFont="1" applyFill="1" applyBorder="1" applyAlignment="1">
      <alignment horizontal="center" vertical="center"/>
    </xf>
    <xf numFmtId="0" fontId="4" fillId="10" borderId="69" xfId="0" applyFont="1" applyFill="1" applyBorder="1" applyAlignment="1">
      <alignment horizontal="center" vertical="center"/>
    </xf>
    <xf numFmtId="0" fontId="1" fillId="10" borderId="53" xfId="0" applyFont="1" applyFill="1" applyBorder="1" applyAlignment="1">
      <alignment horizontal="center"/>
    </xf>
    <xf numFmtId="4" fontId="1" fillId="10" borderId="70" xfId="0" applyNumberFormat="1" applyFont="1" applyFill="1" applyBorder="1" applyAlignment="1">
      <alignment horizontal="center"/>
    </xf>
    <xf numFmtId="10" fontId="1" fillId="10" borderId="70" xfId="0" applyNumberFormat="1" applyFont="1" applyFill="1" applyBorder="1" applyAlignment="1">
      <alignment horizontal="center"/>
    </xf>
    <xf numFmtId="10" fontId="1" fillId="10" borderId="70" xfId="0" applyNumberFormat="1" applyFont="1" applyFill="1" applyBorder="1" applyAlignment="1">
      <alignment horizontal="center"/>
    </xf>
    <xf numFmtId="49" fontId="1" fillId="10" borderId="51" xfId="0" applyNumberFormat="1" applyFont="1" applyFill="1" applyBorder="1" applyAlignment="1">
      <alignment horizontal="center" wrapText="1"/>
    </xf>
    <xf numFmtId="0" fontId="1" fillId="10" borderId="67" xfId="0" applyFont="1" applyFill="1" applyBorder="1" applyAlignment="1">
      <alignment horizontal="center"/>
    </xf>
    <xf numFmtId="0" fontId="1" fillId="10" borderId="53" xfId="0" applyFont="1" applyFill="1" applyBorder="1" applyAlignment="1">
      <alignment horizontal="center"/>
    </xf>
    <xf numFmtId="0" fontId="36" fillId="9" borderId="72" xfId="0" applyFont="1" applyFill="1" applyBorder="1" applyAlignment="1">
      <alignment horizontal="center" vertical="center"/>
    </xf>
    <xf numFmtId="0" fontId="36" fillId="9" borderId="69" xfId="0" applyFont="1" applyFill="1" applyBorder="1" applyAlignment="1">
      <alignment horizontal="center" vertical="center"/>
    </xf>
    <xf numFmtId="0" fontId="29" fillId="9" borderId="53" xfId="0" applyFont="1" applyFill="1" applyBorder="1" applyAlignment="1">
      <alignment horizontal="center"/>
    </xf>
    <xf numFmtId="4" fontId="29" fillId="9" borderId="67" xfId="0" applyNumberFormat="1" applyFont="1" applyFill="1" applyBorder="1" applyAlignment="1">
      <alignment horizontal="center"/>
    </xf>
    <xf numFmtId="10" fontId="29" fillId="9" borderId="70" xfId="0" applyNumberFormat="1" applyFont="1" applyFill="1" applyBorder="1" applyAlignment="1">
      <alignment horizontal="center"/>
    </xf>
    <xf numFmtId="49" fontId="29" fillId="9" borderId="51" xfId="0" applyNumberFormat="1" applyFont="1" applyFill="1" applyBorder="1" applyAlignment="1">
      <alignment horizontal="center" wrapText="1"/>
    </xf>
    <xf numFmtId="2" fontId="64" fillId="9" borderId="53" xfId="0" applyNumberFormat="1" applyFont="1" applyFill="1" applyBorder="1" applyAlignment="1">
      <alignment horizontal="center"/>
    </xf>
    <xf numFmtId="0" fontId="29" fillId="9" borderId="67" xfId="0" applyFont="1" applyFill="1" applyBorder="1" applyAlignment="1">
      <alignment horizontal="center"/>
    </xf>
    <xf numFmtId="0" fontId="29" fillId="9" borderId="53" xfId="0" applyFont="1" applyFill="1" applyBorder="1" applyAlignment="1">
      <alignment horizontal="center"/>
    </xf>
    <xf numFmtId="0" fontId="29" fillId="9" borderId="52" xfId="0" applyFont="1" applyFill="1" applyBorder="1" applyAlignment="1">
      <alignment horizontal="center"/>
    </xf>
    <xf numFmtId="0" fontId="37" fillId="8" borderId="72" xfId="0" applyFont="1" applyFill="1" applyBorder="1" applyAlignment="1">
      <alignment horizontal="center" vertical="center"/>
    </xf>
    <xf numFmtId="0" fontId="37" fillId="8" borderId="69" xfId="0" applyFont="1" applyFill="1" applyBorder="1" applyAlignment="1">
      <alignment horizontal="center" vertical="center"/>
    </xf>
    <xf numFmtId="0" fontId="53" fillId="8" borderId="53" xfId="0" applyFont="1" applyFill="1" applyBorder="1" applyAlignment="1">
      <alignment horizontal="center"/>
    </xf>
    <xf numFmtId="4" fontId="53" fillId="8" borderId="53" xfId="0" applyNumberFormat="1" applyFont="1" applyFill="1" applyBorder="1" applyAlignment="1">
      <alignment horizontal="center"/>
    </xf>
    <xf numFmtId="10" fontId="53" fillId="8" borderId="70" xfId="0" applyNumberFormat="1" applyFont="1" applyFill="1" applyBorder="1" applyAlignment="1">
      <alignment horizontal="center"/>
    </xf>
    <xf numFmtId="49" fontId="53" fillId="8" borderId="51" xfId="0" applyNumberFormat="1" applyFont="1" applyFill="1" applyBorder="1" applyAlignment="1">
      <alignment horizontal="center" wrapText="1"/>
    </xf>
    <xf numFmtId="2" fontId="53" fillId="8" borderId="53" xfId="0" applyNumberFormat="1" applyFont="1" applyFill="1" applyBorder="1" applyAlignment="1">
      <alignment horizontal="center"/>
    </xf>
    <xf numFmtId="0" fontId="53" fillId="8" borderId="67" xfId="0" applyFont="1" applyFill="1" applyBorder="1" applyAlignment="1">
      <alignment horizontal="center"/>
    </xf>
    <xf numFmtId="0" fontId="53" fillId="8" borderId="73" xfId="0" applyFont="1" applyFill="1" applyBorder="1" applyAlignment="1">
      <alignment horizontal="center"/>
    </xf>
    <xf numFmtId="4" fontId="53" fillId="8" borderId="67" xfId="0" applyNumberFormat="1" applyFont="1" applyFill="1" applyBorder="1" applyAlignment="1">
      <alignment horizontal="center"/>
    </xf>
    <xf numFmtId="0" fontId="53" fillId="8" borderId="53" xfId="0" applyFont="1" applyFill="1" applyBorder="1" applyAlignment="1">
      <alignment horizontal="center"/>
    </xf>
    <xf numFmtId="0" fontId="53" fillId="8" borderId="67" xfId="0" applyFont="1" applyFill="1" applyBorder="1" applyAlignment="1">
      <alignment horizontal="center"/>
    </xf>
    <xf numFmtId="10" fontId="1" fillId="9" borderId="70" xfId="0" applyNumberFormat="1" applyFont="1" applyFill="1" applyBorder="1" applyAlignment="1">
      <alignment horizontal="center"/>
    </xf>
    <xf numFmtId="10" fontId="29" fillId="9" borderId="70" xfId="0" applyNumberFormat="1" applyFont="1" applyFill="1" applyBorder="1" applyAlignment="1">
      <alignment horizontal="center"/>
    </xf>
    <xf numFmtId="49" fontId="53" fillId="8" borderId="51" xfId="0" applyNumberFormat="1" applyFont="1" applyFill="1" applyBorder="1" applyAlignment="1">
      <alignment horizontal="center" wrapText="1"/>
    </xf>
    <xf numFmtId="4" fontId="1" fillId="9" borderId="48" xfId="0" applyNumberFormat="1" applyFont="1" applyFill="1" applyBorder="1" applyAlignment="1">
      <alignment horizontal="center"/>
    </xf>
    <xf numFmtId="10" fontId="6" fillId="9" borderId="70" xfId="0" applyNumberFormat="1" applyFont="1" applyFill="1" applyBorder="1" applyAlignment="1">
      <alignment horizontal="center"/>
    </xf>
    <xf numFmtId="49" fontId="1" fillId="9" borderId="51" xfId="0" applyNumberFormat="1" applyFont="1" applyFill="1" applyBorder="1" applyAlignment="1">
      <alignment horizontal="center" wrapText="1"/>
    </xf>
    <xf numFmtId="0" fontId="6" fillId="9" borderId="67" xfId="0" applyFont="1" applyFill="1" applyBorder="1" applyAlignment="1">
      <alignment horizontal="center"/>
    </xf>
    <xf numFmtId="0" fontId="55" fillId="9" borderId="67" xfId="0" applyFont="1" applyFill="1" applyBorder="1" applyAlignment="1">
      <alignment horizontal="center"/>
    </xf>
    <xf numFmtId="4" fontId="1" fillId="10" borderId="48" xfId="0" applyNumberFormat="1" applyFont="1" applyFill="1" applyBorder="1" applyAlignment="1">
      <alignment horizontal="center"/>
    </xf>
    <xf numFmtId="10" fontId="6" fillId="10" borderId="70" xfId="0" applyNumberFormat="1" applyFont="1" applyFill="1" applyBorder="1" applyAlignment="1">
      <alignment horizontal="center"/>
    </xf>
    <xf numFmtId="10" fontId="6" fillId="10" borderId="70" xfId="0" applyNumberFormat="1" applyFont="1" applyFill="1" applyBorder="1" applyAlignment="1">
      <alignment horizontal="center"/>
    </xf>
    <xf numFmtId="0" fontId="6" fillId="10" borderId="67" xfId="0" applyFont="1" applyFill="1" applyBorder="1" applyAlignment="1">
      <alignment horizontal="center"/>
    </xf>
    <xf numFmtId="0" fontId="55" fillId="10" borderId="67" xfId="0" applyFont="1" applyFill="1" applyBorder="1" applyAlignment="1">
      <alignment horizontal="center"/>
    </xf>
    <xf numFmtId="4" fontId="52" fillId="9" borderId="67" xfId="0" applyNumberFormat="1" applyFont="1" applyFill="1" applyBorder="1" applyAlignment="1">
      <alignment horizontal="center"/>
    </xf>
    <xf numFmtId="10" fontId="52" fillId="9" borderId="70" xfId="0" applyNumberFormat="1" applyFont="1" applyFill="1" applyBorder="1" applyAlignment="1">
      <alignment horizontal="center"/>
    </xf>
    <xf numFmtId="0" fontId="52" fillId="9" borderId="67" xfId="0" applyFont="1" applyFill="1" applyBorder="1" applyAlignment="1">
      <alignment horizontal="center"/>
    </xf>
    <xf numFmtId="0" fontId="55" fillId="9" borderId="52" xfId="0" applyFont="1" applyFill="1" applyBorder="1" applyAlignment="1">
      <alignment horizontal="center"/>
    </xf>
    <xf numFmtId="4" fontId="3" fillId="8" borderId="67" xfId="0" applyNumberFormat="1" applyFont="1" applyFill="1" applyBorder="1" applyAlignment="1">
      <alignment horizontal="center"/>
    </xf>
    <xf numFmtId="10" fontId="3" fillId="8" borderId="70" xfId="0" applyNumberFormat="1" applyFont="1" applyFill="1" applyBorder="1" applyAlignment="1">
      <alignment horizontal="center"/>
    </xf>
    <xf numFmtId="0" fontId="3" fillId="8" borderId="67" xfId="0" applyFont="1" applyFill="1" applyBorder="1" applyAlignment="1">
      <alignment horizontal="center"/>
    </xf>
    <xf numFmtId="0" fontId="3" fillId="8" borderId="73" xfId="0" applyFont="1" applyFill="1" applyBorder="1" applyAlignment="1">
      <alignment horizontal="center"/>
    </xf>
    <xf numFmtId="0" fontId="3" fillId="8" borderId="67" xfId="0" applyFont="1" applyFill="1" applyBorder="1" applyAlignment="1">
      <alignment horizontal="center"/>
    </xf>
    <xf numFmtId="0" fontId="3" fillId="8" borderId="0" xfId="0" applyFont="1" applyFill="1"/>
    <xf numFmtId="4" fontId="6" fillId="9" borderId="70" xfId="0" applyNumberFormat="1" applyFont="1" applyFill="1" applyBorder="1" applyAlignment="1">
      <alignment horizontal="center"/>
    </xf>
    <xf numFmtId="49" fontId="6" fillId="9" borderId="51" xfId="0" applyNumberFormat="1" applyFont="1" applyFill="1" applyBorder="1" applyAlignment="1">
      <alignment horizontal="center" wrapText="1"/>
    </xf>
    <xf numFmtId="0" fontId="6" fillId="9" borderId="53" xfId="0" applyFont="1" applyFill="1" applyBorder="1" applyAlignment="1">
      <alignment horizontal="center"/>
    </xf>
    <xf numFmtId="4" fontId="6" fillId="10" borderId="70" xfId="0" applyNumberFormat="1" applyFont="1" applyFill="1" applyBorder="1" applyAlignment="1">
      <alignment horizontal="center"/>
    </xf>
    <xf numFmtId="0" fontId="6" fillId="10" borderId="53" xfId="0" applyFont="1" applyFill="1" applyBorder="1" applyAlignment="1">
      <alignment horizontal="center"/>
    </xf>
    <xf numFmtId="0" fontId="36" fillId="9" borderId="69" xfId="0" applyFont="1" applyFill="1" applyBorder="1" applyAlignment="1">
      <alignment horizontal="center" vertical="center"/>
    </xf>
    <xf numFmtId="10" fontId="52" fillId="9" borderId="70" xfId="0" applyNumberFormat="1" applyFont="1" applyFill="1" applyBorder="1" applyAlignment="1">
      <alignment horizontal="center"/>
    </xf>
    <xf numFmtId="0" fontId="52" fillId="9" borderId="52" xfId="0" applyFont="1" applyFill="1" applyBorder="1" applyAlignment="1">
      <alignment horizontal="center"/>
    </xf>
    <xf numFmtId="4" fontId="1" fillId="9" borderId="70" xfId="0" applyNumberFormat="1" applyFont="1" applyFill="1" applyBorder="1" applyAlignment="1">
      <alignment horizontal="center"/>
    </xf>
    <xf numFmtId="4" fontId="1" fillId="10" borderId="70" xfId="0" applyNumberFormat="1" applyFont="1" applyFill="1" applyBorder="1" applyAlignment="1">
      <alignment horizontal="center"/>
    </xf>
    <xf numFmtId="4" fontId="29" fillId="9" borderId="67" xfId="0" applyNumberFormat="1" applyFont="1" applyFill="1" applyBorder="1" applyAlignment="1">
      <alignment horizontal="center"/>
    </xf>
    <xf numFmtId="49" fontId="29" fillId="9" borderId="51" xfId="0" applyNumberFormat="1" applyFont="1" applyFill="1" applyBorder="1" applyAlignment="1">
      <alignment horizontal="center" wrapText="1"/>
    </xf>
    <xf numFmtId="0" fontId="25" fillId="9" borderId="69" xfId="0" applyFont="1" applyFill="1" applyBorder="1" applyAlignment="1">
      <alignment horizontal="center" vertical="center"/>
    </xf>
    <xf numFmtId="0" fontId="1" fillId="9" borderId="67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vertical="center"/>
    </xf>
    <xf numFmtId="0" fontId="1" fillId="10" borderId="67" xfId="0" applyFont="1" applyFill="1" applyBorder="1" applyAlignment="1">
      <alignment horizontal="center"/>
    </xf>
    <xf numFmtId="0" fontId="29" fillId="9" borderId="67" xfId="0" applyFont="1" applyFill="1" applyBorder="1" applyAlignment="1">
      <alignment horizontal="center"/>
    </xf>
    <xf numFmtId="10" fontId="6" fillId="9" borderId="70" xfId="0" applyNumberFormat="1" applyFont="1" applyFill="1" applyBorder="1" applyAlignment="1">
      <alignment horizontal="center"/>
    </xf>
    <xf numFmtId="0" fontId="52" fillId="9" borderId="52" xfId="0" applyFont="1" applyFill="1" applyBorder="1" applyAlignment="1">
      <alignment horizontal="center"/>
    </xf>
    <xf numFmtId="10" fontId="3" fillId="8" borderId="70" xfId="0" applyNumberFormat="1" applyFont="1" applyFill="1" applyBorder="1" applyAlignment="1">
      <alignment horizontal="center"/>
    </xf>
    <xf numFmtId="0" fontId="7" fillId="0" borderId="1" xfId="0" applyFont="1" applyBorder="1"/>
    <xf numFmtId="0" fontId="1" fillId="0" borderId="0" xfId="0" applyFont="1" applyAlignment="1">
      <alignment horizontal="center"/>
    </xf>
    <xf numFmtId="0" fontId="62" fillId="0" borderId="0" xfId="0" applyFont="1"/>
    <xf numFmtId="0" fontId="65" fillId="8" borderId="0" xfId="0" applyFont="1" applyFill="1" applyAlignment="1">
      <alignment horizontal="center" vertical="center"/>
    </xf>
    <xf numFmtId="0" fontId="66" fillId="8" borderId="0" xfId="0" applyFont="1" applyFill="1"/>
    <xf numFmtId="0" fontId="56" fillId="8" borderId="0" xfId="0" applyFont="1" applyFill="1"/>
    <xf numFmtId="0" fontId="36" fillId="8" borderId="0" xfId="0" applyFont="1" applyFill="1" applyAlignment="1">
      <alignment horizontal="center" vertical="center"/>
    </xf>
    <xf numFmtId="0" fontId="29" fillId="8" borderId="0" xfId="0" applyFont="1" applyFill="1"/>
    <xf numFmtId="0" fontId="64" fillId="8" borderId="0" xfId="0" applyFont="1" applyFill="1"/>
    <xf numFmtId="0" fontId="37" fillId="8" borderId="0" xfId="0" applyFont="1" applyFill="1" applyAlignment="1">
      <alignment horizontal="center" vertical="center"/>
    </xf>
    <xf numFmtId="0" fontId="53" fillId="8" borderId="0" xfId="0" applyFont="1" applyFill="1"/>
    <xf numFmtId="0" fontId="53" fillId="8" borderId="0" xfId="0" applyFont="1" applyFill="1" applyAlignment="1"/>
    <xf numFmtId="0" fontId="67" fillId="11" borderId="4" xfId="0" applyFont="1" applyFill="1" applyBorder="1" applyAlignment="1">
      <alignment horizontal="left" vertical="center"/>
    </xf>
    <xf numFmtId="0" fontId="1" fillId="11" borderId="6" xfId="0" applyFont="1" applyFill="1" applyBorder="1"/>
    <xf numFmtId="49" fontId="50" fillId="12" borderId="3" xfId="0" applyNumberFormat="1" applyFont="1" applyFill="1" applyBorder="1" applyAlignment="1"/>
    <xf numFmtId="49" fontId="1" fillId="12" borderId="3" xfId="0" applyNumberFormat="1" applyFont="1" applyFill="1" applyBorder="1"/>
    <xf numFmtId="49" fontId="1" fillId="0" borderId="0" xfId="0" applyNumberFormat="1" applyFont="1"/>
    <xf numFmtId="49" fontId="7" fillId="13" borderId="3" xfId="0" applyNumberFormat="1" applyFont="1" applyFill="1" applyBorder="1"/>
    <xf numFmtId="3" fontId="7" fillId="11" borderId="3" xfId="0" applyNumberFormat="1" applyFont="1" applyFill="1" applyBorder="1" applyAlignment="1">
      <alignment horizontal="center"/>
    </xf>
    <xf numFmtId="49" fontId="62" fillId="0" borderId="0" xfId="0" applyNumberFormat="1" applyFont="1" applyAlignment="1"/>
    <xf numFmtId="0" fontId="4" fillId="14" borderId="72" xfId="0" applyFont="1" applyFill="1" applyBorder="1" applyAlignment="1">
      <alignment horizontal="center" vertical="center"/>
    </xf>
    <xf numFmtId="49" fontId="56" fillId="0" borderId="0" xfId="0" applyNumberFormat="1" applyFont="1" applyAlignment="1"/>
    <xf numFmtId="49" fontId="64" fillId="0" borderId="0" xfId="0" applyNumberFormat="1" applyFont="1" applyAlignment="1"/>
    <xf numFmtId="0" fontId="68" fillId="8" borderId="0" xfId="0" applyFont="1" applyFill="1"/>
    <xf numFmtId="0" fontId="69" fillId="0" borderId="0" xfId="0" applyFont="1" applyAlignment="1">
      <alignment horizontal="left" vertical="center"/>
    </xf>
    <xf numFmtId="0" fontId="1" fillId="0" borderId="0" xfId="0" applyFont="1" applyAlignment="1">
      <alignment textRotation="90"/>
    </xf>
    <xf numFmtId="49" fontId="50" fillId="12" borderId="3" xfId="0" applyNumberFormat="1" applyFont="1" applyFill="1" applyBorder="1"/>
    <xf numFmtId="0" fontId="1" fillId="12" borderId="3" xfId="0" applyFont="1" applyFill="1" applyBorder="1"/>
    <xf numFmtId="0" fontId="7" fillId="13" borderId="3" xfId="0" applyFont="1" applyFill="1" applyBorder="1"/>
    <xf numFmtId="0" fontId="62" fillId="0" borderId="0" xfId="0" applyFont="1" applyAlignment="1"/>
    <xf numFmtId="0" fontId="56" fillId="0" borderId="0" xfId="0" applyFont="1" applyAlignment="1"/>
    <xf numFmtId="0" fontId="64" fillId="0" borderId="0" xfId="0" applyFont="1" applyAlignment="1"/>
    <xf numFmtId="0" fontId="36" fillId="0" borderId="0" xfId="0" applyFont="1" applyAlignment="1">
      <alignment horizontal="center" vertical="center"/>
    </xf>
    <xf numFmtId="0" fontId="29" fillId="0" borderId="0" xfId="0" applyFont="1"/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textRotation="90"/>
    </xf>
    <xf numFmtId="0" fontId="50" fillId="12" borderId="3" xfId="0" applyFont="1" applyFill="1" applyBorder="1"/>
    <xf numFmtId="0" fontId="1" fillId="12" borderId="3" xfId="0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0" fillId="12" borderId="3" xfId="0" applyFont="1" applyFill="1" applyBorder="1" applyAlignment="1"/>
    <xf numFmtId="0" fontId="6" fillId="12" borderId="3" xfId="0" applyFont="1" applyFill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1" fillId="12" borderId="3" xfId="0" applyFont="1" applyFill="1" applyBorder="1"/>
    <xf numFmtId="0" fontId="72" fillId="13" borderId="3" xfId="0" applyFont="1" applyFill="1" applyBorder="1"/>
    <xf numFmtId="0" fontId="7" fillId="11" borderId="3" xfId="0" applyFont="1" applyFill="1" applyBorder="1" applyAlignment="1">
      <alignment horizontal="center"/>
    </xf>
    <xf numFmtId="49" fontId="71" fillId="0" borderId="0" xfId="0" applyNumberFormat="1" applyFont="1"/>
    <xf numFmtId="0" fontId="73" fillId="14" borderId="0" xfId="0" applyFont="1" applyFill="1" applyAlignment="1">
      <alignment horizont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4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4" fillId="0" borderId="1" xfId="0" applyFont="1" applyBorder="1" applyAlignment="1">
      <alignment horizontal="left" vertical="center" wrapText="1"/>
    </xf>
    <xf numFmtId="0" fontId="74" fillId="0" borderId="2" xfId="0" applyFont="1" applyBorder="1" applyAlignment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76" fillId="0" borderId="0" xfId="0" applyFont="1" applyAlignment="1">
      <alignment horizontal="center" vertical="top"/>
    </xf>
    <xf numFmtId="0" fontId="76" fillId="0" borderId="1" xfId="0" applyFont="1" applyBorder="1" applyAlignment="1">
      <alignment horizontal="center" vertical="center"/>
    </xf>
    <xf numFmtId="0" fontId="80" fillId="16" borderId="6" xfId="0" applyFont="1" applyFill="1" applyBorder="1" applyAlignment="1">
      <alignment horizontal="left" vertical="top"/>
    </xf>
    <xf numFmtId="0" fontId="77" fillId="0" borderId="0" xfId="0" applyFont="1" applyAlignment="1">
      <alignment horizontal="center" vertical="top"/>
    </xf>
    <xf numFmtId="22" fontId="79" fillId="17" borderId="76" xfId="0" applyNumberFormat="1" applyFont="1" applyFill="1" applyBorder="1" applyAlignment="1">
      <alignment horizontal="left" vertical="center"/>
    </xf>
    <xf numFmtId="0" fontId="79" fillId="17" borderId="67" xfId="0" applyFont="1" applyFill="1" applyBorder="1" applyAlignment="1">
      <alignment horizontal="left" vertical="center"/>
    </xf>
    <xf numFmtId="22" fontId="79" fillId="17" borderId="67" xfId="0" applyNumberFormat="1" applyFont="1" applyFill="1" applyBorder="1" applyAlignment="1">
      <alignment horizontal="left" vertical="center"/>
    </xf>
    <xf numFmtId="0" fontId="74" fillId="0" borderId="4" xfId="0" applyFont="1" applyBorder="1" applyAlignment="1">
      <alignment horizontal="left" vertical="center"/>
    </xf>
    <xf numFmtId="22" fontId="79" fillId="17" borderId="73" xfId="0" applyNumberFormat="1" applyFont="1" applyFill="1" applyBorder="1" applyAlignment="1">
      <alignment horizontal="left" vertical="center"/>
    </xf>
    <xf numFmtId="0" fontId="74" fillId="17" borderId="78" xfId="0" applyFont="1" applyFill="1" applyBorder="1" applyAlignment="1">
      <alignment horizontal="center" vertical="center"/>
    </xf>
    <xf numFmtId="0" fontId="82" fillId="8" borderId="3" xfId="0" applyFont="1" applyFill="1" applyBorder="1" applyAlignment="1">
      <alignment horizontal="center" vertical="center"/>
    </xf>
    <xf numFmtId="0" fontId="74" fillId="8" borderId="0" xfId="0" applyFont="1" applyFill="1" applyAlignment="1">
      <alignment vertical="center"/>
    </xf>
    <xf numFmtId="0" fontId="74" fillId="0" borderId="0" xfId="0" applyFont="1"/>
    <xf numFmtId="0" fontId="74" fillId="0" borderId="0" xfId="0" applyFont="1" applyAlignment="1">
      <alignment horizontal="center"/>
    </xf>
    <xf numFmtId="0" fontId="85" fillId="0" borderId="0" xfId="0" applyFont="1" applyAlignment="1">
      <alignment horizontal="center"/>
    </xf>
    <xf numFmtId="0" fontId="77" fillId="8" borderId="0" xfId="0" applyFont="1" applyFill="1"/>
    <xf numFmtId="0" fontId="74" fillId="8" borderId="0" xfId="0" applyFont="1" applyFill="1"/>
    <xf numFmtId="0" fontId="77" fillId="0" borderId="0" xfId="0" applyFont="1" applyAlignment="1">
      <alignment horizontal="center"/>
    </xf>
    <xf numFmtId="0" fontId="74" fillId="0" borderId="0" xfId="0" applyFont="1" applyAlignment="1">
      <alignment horizontal="right" vertical="center"/>
    </xf>
    <xf numFmtId="165" fontId="74" fillId="0" borderId="0" xfId="0" applyNumberFormat="1" applyFont="1" applyAlignment="1">
      <alignment horizontal="center" vertical="center"/>
    </xf>
    <xf numFmtId="0" fontId="29" fillId="5" borderId="3" xfId="0" applyFont="1" applyFill="1" applyBorder="1"/>
    <xf numFmtId="0" fontId="29" fillId="8" borderId="3" xfId="0" applyFont="1" applyFill="1" applyBorder="1"/>
    <xf numFmtId="0" fontId="77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 wrapText="1"/>
    </xf>
    <xf numFmtId="0" fontId="88" fillId="8" borderId="0" xfId="0" applyFont="1" applyFill="1" applyAlignment="1">
      <alignment horizontal="center" vertical="center" wrapText="1"/>
    </xf>
    <xf numFmtId="0" fontId="89" fillId="0" borderId="0" xfId="0" applyFont="1" applyAlignment="1">
      <alignment vertical="center"/>
    </xf>
    <xf numFmtId="0" fontId="90" fillId="0" borderId="80" xfId="0" applyFont="1" applyBorder="1" applyAlignment="1">
      <alignment horizontal="center" vertical="center"/>
    </xf>
    <xf numFmtId="0" fontId="91" fillId="8" borderId="0" xfId="0" applyFont="1" applyFill="1" applyAlignment="1">
      <alignment horizontal="center" vertical="center"/>
    </xf>
    <xf numFmtId="49" fontId="77" fillId="0" borderId="0" xfId="0" applyNumberFormat="1" applyFont="1" applyAlignment="1">
      <alignment horizontal="center" vertical="center"/>
    </xf>
    <xf numFmtId="165" fontId="89" fillId="8" borderId="0" xfId="0" applyNumberFormat="1" applyFont="1" applyFill="1" applyAlignment="1">
      <alignment horizontal="center" vertical="center"/>
    </xf>
    <xf numFmtId="166" fontId="92" fillId="0" borderId="80" xfId="0" applyNumberFormat="1" applyFont="1" applyBorder="1" applyAlignment="1">
      <alignment horizontal="center" vertical="center"/>
    </xf>
    <xf numFmtId="166" fontId="93" fillId="8" borderId="0" xfId="0" applyNumberFormat="1" applyFont="1" applyFill="1" applyAlignment="1">
      <alignment horizontal="center" vertical="center"/>
    </xf>
    <xf numFmtId="10" fontId="90" fillId="0" borderId="0" xfId="0" applyNumberFormat="1" applyFont="1" applyAlignment="1">
      <alignment horizontal="center" vertical="center"/>
    </xf>
    <xf numFmtId="10" fontId="91" fillId="8" borderId="0" xfId="0" applyNumberFormat="1" applyFont="1" applyFill="1" applyAlignment="1">
      <alignment horizontal="center" vertical="center"/>
    </xf>
    <xf numFmtId="10" fontId="92" fillId="0" borderId="80" xfId="0" applyNumberFormat="1" applyFont="1" applyBorder="1" applyAlignment="1">
      <alignment horizontal="center" vertical="center"/>
    </xf>
    <xf numFmtId="10" fontId="93" fillId="8" borderId="0" xfId="0" applyNumberFormat="1" applyFont="1" applyFill="1" applyAlignment="1">
      <alignment horizontal="center" vertical="center"/>
    </xf>
    <xf numFmtId="0" fontId="74" fillId="0" borderId="0" xfId="0" applyFont="1" applyAlignment="1">
      <alignment horizontal="right" vertical="center"/>
    </xf>
    <xf numFmtId="0" fontId="85" fillId="0" borderId="0" xfId="0" applyFont="1" applyAlignment="1">
      <alignment vertical="center"/>
    </xf>
    <xf numFmtId="0" fontId="85" fillId="0" borderId="0" xfId="0" applyFont="1" applyAlignment="1">
      <alignment horizontal="right" vertical="center"/>
    </xf>
    <xf numFmtId="166" fontId="92" fillId="18" borderId="81" xfId="0" applyNumberFormat="1" applyFont="1" applyFill="1" applyBorder="1" applyAlignment="1">
      <alignment horizontal="center" vertical="center"/>
    </xf>
    <xf numFmtId="0" fontId="94" fillId="0" borderId="0" xfId="0" applyFont="1" applyAlignment="1">
      <alignment vertical="center"/>
    </xf>
    <xf numFmtId="10" fontId="92" fillId="0" borderId="0" xfId="0" applyNumberFormat="1" applyFont="1" applyAlignment="1">
      <alignment horizontal="center" vertical="center"/>
    </xf>
    <xf numFmtId="10" fontId="95" fillId="0" borderId="0" xfId="0" applyNumberFormat="1" applyFont="1" applyAlignment="1">
      <alignment horizontal="center" vertical="center"/>
    </xf>
    <xf numFmtId="166" fontId="91" fillId="8" borderId="0" xfId="0" applyNumberFormat="1" applyFont="1" applyFill="1" applyAlignment="1">
      <alignment horizontal="center" vertical="center"/>
    </xf>
    <xf numFmtId="10" fontId="92" fillId="18" borderId="3" xfId="0" applyNumberFormat="1" applyFont="1" applyFill="1" applyBorder="1" applyAlignment="1">
      <alignment horizontal="center" vertical="center"/>
    </xf>
    <xf numFmtId="10" fontId="92" fillId="18" borderId="28" xfId="0" applyNumberFormat="1" applyFont="1" applyFill="1" applyBorder="1" applyAlignment="1">
      <alignment horizontal="center" vertical="center"/>
    </xf>
    <xf numFmtId="167" fontId="74" fillId="0" borderId="0" xfId="0" applyNumberFormat="1" applyFont="1" applyAlignment="1">
      <alignment horizontal="center" vertical="center"/>
    </xf>
    <xf numFmtId="10" fontId="74" fillId="8" borderId="0" xfId="0" applyNumberFormat="1" applyFont="1" applyFill="1" applyAlignment="1">
      <alignment horizontal="center" vertical="center"/>
    </xf>
    <xf numFmtId="10" fontId="89" fillId="8" borderId="0" xfId="0" applyNumberFormat="1" applyFont="1" applyFill="1" applyAlignment="1">
      <alignment horizontal="center" vertical="center"/>
    </xf>
    <xf numFmtId="0" fontId="29" fillId="5" borderId="0" xfId="0" applyFont="1" applyFill="1"/>
    <xf numFmtId="0" fontId="89" fillId="8" borderId="0" xfId="0" applyFont="1" applyFill="1" applyAlignment="1">
      <alignment vertical="center"/>
    </xf>
    <xf numFmtId="0" fontId="77" fillId="0" borderId="82" xfId="0" applyFont="1" applyBorder="1" applyAlignment="1">
      <alignment horizontal="center" vertical="center" wrapText="1"/>
    </xf>
    <xf numFmtId="0" fontId="96" fillId="8" borderId="0" xfId="0" applyFont="1" applyFill="1" applyAlignment="1">
      <alignment horizontal="center" vertical="center" wrapText="1"/>
    </xf>
    <xf numFmtId="0" fontId="74" fillId="17" borderId="3" xfId="0" applyFont="1" applyFill="1" applyBorder="1" applyAlignment="1">
      <alignment horizontal="right" vertical="center"/>
    </xf>
    <xf numFmtId="4" fontId="97" fillId="0" borderId="0" xfId="0" applyNumberFormat="1" applyFont="1" applyAlignment="1">
      <alignment horizontal="center" vertical="center"/>
    </xf>
    <xf numFmtId="4" fontId="98" fillId="8" borderId="0" xfId="0" applyNumberFormat="1" applyFont="1" applyFill="1" applyAlignment="1">
      <alignment horizontal="center" vertical="center"/>
    </xf>
    <xf numFmtId="3" fontId="97" fillId="0" borderId="0" xfId="0" applyNumberFormat="1" applyFont="1" applyAlignment="1">
      <alignment horizontal="center" vertical="center"/>
    </xf>
    <xf numFmtId="3" fontId="99" fillId="8" borderId="0" xfId="0" applyNumberFormat="1" applyFont="1" applyFill="1" applyAlignment="1">
      <alignment horizontal="center" vertical="center"/>
    </xf>
    <xf numFmtId="3" fontId="99" fillId="8" borderId="0" xfId="0" applyNumberFormat="1" applyFont="1" applyFill="1" applyAlignment="1">
      <alignment horizontal="center" vertical="center"/>
    </xf>
    <xf numFmtId="0" fontId="100" fillId="0" borderId="0" xfId="0" applyFont="1" applyAlignment="1">
      <alignment vertical="center"/>
    </xf>
    <xf numFmtId="0" fontId="84" fillId="17" borderId="3" xfId="0" applyFont="1" applyFill="1" applyBorder="1" applyAlignment="1">
      <alignment horizontal="right" vertical="center"/>
    </xf>
    <xf numFmtId="3" fontId="84" fillId="18" borderId="3" xfId="0" applyNumberFormat="1" applyFont="1" applyFill="1" applyBorder="1" applyAlignment="1">
      <alignment horizontal="center" vertical="center"/>
    </xf>
    <xf numFmtId="3" fontId="101" fillId="8" borderId="3" xfId="0" applyNumberFormat="1" applyFont="1" applyFill="1" applyBorder="1" applyAlignment="1">
      <alignment horizontal="center" vertical="center"/>
    </xf>
    <xf numFmtId="0" fontId="102" fillId="0" borderId="0" xfId="0" applyFont="1" applyAlignment="1">
      <alignment vertical="center"/>
    </xf>
    <xf numFmtId="3" fontId="90" fillId="0" borderId="0" xfId="0" applyNumberFormat="1" applyFont="1" applyAlignment="1">
      <alignment horizontal="center" vertical="center"/>
    </xf>
    <xf numFmtId="3" fontId="90" fillId="8" borderId="0" xfId="0" applyNumberFormat="1" applyFont="1" applyFill="1" applyAlignment="1">
      <alignment horizontal="center" vertical="center"/>
    </xf>
    <xf numFmtId="3" fontId="91" fillId="8" borderId="0" xfId="0" applyNumberFormat="1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103" fillId="0" borderId="0" xfId="0" applyFont="1"/>
    <xf numFmtId="0" fontId="103" fillId="8" borderId="0" xfId="0" applyFont="1" applyFill="1"/>
    <xf numFmtId="0" fontId="104" fillId="8" borderId="0" xfId="0" applyFont="1" applyFill="1"/>
    <xf numFmtId="167" fontId="90" fillId="18" borderId="83" xfId="0" applyNumberFormat="1" applyFont="1" applyFill="1" applyBorder="1" applyAlignment="1">
      <alignment horizontal="center" vertical="center"/>
    </xf>
    <xf numFmtId="167" fontId="90" fillId="0" borderId="84" xfId="0" applyNumberFormat="1" applyFont="1" applyBorder="1" applyAlignment="1">
      <alignment horizontal="center" vertical="center"/>
    </xf>
    <xf numFmtId="167" fontId="91" fillId="8" borderId="0" xfId="0" applyNumberFormat="1" applyFont="1" applyFill="1" applyAlignment="1">
      <alignment horizontal="center" vertical="center"/>
    </xf>
    <xf numFmtId="2" fontId="90" fillId="18" borderId="83" xfId="0" applyNumberFormat="1" applyFont="1" applyFill="1" applyBorder="1" applyAlignment="1">
      <alignment horizontal="center" vertical="center"/>
    </xf>
    <xf numFmtId="2" fontId="90" fillId="0" borderId="84" xfId="0" applyNumberFormat="1" applyFont="1" applyBorder="1" applyAlignment="1">
      <alignment horizontal="center" vertical="center"/>
    </xf>
    <xf numFmtId="2" fontId="91" fillId="8" borderId="0" xfId="0" applyNumberFormat="1" applyFont="1" applyFill="1" applyAlignment="1">
      <alignment horizontal="center" vertical="center"/>
    </xf>
    <xf numFmtId="168" fontId="90" fillId="0" borderId="85" xfId="0" applyNumberFormat="1" applyFont="1" applyBorder="1" applyAlignment="1">
      <alignment horizontal="center" vertical="center"/>
    </xf>
    <xf numFmtId="168" fontId="91" fillId="8" borderId="0" xfId="0" applyNumberFormat="1" applyFont="1" applyFill="1" applyAlignment="1">
      <alignment horizontal="center" vertical="center"/>
    </xf>
    <xf numFmtId="166" fontId="90" fillId="0" borderId="84" xfId="0" applyNumberFormat="1" applyFont="1" applyBorder="1" applyAlignment="1">
      <alignment horizontal="center" vertical="center"/>
    </xf>
    <xf numFmtId="3" fontId="90" fillId="0" borderId="84" xfId="0" applyNumberFormat="1" applyFont="1" applyBorder="1" applyAlignment="1">
      <alignment horizontal="center" vertical="center"/>
    </xf>
    <xf numFmtId="0" fontId="74" fillId="17" borderId="53" xfId="0" applyFont="1" applyFill="1" applyBorder="1" applyAlignment="1">
      <alignment horizontal="right" vertical="center"/>
    </xf>
    <xf numFmtId="166" fontId="90" fillId="0" borderId="86" xfId="0" applyNumberFormat="1" applyFont="1" applyBorder="1" applyAlignment="1">
      <alignment horizontal="center" vertical="center"/>
    </xf>
    <xf numFmtId="0" fontId="77" fillId="17" borderId="3" xfId="0" applyFont="1" applyFill="1" applyBorder="1" applyAlignment="1">
      <alignment horizontal="right" vertical="center"/>
    </xf>
    <xf numFmtId="4" fontId="90" fillId="0" borderId="0" xfId="0" applyNumberFormat="1" applyFont="1" applyAlignment="1">
      <alignment horizontal="center" vertical="center"/>
    </xf>
    <xf numFmtId="4" fontId="91" fillId="8" borderId="0" xfId="0" applyNumberFormat="1" applyFont="1" applyFill="1" applyAlignment="1">
      <alignment horizontal="center" vertical="center"/>
    </xf>
    <xf numFmtId="3" fontId="90" fillId="18" borderId="83" xfId="0" applyNumberFormat="1" applyFont="1" applyFill="1" applyBorder="1" applyAlignment="1">
      <alignment horizontal="center" vertical="center"/>
    </xf>
    <xf numFmtId="3" fontId="90" fillId="18" borderId="87" xfId="0" applyNumberFormat="1" applyFont="1" applyFill="1" applyBorder="1" applyAlignment="1">
      <alignment horizontal="center"/>
    </xf>
    <xf numFmtId="3" fontId="91" fillId="8" borderId="0" xfId="0" applyNumberFormat="1" applyFont="1" applyFill="1" applyAlignment="1">
      <alignment horizontal="center"/>
    </xf>
    <xf numFmtId="166" fontId="97" fillId="0" borderId="86" xfId="0" applyNumberFormat="1" applyFont="1" applyBorder="1" applyAlignment="1">
      <alignment horizontal="center" vertical="center"/>
    </xf>
    <xf numFmtId="3" fontId="90" fillId="0" borderId="86" xfId="0" applyNumberFormat="1" applyFont="1" applyBorder="1" applyAlignment="1">
      <alignment horizontal="center" vertical="center"/>
    </xf>
    <xf numFmtId="4" fontId="90" fillId="0" borderId="88" xfId="0" applyNumberFormat="1" applyFont="1" applyBorder="1" applyAlignment="1">
      <alignment horizontal="center" vertical="center"/>
    </xf>
    <xf numFmtId="4" fontId="90" fillId="0" borderId="89" xfId="0" applyNumberFormat="1" applyFont="1" applyBorder="1" applyAlignment="1">
      <alignment horizontal="center" vertical="center"/>
    </xf>
    <xf numFmtId="0" fontId="74" fillId="17" borderId="27" xfId="0" applyFont="1" applyFill="1" applyBorder="1" applyAlignment="1">
      <alignment horizontal="right" vertical="center"/>
    </xf>
    <xf numFmtId="3" fontId="90" fillId="18" borderId="87" xfId="0" applyNumberFormat="1" applyFont="1" applyFill="1" applyBorder="1" applyAlignment="1">
      <alignment horizontal="center" vertical="center"/>
    </xf>
    <xf numFmtId="0" fontId="74" fillId="17" borderId="0" xfId="0" applyFont="1" applyFill="1" applyAlignment="1">
      <alignment horizontal="right" vertical="center"/>
    </xf>
    <xf numFmtId="166" fontId="90" fillId="0" borderId="90" xfId="0" applyNumberFormat="1" applyFont="1" applyBorder="1" applyAlignment="1">
      <alignment horizontal="center" vertical="center"/>
    </xf>
    <xf numFmtId="0" fontId="74" fillId="17" borderId="78" xfId="0" applyFont="1" applyFill="1" applyBorder="1" applyAlignment="1">
      <alignment horizontal="right" vertical="center"/>
    </xf>
    <xf numFmtId="4" fontId="93" fillId="8" borderId="0" xfId="0" applyNumberFormat="1" applyFont="1" applyFill="1" applyAlignment="1">
      <alignment horizontal="center" vertical="center" wrapText="1"/>
    </xf>
    <xf numFmtId="3" fontId="90" fillId="18" borderId="83" xfId="0" applyNumberFormat="1" applyFont="1" applyFill="1" applyBorder="1" applyAlignment="1">
      <alignment horizontal="center" vertical="center"/>
    </xf>
    <xf numFmtId="166" fontId="77" fillId="0" borderId="0" xfId="0" applyNumberFormat="1" applyFont="1" applyAlignment="1">
      <alignment horizontal="center" vertical="center"/>
    </xf>
    <xf numFmtId="166" fontId="74" fillId="0" borderId="0" xfId="0" applyNumberFormat="1" applyFont="1" applyAlignment="1">
      <alignment horizontal="center" vertical="center"/>
    </xf>
    <xf numFmtId="10" fontId="90" fillId="18" borderId="91" xfId="0" applyNumberFormat="1" applyFont="1" applyFill="1" applyBorder="1" applyAlignment="1">
      <alignment horizontal="center" vertical="center"/>
    </xf>
    <xf numFmtId="10" fontId="90" fillId="18" borderId="92" xfId="0" applyNumberFormat="1" applyFont="1" applyFill="1" applyBorder="1" applyAlignment="1">
      <alignment horizontal="center" vertical="center"/>
    </xf>
    <xf numFmtId="10" fontId="105" fillId="18" borderId="67" xfId="0" applyNumberFormat="1" applyFont="1" applyFill="1" applyBorder="1" applyAlignment="1">
      <alignment horizontal="center" vertical="center"/>
    </xf>
    <xf numFmtId="10" fontId="105" fillId="18" borderId="93" xfId="0" applyNumberFormat="1" applyFont="1" applyFill="1" applyBorder="1" applyAlignment="1">
      <alignment horizontal="center" vertical="center"/>
    </xf>
    <xf numFmtId="10" fontId="106" fillId="0" borderId="8" xfId="0" applyNumberFormat="1" applyFont="1" applyBorder="1" applyAlignment="1">
      <alignment horizontal="center" vertical="center"/>
    </xf>
    <xf numFmtId="10" fontId="90" fillId="0" borderId="94" xfId="0" applyNumberFormat="1" applyFont="1" applyBorder="1" applyAlignment="1">
      <alignment horizontal="center" vertical="center"/>
    </xf>
    <xf numFmtId="0" fontId="107" fillId="8" borderId="0" xfId="0" applyFont="1" applyFill="1" applyAlignment="1">
      <alignment horizontal="center" vertical="center"/>
    </xf>
    <xf numFmtId="1" fontId="106" fillId="18" borderId="91" xfId="0" applyNumberFormat="1" applyFont="1" applyFill="1" applyBorder="1" applyAlignment="1">
      <alignment horizontal="center" vertical="center"/>
    </xf>
    <xf numFmtId="1" fontId="106" fillId="18" borderId="95" xfId="0" applyNumberFormat="1" applyFont="1" applyFill="1" applyBorder="1" applyAlignment="1">
      <alignment horizontal="center" vertical="center"/>
    </xf>
    <xf numFmtId="1" fontId="93" fillId="8" borderId="0" xfId="0" applyNumberFormat="1" applyFont="1" applyFill="1" applyAlignment="1">
      <alignment horizontal="center" vertical="center"/>
    </xf>
    <xf numFmtId="1" fontId="90" fillId="0" borderId="96" xfId="0" applyNumberFormat="1" applyFont="1" applyBorder="1" applyAlignment="1">
      <alignment horizontal="center" vertical="center"/>
    </xf>
    <xf numFmtId="1" fontId="105" fillId="0" borderId="96" xfId="0" applyNumberFormat="1" applyFont="1" applyBorder="1" applyAlignment="1">
      <alignment horizontal="center" vertical="center"/>
    </xf>
    <xf numFmtId="1" fontId="91" fillId="8" borderId="0" xfId="0" applyNumberFormat="1" applyFont="1" applyFill="1" applyAlignment="1">
      <alignment horizontal="center" vertical="center"/>
    </xf>
    <xf numFmtId="0" fontId="74" fillId="0" borderId="86" xfId="0" applyFont="1" applyBorder="1" applyAlignment="1">
      <alignment horizontal="right" vertical="center"/>
    </xf>
    <xf numFmtId="1" fontId="90" fillId="0" borderId="96" xfId="0" applyNumberFormat="1" applyFont="1" applyBorder="1" applyAlignment="1">
      <alignment horizontal="center" vertical="center"/>
    </xf>
    <xf numFmtId="1" fontId="105" fillId="0" borderId="96" xfId="0" applyNumberFormat="1" applyFont="1" applyBorder="1" applyAlignment="1">
      <alignment horizontal="center" vertical="center"/>
    </xf>
    <xf numFmtId="0" fontId="53" fillId="0" borderId="0" xfId="0" applyFont="1"/>
    <xf numFmtId="0" fontId="108" fillId="0" borderId="0" xfId="0" applyFont="1"/>
    <xf numFmtId="0" fontId="110" fillId="0" borderId="0" xfId="0" applyFont="1" applyAlignment="1">
      <alignment horizontal="center" vertical="center"/>
    </xf>
    <xf numFmtId="0" fontId="53" fillId="0" borderId="0" xfId="0" applyFont="1" applyAlignment="1"/>
    <xf numFmtId="0" fontId="113" fillId="0" borderId="0" xfId="0" applyFont="1" applyAlignment="1">
      <alignment horizontal="left"/>
    </xf>
    <xf numFmtId="0" fontId="1" fillId="0" borderId="97" xfId="0" applyFont="1" applyBorder="1" applyAlignment="1">
      <alignment horizontal="left"/>
    </xf>
    <xf numFmtId="0" fontId="110" fillId="0" borderId="6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15" xfId="0" applyFont="1" applyBorder="1"/>
    <xf numFmtId="0" fontId="110" fillId="19" borderId="1" xfId="0" applyFont="1" applyFill="1" applyBorder="1" applyAlignment="1">
      <alignment horizontal="center" vertical="center"/>
    </xf>
    <xf numFmtId="0" fontId="110" fillId="19" borderId="1" xfId="0" applyFont="1" applyFill="1" applyBorder="1" applyAlignment="1">
      <alignment horizontal="center" vertical="center" wrapText="1"/>
    </xf>
    <xf numFmtId="0" fontId="117" fillId="19" borderId="1" xfId="0" applyFont="1" applyFill="1" applyBorder="1" applyAlignment="1">
      <alignment horizontal="center" vertical="center" wrapText="1"/>
    </xf>
    <xf numFmtId="0" fontId="78" fillId="19" borderId="1" xfId="0" applyFont="1" applyFill="1" applyBorder="1" applyAlignment="1">
      <alignment horizontal="center" vertical="center" wrapText="1"/>
    </xf>
    <xf numFmtId="0" fontId="118" fillId="19" borderId="1" xfId="0" applyFont="1" applyFill="1" applyBorder="1" applyAlignment="1">
      <alignment horizontal="center" vertical="center" wrapText="1"/>
    </xf>
    <xf numFmtId="0" fontId="106" fillId="19" borderId="1" xfId="0" applyFont="1" applyFill="1" applyBorder="1" applyAlignment="1">
      <alignment horizontal="center" vertical="center" wrapText="1"/>
    </xf>
    <xf numFmtId="0" fontId="108" fillId="0" borderId="1" xfId="0" applyFont="1" applyBorder="1" applyAlignment="1">
      <alignment horizontal="right" vertical="center" wrapText="1"/>
    </xf>
    <xf numFmtId="3" fontId="108" fillId="0" borderId="1" xfId="0" applyNumberFormat="1" applyFont="1" applyBorder="1" applyAlignment="1">
      <alignment horizontal="center" vertical="center" wrapText="1"/>
    </xf>
    <xf numFmtId="1" fontId="108" fillId="0" borderId="1" xfId="0" applyNumberFormat="1" applyFont="1" applyBorder="1" applyAlignment="1">
      <alignment horizontal="center" vertical="center"/>
    </xf>
    <xf numFmtId="169" fontId="108" fillId="0" borderId="1" xfId="0" applyNumberFormat="1" applyFont="1" applyBorder="1" applyAlignment="1">
      <alignment horizontal="center" vertical="center"/>
    </xf>
    <xf numFmtId="170" fontId="117" fillId="0" borderId="1" xfId="0" applyNumberFormat="1" applyFont="1" applyBorder="1" applyAlignment="1">
      <alignment horizontal="center" vertical="center"/>
    </xf>
    <xf numFmtId="169" fontId="117" fillId="0" borderId="1" xfId="0" applyNumberFormat="1" applyFont="1" applyBorder="1" applyAlignment="1">
      <alignment horizontal="center" vertical="center"/>
    </xf>
    <xf numFmtId="3" fontId="78" fillId="0" borderId="1" xfId="0" applyNumberFormat="1" applyFont="1" applyBorder="1" applyAlignment="1">
      <alignment horizontal="center" vertical="center"/>
    </xf>
    <xf numFmtId="169" fontId="120" fillId="0" borderId="1" xfId="0" applyNumberFormat="1" applyFont="1" applyBorder="1" applyAlignment="1">
      <alignment horizontal="center" vertical="center"/>
    </xf>
    <xf numFmtId="166" fontId="108" fillId="0" borderId="0" xfId="0" applyNumberFormat="1" applyFont="1" applyAlignment="1">
      <alignment horizontal="center" vertical="center"/>
    </xf>
    <xf numFmtId="3" fontId="108" fillId="0" borderId="15" xfId="0" applyNumberFormat="1" applyFont="1" applyBorder="1" applyAlignment="1">
      <alignment horizontal="center" vertical="center" wrapText="1"/>
    </xf>
    <xf numFmtId="169" fontId="108" fillId="0" borderId="15" xfId="0" applyNumberFormat="1" applyFont="1" applyBorder="1" applyAlignment="1">
      <alignment horizontal="center" vertical="center"/>
    </xf>
    <xf numFmtId="0" fontId="108" fillId="0" borderId="15" xfId="0" applyFont="1" applyBorder="1" applyAlignment="1">
      <alignment horizontal="right" vertical="center" wrapText="1"/>
    </xf>
    <xf numFmtId="1" fontId="108" fillId="0" borderId="15" xfId="0" applyNumberFormat="1" applyFont="1" applyBorder="1" applyAlignment="1">
      <alignment horizontal="center" vertical="center"/>
    </xf>
    <xf numFmtId="0" fontId="121" fillId="19" borderId="1" xfId="0" applyFont="1" applyFill="1" applyBorder="1" applyAlignment="1">
      <alignment horizontal="right" vertical="center"/>
    </xf>
    <xf numFmtId="1" fontId="121" fillId="19" borderId="1" xfId="0" applyNumberFormat="1" applyFont="1" applyFill="1" applyBorder="1" applyAlignment="1">
      <alignment horizontal="center" vertical="center"/>
    </xf>
    <xf numFmtId="1" fontId="121" fillId="0" borderId="1" xfId="0" applyNumberFormat="1" applyFont="1" applyBorder="1" applyAlignment="1">
      <alignment horizontal="center" vertical="center"/>
    </xf>
    <xf numFmtId="4" fontId="121" fillId="19" borderId="1" xfId="0" applyNumberFormat="1" applyFont="1" applyFill="1" applyBorder="1" applyAlignment="1">
      <alignment horizontal="center" vertical="center"/>
    </xf>
    <xf numFmtId="169" fontId="84" fillId="19" borderId="1" xfId="0" applyNumberFormat="1" applyFont="1" applyFill="1" applyBorder="1" applyAlignment="1">
      <alignment horizontal="center" vertical="center"/>
    </xf>
    <xf numFmtId="4" fontId="121" fillId="0" borderId="1" xfId="0" applyNumberFormat="1" applyFont="1" applyBorder="1" applyAlignment="1">
      <alignment horizontal="center" vertical="center"/>
    </xf>
    <xf numFmtId="169" fontId="121" fillId="19" borderId="1" xfId="0" applyNumberFormat="1" applyFont="1" applyFill="1" applyBorder="1" applyAlignment="1">
      <alignment horizontal="center" vertical="center"/>
    </xf>
    <xf numFmtId="169" fontId="122" fillId="19" borderId="1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vertical="center"/>
    </xf>
    <xf numFmtId="0" fontId="119" fillId="0" borderId="0" xfId="0" applyFont="1" applyAlignment="1">
      <alignment horizontal="center" vertical="center"/>
    </xf>
    <xf numFmtId="0" fontId="123" fillId="0" borderId="0" xfId="0" applyFont="1" applyAlignment="1">
      <alignment horizontal="right"/>
    </xf>
    <xf numFmtId="0" fontId="123" fillId="0" borderId="0" xfId="0" applyFont="1" applyAlignment="1">
      <alignment horizontal="center" vertical="center"/>
    </xf>
    <xf numFmtId="4" fontId="123" fillId="0" borderId="0" xfId="0" applyNumberFormat="1" applyFont="1" applyAlignment="1">
      <alignment horizontal="center"/>
    </xf>
    <xf numFmtId="0" fontId="124" fillId="0" borderId="99" xfId="0" applyFont="1" applyBorder="1" applyAlignment="1">
      <alignment wrapText="1"/>
    </xf>
    <xf numFmtId="0" fontId="75" fillId="0" borderId="0" xfId="0" applyFont="1" applyAlignment="1">
      <alignment horizontal="center" wrapText="1"/>
    </xf>
    <xf numFmtId="0" fontId="125" fillId="0" borderId="0" xfId="0" applyFont="1" applyAlignment="1">
      <alignment horizontal="center" wrapText="1"/>
    </xf>
    <xf numFmtId="0" fontId="96" fillId="0" borderId="0" xfId="0" applyFont="1" applyAlignment="1">
      <alignment horizontal="left" wrapText="1"/>
    </xf>
    <xf numFmtId="0" fontId="126" fillId="21" borderId="0" xfId="0" applyFont="1" applyFill="1" applyAlignment="1"/>
    <xf numFmtId="0" fontId="75" fillId="21" borderId="1" xfId="0" applyFont="1" applyFill="1" applyBorder="1" applyAlignment="1">
      <alignment horizontal="center" vertical="center" wrapText="1"/>
    </xf>
    <xf numFmtId="0" fontId="125" fillId="21" borderId="1" xfId="0" applyFont="1" applyFill="1" applyBorder="1" applyAlignment="1">
      <alignment horizontal="center" vertical="center" wrapText="1"/>
    </xf>
    <xf numFmtId="0" fontId="127" fillId="21" borderId="1" xfId="0" applyFont="1" applyFill="1" applyBorder="1" applyAlignment="1">
      <alignment horizontal="center" vertical="center" wrapText="1"/>
    </xf>
    <xf numFmtId="0" fontId="74" fillId="8" borderId="0" xfId="0" applyFont="1" applyFill="1" applyAlignment="1">
      <alignment horizontal="right" wrapText="1"/>
    </xf>
    <xf numFmtId="0" fontId="74" fillId="8" borderId="1" xfId="0" applyFont="1" applyFill="1" applyBorder="1" applyAlignment="1">
      <alignment wrapText="1"/>
    </xf>
    <xf numFmtId="0" fontId="74" fillId="8" borderId="1" xfId="0" applyFont="1" applyFill="1" applyBorder="1" applyAlignment="1">
      <alignment horizontal="center" wrapText="1"/>
    </xf>
    <xf numFmtId="171" fontId="74" fillId="8" borderId="1" xfId="0" applyNumberFormat="1" applyFont="1" applyFill="1" applyBorder="1" applyAlignment="1">
      <alignment horizontal="right"/>
    </xf>
    <xf numFmtId="3" fontId="74" fillId="8" borderId="1" xfId="0" applyNumberFormat="1" applyFont="1" applyFill="1" applyBorder="1" applyAlignment="1">
      <alignment horizontal="right"/>
    </xf>
    <xf numFmtId="171" fontId="74" fillId="8" borderId="100" xfId="0" applyNumberFormat="1" applyFont="1" applyFill="1" applyBorder="1" applyAlignment="1">
      <alignment horizontal="center" wrapText="1"/>
    </xf>
    <xf numFmtId="3" fontId="74" fillId="8" borderId="1" xfId="0" applyNumberFormat="1" applyFont="1" applyFill="1" applyBorder="1" applyAlignment="1">
      <alignment horizontal="center" wrapText="1"/>
    </xf>
    <xf numFmtId="0" fontId="128" fillId="8" borderId="1" xfId="0" applyFont="1" applyFill="1" applyBorder="1" applyAlignment="1">
      <alignment horizontal="center" wrapText="1"/>
    </xf>
    <xf numFmtId="0" fontId="74" fillId="22" borderId="1" xfId="0" applyFont="1" applyFill="1" applyBorder="1" applyAlignment="1">
      <alignment horizontal="right" wrapText="1"/>
    </xf>
    <xf numFmtId="0" fontId="74" fillId="22" borderId="1" xfId="0" applyFont="1" applyFill="1" applyBorder="1" applyAlignment="1">
      <alignment wrapText="1"/>
    </xf>
    <xf numFmtId="0" fontId="74" fillId="22" borderId="1" xfId="0" applyFont="1" applyFill="1" applyBorder="1" applyAlignment="1">
      <alignment horizontal="center" wrapText="1"/>
    </xf>
    <xf numFmtId="171" fontId="74" fillId="22" borderId="1" xfId="0" applyNumberFormat="1" applyFont="1" applyFill="1" applyBorder="1" applyAlignment="1">
      <alignment horizontal="right"/>
    </xf>
    <xf numFmtId="3" fontId="74" fillId="22" borderId="1" xfId="0" applyNumberFormat="1" applyFont="1" applyFill="1" applyBorder="1" applyAlignment="1">
      <alignment horizontal="right"/>
    </xf>
    <xf numFmtId="171" fontId="74" fillId="22" borderId="100" xfId="0" applyNumberFormat="1" applyFont="1" applyFill="1" applyBorder="1" applyAlignment="1">
      <alignment horizontal="center" wrapText="1"/>
    </xf>
    <xf numFmtId="3" fontId="74" fillId="22" borderId="1" xfId="0" applyNumberFormat="1" applyFont="1" applyFill="1" applyBorder="1" applyAlignment="1">
      <alignment horizontal="center" wrapText="1"/>
    </xf>
    <xf numFmtId="0" fontId="128" fillId="22" borderId="1" xfId="0" applyFont="1" applyFill="1" applyBorder="1" applyAlignment="1">
      <alignment horizontal="center" wrapText="1"/>
    </xf>
    <xf numFmtId="0" fontId="74" fillId="8" borderId="1" xfId="0" applyFont="1" applyFill="1" applyBorder="1" applyAlignment="1">
      <alignment horizontal="right" wrapText="1"/>
    </xf>
    <xf numFmtId="0" fontId="124" fillId="22" borderId="1" xfId="0" applyFont="1" applyFill="1" applyBorder="1" applyAlignment="1">
      <alignment wrapText="1"/>
    </xf>
    <xf numFmtId="0" fontId="124" fillId="8" borderId="1" xfId="0" applyFont="1" applyFill="1" applyBorder="1" applyAlignment="1">
      <alignment wrapText="1"/>
    </xf>
    <xf numFmtId="0" fontId="74" fillId="22" borderId="1" xfId="0" applyFont="1" applyFill="1" applyBorder="1" applyAlignment="1"/>
    <xf numFmtId="0" fontId="74" fillId="22" borderId="1" xfId="0" applyFont="1" applyFill="1" applyBorder="1" applyAlignment="1">
      <alignment horizontal="center"/>
    </xf>
    <xf numFmtId="0" fontId="74" fillId="8" borderId="1" xfId="0" applyFont="1" applyFill="1" applyBorder="1" applyAlignment="1">
      <alignment horizontal="center"/>
    </xf>
    <xf numFmtId="0" fontId="126" fillId="0" borderId="1" xfId="0" applyFont="1" applyBorder="1" applyAlignment="1">
      <alignment wrapText="1"/>
    </xf>
    <xf numFmtId="0" fontId="126" fillId="0" borderId="6" xfId="0" applyFont="1" applyBorder="1" applyAlignment="1">
      <alignment wrapText="1"/>
    </xf>
    <xf numFmtId="0" fontId="126" fillId="21" borderId="1" xfId="0" applyFont="1" applyFill="1" applyBorder="1" applyAlignment="1"/>
    <xf numFmtId="0" fontId="75" fillId="21" borderId="1" xfId="0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129" fillId="8" borderId="1" xfId="0" applyFont="1" applyFill="1" applyBorder="1" applyAlignment="1">
      <alignment horizontal="right" wrapText="1"/>
    </xf>
    <xf numFmtId="0" fontId="126" fillId="8" borderId="1" xfId="0" applyFont="1" applyFill="1" applyBorder="1" applyAlignment="1">
      <alignment wrapText="1"/>
    </xf>
    <xf numFmtId="0" fontId="129" fillId="8" borderId="1" xfId="0" applyFont="1" applyFill="1" applyBorder="1" applyAlignment="1">
      <alignment horizontal="center"/>
    </xf>
    <xf numFmtId="171" fontId="74" fillId="8" borderId="1" xfId="0" applyNumberFormat="1" applyFont="1" applyFill="1" applyBorder="1" applyAlignment="1">
      <alignment horizontal="center" wrapText="1"/>
    </xf>
    <xf numFmtId="0" fontId="74" fillId="8" borderId="1" xfId="0" applyFont="1" applyFill="1" applyBorder="1" applyAlignment="1"/>
    <xf numFmtId="0" fontId="74" fillId="0" borderId="1" xfId="0" applyFont="1" applyBorder="1" applyAlignment="1"/>
    <xf numFmtId="0" fontId="129" fillId="22" borderId="1" xfId="0" applyFont="1" applyFill="1" applyBorder="1" applyAlignment="1">
      <alignment horizontal="right" wrapText="1"/>
    </xf>
    <xf numFmtId="0" fontId="126" fillId="22" borderId="1" xfId="0" applyFont="1" applyFill="1" applyBorder="1" applyAlignment="1">
      <alignment wrapText="1"/>
    </xf>
    <xf numFmtId="0" fontId="129" fillId="22" borderId="1" xfId="0" applyFont="1" applyFill="1" applyBorder="1" applyAlignment="1">
      <alignment horizontal="center"/>
    </xf>
    <xf numFmtId="171" fontId="74" fillId="22" borderId="1" xfId="0" applyNumberFormat="1" applyFont="1" applyFill="1" applyBorder="1" applyAlignment="1">
      <alignment horizontal="center" wrapText="1"/>
    </xf>
    <xf numFmtId="0" fontId="129" fillId="8" borderId="1" xfId="0" applyFont="1" applyFill="1" applyBorder="1" applyAlignment="1">
      <alignment wrapText="1"/>
    </xf>
    <xf numFmtId="0" fontId="129" fillId="22" borderId="1" xfId="0" applyFont="1" applyFill="1" applyBorder="1" applyAlignment="1">
      <alignment wrapText="1"/>
    </xf>
    <xf numFmtId="0" fontId="130" fillId="22" borderId="1" xfId="0" applyFont="1" applyFill="1" applyBorder="1" applyAlignment="1">
      <alignment wrapText="1"/>
    </xf>
    <xf numFmtId="0" fontId="126" fillId="22" borderId="1" xfId="0" applyFont="1" applyFill="1" applyBorder="1" applyAlignment="1">
      <alignment wrapText="1"/>
    </xf>
    <xf numFmtId="0" fontId="74" fillId="8" borderId="1" xfId="0" applyFont="1" applyFill="1" applyBorder="1" applyAlignment="1">
      <alignment wrapText="1"/>
    </xf>
    <xf numFmtId="0" fontId="130" fillId="8" borderId="1" xfId="0" applyFont="1" applyFill="1" applyBorder="1" applyAlignment="1">
      <alignment wrapText="1"/>
    </xf>
    <xf numFmtId="0" fontId="130" fillId="8" borderId="1" xfId="0" applyFont="1" applyFill="1" applyBorder="1" applyAlignment="1">
      <alignment vertical="top" wrapText="1"/>
    </xf>
    <xf numFmtId="0" fontId="74" fillId="22" borderId="1" xfId="0" applyFont="1" applyFill="1" applyBorder="1" applyAlignment="1">
      <alignment wrapText="1"/>
    </xf>
    <xf numFmtId="0" fontId="74" fillId="22" borderId="1" xfId="0" applyFont="1" applyFill="1" applyBorder="1" applyAlignment="1">
      <alignment horizontal="center"/>
    </xf>
    <xf numFmtId="0" fontId="74" fillId="8" borderId="1" xfId="0" applyFont="1" applyFill="1" applyBorder="1" applyAlignment="1">
      <alignment horizontal="center"/>
    </xf>
    <xf numFmtId="171" fontId="74" fillId="0" borderId="1" xfId="0" applyNumberFormat="1" applyFont="1" applyBorder="1" applyAlignment="1"/>
    <xf numFmtId="0" fontId="77" fillId="8" borderId="0" xfId="0" applyFont="1" applyFill="1" applyAlignment="1">
      <alignment horizontal="right" vertical="center" wrapText="1"/>
    </xf>
    <xf numFmtId="0" fontId="74" fillId="8" borderId="0" xfId="0" applyFont="1" applyFill="1" applyAlignment="1"/>
    <xf numFmtId="0" fontId="90" fillId="13" borderId="0" xfId="0" applyFont="1" applyFill="1" applyAlignment="1">
      <alignment horizontal="center" wrapText="1"/>
    </xf>
    <xf numFmtId="0" fontId="90" fillId="13" borderId="1" xfId="0" applyFont="1" applyFill="1" applyBorder="1" applyAlignment="1">
      <alignment horizontal="center" wrapText="1"/>
    </xf>
    <xf numFmtId="0" fontId="132" fillId="8" borderId="0" xfId="0" applyFont="1" applyFill="1" applyAlignment="1"/>
    <xf numFmtId="0" fontId="12" fillId="0" borderId="0" xfId="0" applyFont="1" applyAlignment="1"/>
    <xf numFmtId="0" fontId="97" fillId="8" borderId="0" xfId="0" applyFont="1" applyFill="1" applyAlignment="1">
      <alignment wrapText="1"/>
    </xf>
    <xf numFmtId="0" fontId="97" fillId="0" borderId="1" xfId="0" applyFont="1" applyBorder="1" applyAlignment="1">
      <alignment horizontal="center" wrapText="1"/>
    </xf>
    <xf numFmtId="0" fontId="131" fillId="24" borderId="1" xfId="0" applyFont="1" applyFill="1" applyBorder="1" applyAlignment="1">
      <alignment wrapText="1"/>
    </xf>
    <xf numFmtId="0" fontId="131" fillId="24" borderId="0" xfId="0" applyFont="1" applyFill="1" applyAlignment="1">
      <alignment wrapText="1"/>
    </xf>
    <xf numFmtId="0" fontId="131" fillId="26" borderId="1" xfId="0" applyFont="1" applyFill="1" applyBorder="1" applyAlignment="1">
      <alignment wrapText="1"/>
    </xf>
    <xf numFmtId="0" fontId="131" fillId="27" borderId="1" xfId="0" applyFont="1" applyFill="1" applyBorder="1" applyAlignment="1">
      <alignment wrapText="1"/>
    </xf>
    <xf numFmtId="0" fontId="131" fillId="27" borderId="0" xfId="0" applyFont="1" applyFill="1" applyAlignment="1">
      <alignment wrapText="1"/>
    </xf>
    <xf numFmtId="0" fontId="97" fillId="8" borderId="0" xfId="0" applyFont="1" applyFill="1" applyAlignment="1">
      <alignment horizontal="right" wrapText="1"/>
    </xf>
    <xf numFmtId="0" fontId="97" fillId="8" borderId="0" xfId="0" applyFont="1" applyFill="1" applyAlignment="1">
      <alignment wrapText="1"/>
    </xf>
    <xf numFmtId="0" fontId="97" fillId="0" borderId="1" xfId="0" applyFont="1" applyBorder="1" applyAlignment="1">
      <alignment horizontal="center" wrapText="1"/>
    </xf>
    <xf numFmtId="1" fontId="131" fillId="24" borderId="1" xfId="0" applyNumberFormat="1" applyFont="1" applyFill="1" applyBorder="1" applyAlignment="1">
      <alignment wrapText="1"/>
    </xf>
    <xf numFmtId="1" fontId="131" fillId="26" borderId="1" xfId="0" applyNumberFormat="1" applyFont="1" applyFill="1" applyBorder="1" applyAlignment="1">
      <alignment wrapText="1"/>
    </xf>
    <xf numFmtId="1" fontId="131" fillId="27" borderId="0" xfId="0" applyNumberFormat="1" applyFont="1" applyFill="1" applyAlignment="1">
      <alignment wrapText="1"/>
    </xf>
    <xf numFmtId="0" fontId="97" fillId="22" borderId="1" xfId="0" applyFont="1" applyFill="1" applyBorder="1" applyAlignment="1">
      <alignment horizontal="right" wrapText="1"/>
    </xf>
    <xf numFmtId="0" fontId="97" fillId="8" borderId="1" xfId="0" applyFont="1" applyFill="1" applyBorder="1" applyAlignment="1">
      <alignment wrapText="1"/>
    </xf>
    <xf numFmtId="0" fontId="97" fillId="8" borderId="1" xfId="0" applyFont="1" applyFill="1" applyBorder="1" applyAlignment="1">
      <alignment horizontal="right" wrapText="1"/>
    </xf>
    <xf numFmtId="0" fontId="131" fillId="25" borderId="1" xfId="0" applyFont="1" applyFill="1" applyBorder="1" applyAlignment="1"/>
    <xf numFmtId="0" fontId="131" fillId="25" borderId="0" xfId="0" applyFont="1" applyFill="1" applyAlignment="1"/>
    <xf numFmtId="0" fontId="131" fillId="24" borderId="1" xfId="0" applyFont="1" applyFill="1" applyBorder="1" applyAlignment="1"/>
    <xf numFmtId="0" fontId="131" fillId="23" borderId="1" xfId="0" applyFont="1" applyFill="1" applyBorder="1" applyAlignment="1"/>
    <xf numFmtId="0" fontId="134" fillId="8" borderId="1" xfId="0" applyFont="1" applyFill="1" applyBorder="1" applyAlignment="1">
      <alignment wrapText="1"/>
    </xf>
    <xf numFmtId="0" fontId="131" fillId="25" borderId="1" xfId="0" applyFont="1" applyFill="1" applyBorder="1" applyAlignment="1">
      <alignment horizontal="right" wrapText="1"/>
    </xf>
    <xf numFmtId="0" fontId="131" fillId="25" borderId="0" xfId="0" applyFont="1" applyFill="1" applyAlignment="1">
      <alignment horizontal="right" wrapText="1"/>
    </xf>
    <xf numFmtId="0" fontId="97" fillId="28" borderId="1" xfId="0" applyFont="1" applyFill="1" applyBorder="1" applyAlignment="1">
      <alignment wrapText="1"/>
    </xf>
    <xf numFmtId="0" fontId="131" fillId="29" borderId="1" xfId="0" applyFont="1" applyFill="1" applyBorder="1" applyAlignment="1">
      <alignment wrapText="1"/>
    </xf>
    <xf numFmtId="0" fontId="97" fillId="27" borderId="1" xfId="0" applyFont="1" applyFill="1" applyBorder="1" applyAlignment="1">
      <alignment horizontal="center" wrapText="1"/>
    </xf>
    <xf numFmtId="0" fontId="131" fillId="27" borderId="1" xfId="0" applyFont="1" applyFill="1" applyBorder="1" applyAlignment="1"/>
    <xf numFmtId="0" fontId="131" fillId="27" borderId="0" xfId="0" applyFont="1" applyFill="1" applyAlignment="1"/>
    <xf numFmtId="0" fontId="131" fillId="24" borderId="1" xfId="0" applyFont="1" applyFill="1" applyBorder="1" applyAlignment="1">
      <alignment horizontal="right" wrapText="1"/>
    </xf>
    <xf numFmtId="0" fontId="135" fillId="0" borderId="1" xfId="0" applyFont="1" applyBorder="1" applyAlignment="1">
      <alignment horizontal="center" wrapText="1"/>
    </xf>
    <xf numFmtId="0" fontId="97" fillId="8" borderId="1" xfId="0" applyFont="1" applyFill="1" applyBorder="1" applyAlignment="1">
      <alignment horizontal="center" wrapText="1"/>
    </xf>
    <xf numFmtId="0" fontId="131" fillId="24" borderId="1" xfId="0" applyFont="1" applyFill="1" applyBorder="1" applyAlignment="1">
      <alignment horizontal="right" wrapText="1"/>
    </xf>
    <xf numFmtId="0" fontId="97" fillId="28" borderId="1" xfId="0" applyFont="1" applyFill="1" applyBorder="1" applyAlignment="1"/>
    <xf numFmtId="0" fontId="97" fillId="0" borderId="1" xfId="0" applyFont="1" applyBorder="1" applyAlignment="1"/>
    <xf numFmtId="0" fontId="131" fillId="0" borderId="1" xfId="0" applyFont="1" applyBorder="1" applyAlignment="1"/>
    <xf numFmtId="0" fontId="131" fillId="0" borderId="0" xfId="0" applyFont="1" applyAlignment="1"/>
    <xf numFmtId="0" fontId="97" fillId="0" borderId="0" xfId="0" applyFont="1" applyAlignment="1"/>
    <xf numFmtId="0" fontId="131" fillId="23" borderId="0" xfId="0" applyFont="1" applyFill="1" applyAlignment="1"/>
    <xf numFmtId="0" fontId="131" fillId="29" borderId="0" xfId="0" applyFont="1" applyFill="1" applyAlignment="1">
      <alignment wrapText="1"/>
    </xf>
    <xf numFmtId="0" fontId="90" fillId="13" borderId="1" xfId="0" applyFont="1" applyFill="1" applyBorder="1" applyAlignment="1">
      <alignment horizontal="center" wrapText="1"/>
    </xf>
    <xf numFmtId="0" fontId="136" fillId="0" borderId="0" xfId="0" applyFont="1" applyAlignment="1">
      <alignment wrapText="1"/>
    </xf>
    <xf numFmtId="0" fontId="136" fillId="0" borderId="1" xfId="0" applyFont="1" applyBorder="1" applyAlignment="1">
      <alignment horizontal="center" wrapText="1"/>
    </xf>
    <xf numFmtId="0" fontId="131" fillId="0" borderId="1" xfId="0" applyFont="1" applyBorder="1" applyAlignment="1">
      <alignment horizontal="right" wrapText="1"/>
    </xf>
    <xf numFmtId="0" fontId="131" fillId="0" borderId="1" xfId="0" applyFont="1" applyBorder="1" applyAlignment="1">
      <alignment wrapText="1"/>
    </xf>
    <xf numFmtId="0" fontId="136" fillId="0" borderId="1" xfId="0" applyFont="1" applyBorder="1" applyAlignment="1">
      <alignment wrapText="1"/>
    </xf>
    <xf numFmtId="0" fontId="136" fillId="0" borderId="1" xfId="0" applyFont="1" applyBorder="1" applyAlignment="1">
      <alignment horizontal="center" wrapText="1"/>
    </xf>
    <xf numFmtId="0" fontId="131" fillId="0" borderId="1" xfId="0" applyFont="1" applyBorder="1" applyAlignment="1">
      <alignment horizontal="right" wrapText="1"/>
    </xf>
    <xf numFmtId="0" fontId="131" fillId="0" borderId="1" xfId="0" applyFont="1" applyBorder="1" applyAlignment="1">
      <alignment wrapText="1"/>
    </xf>
    <xf numFmtId="0" fontId="136" fillId="0" borderId="1" xfId="0" applyFont="1" applyBorder="1" applyAlignment="1">
      <alignment wrapText="1"/>
    </xf>
    <xf numFmtId="0" fontId="136" fillId="8" borderId="1" xfId="0" applyFont="1" applyFill="1" applyBorder="1" applyAlignment="1">
      <alignment wrapText="1"/>
    </xf>
    <xf numFmtId="0" fontId="136" fillId="8" borderId="1" xfId="0" applyFont="1" applyFill="1" applyBorder="1" applyAlignment="1">
      <alignment wrapText="1"/>
    </xf>
    <xf numFmtId="0" fontId="136" fillId="30" borderId="1" xfId="0" applyFont="1" applyFill="1" applyBorder="1" applyAlignment="1">
      <alignment wrapText="1"/>
    </xf>
    <xf numFmtId="0" fontId="137" fillId="0" borderId="1" xfId="0" applyFont="1" applyBorder="1" applyAlignment="1">
      <alignment wrapText="1"/>
    </xf>
    <xf numFmtId="0" fontId="138" fillId="8" borderId="1" xfId="0" applyFont="1" applyFill="1" applyBorder="1" applyAlignment="1">
      <alignment vertical="top" wrapText="1"/>
    </xf>
    <xf numFmtId="0" fontId="139" fillId="0" borderId="0" xfId="0" applyFont="1"/>
    <xf numFmtId="0" fontId="139" fillId="8" borderId="3" xfId="0" applyFont="1" applyFill="1" applyBorder="1"/>
    <xf numFmtId="0" fontId="140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4" xfId="0" applyFont="1" applyBorder="1" applyAlignment="1">
      <alignment horizontal="left" vertical="center" wrapText="1"/>
    </xf>
    <xf numFmtId="0" fontId="77" fillId="0" borderId="0" xfId="0" applyFont="1" applyAlignment="1">
      <alignment horizontal="left" vertical="center" wrapText="1"/>
    </xf>
    <xf numFmtId="0" fontId="118" fillId="0" borderId="0" xfId="0" applyFont="1" applyAlignment="1">
      <alignment horizontal="left" vertical="center" wrapText="1"/>
    </xf>
    <xf numFmtId="0" fontId="77" fillId="0" borderId="1" xfId="0" applyFont="1" applyBorder="1" applyAlignment="1">
      <alignment horizontal="center" vertical="center" wrapText="1"/>
    </xf>
    <xf numFmtId="14" fontId="76" fillId="0" borderId="0" xfId="0" applyNumberFormat="1" applyFont="1" applyAlignment="1">
      <alignment horizontal="center" vertical="center" wrapText="1"/>
    </xf>
    <xf numFmtId="0" fontId="118" fillId="0" borderId="0" xfId="0" applyFont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1" fontId="141" fillId="0" borderId="0" xfId="0" applyNumberFormat="1" applyFont="1" applyAlignment="1">
      <alignment horizontal="center" vertical="center" wrapText="1"/>
    </xf>
    <xf numFmtId="1" fontId="76" fillId="0" borderId="0" xfId="0" applyNumberFormat="1" applyFont="1" applyAlignment="1">
      <alignment horizontal="center" vertical="center" wrapText="1"/>
    </xf>
    <xf numFmtId="0" fontId="139" fillId="0" borderId="0" xfId="0" applyFont="1" applyAlignment="1">
      <alignment horizontal="left" vertical="center" wrapText="1"/>
    </xf>
    <xf numFmtId="0" fontId="142" fillId="0" borderId="0" xfId="0" applyFont="1" applyAlignment="1">
      <alignment horizontal="left" wrapText="1"/>
    </xf>
    <xf numFmtId="0" fontId="118" fillId="0" borderId="0" xfId="0" applyFont="1" applyAlignment="1">
      <alignment horizontal="left" wrapText="1"/>
    </xf>
    <xf numFmtId="172" fontId="76" fillId="0" borderId="0" xfId="0" applyNumberFormat="1" applyFont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172" fontId="143" fillId="0" borderId="0" xfId="0" applyNumberFormat="1" applyFont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144" fillId="0" borderId="17" xfId="0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left" vertical="center" wrapText="1"/>
    </xf>
    <xf numFmtId="3" fontId="77" fillId="0" borderId="6" xfId="0" applyNumberFormat="1" applyFont="1" applyBorder="1" applyAlignment="1">
      <alignment horizontal="center" vertical="center" wrapText="1"/>
    </xf>
    <xf numFmtId="172" fontId="145" fillId="0" borderId="0" xfId="0" applyNumberFormat="1" applyFont="1" applyAlignment="1">
      <alignment horizontal="right" vertical="center"/>
    </xf>
    <xf numFmtId="14" fontId="143" fillId="0" borderId="0" xfId="0" applyNumberFormat="1" applyFont="1" applyAlignment="1">
      <alignment horizontal="center" vertical="center" wrapText="1"/>
    </xf>
    <xf numFmtId="14" fontId="146" fillId="0" borderId="0" xfId="0" applyNumberFormat="1" applyFont="1" applyAlignment="1">
      <alignment horizontal="right" vertical="center" wrapText="1"/>
    </xf>
    <xf numFmtId="0" fontId="77" fillId="0" borderId="1" xfId="0" applyFont="1" applyBorder="1" applyAlignment="1">
      <alignment horizontal="center"/>
    </xf>
    <xf numFmtId="4" fontId="145" fillId="0" borderId="0" xfId="0" applyNumberFormat="1" applyFont="1" applyAlignment="1">
      <alignment horizontal="right" vertical="center" wrapText="1"/>
    </xf>
    <xf numFmtId="4" fontId="145" fillId="0" borderId="0" xfId="0" applyNumberFormat="1" applyFont="1" applyAlignment="1">
      <alignment horizontal="right" vertical="center"/>
    </xf>
    <xf numFmtId="3" fontId="76" fillId="0" borderId="0" xfId="0" applyNumberFormat="1" applyFont="1" applyAlignment="1">
      <alignment horizontal="center" wrapText="1"/>
    </xf>
    <xf numFmtId="4" fontId="76" fillId="0" borderId="0" xfId="0" applyNumberFormat="1" applyFont="1" applyAlignment="1">
      <alignment horizontal="right" vertical="center" wrapText="1"/>
    </xf>
    <xf numFmtId="0" fontId="149" fillId="0" borderId="0" xfId="0" applyFont="1" applyAlignment="1">
      <alignment horizontal="left" vertical="center" wrapText="1"/>
    </xf>
    <xf numFmtId="0" fontId="77" fillId="0" borderId="0" xfId="0" applyFont="1" applyAlignment="1">
      <alignment horizontal="left" wrapText="1"/>
    </xf>
    <xf numFmtId="0" fontId="90" fillId="0" borderId="0" xfId="0" applyFont="1" applyAlignment="1">
      <alignment vertical="center" wrapText="1"/>
    </xf>
    <xf numFmtId="0" fontId="139" fillId="0" borderId="0" xfId="0" applyFont="1" applyAlignment="1">
      <alignment horizontal="left"/>
    </xf>
    <xf numFmtId="0" fontId="118" fillId="31" borderId="102" xfId="0" applyFont="1" applyFill="1" applyBorder="1" applyAlignment="1">
      <alignment horizontal="center" vertical="center" wrapText="1"/>
    </xf>
    <xf numFmtId="0" fontId="77" fillId="31" borderId="102" xfId="0" applyFont="1" applyFill="1" applyBorder="1" applyAlignment="1">
      <alignment horizontal="center" vertical="center" wrapText="1"/>
    </xf>
    <xf numFmtId="0" fontId="77" fillId="0" borderId="1" xfId="0" applyFont="1" applyBorder="1" applyAlignment="1">
      <alignment horizontal="left" vertical="center" wrapText="1"/>
    </xf>
    <xf numFmtId="3" fontId="77" fillId="0" borderId="1" xfId="0" applyNumberFormat="1" applyFont="1" applyBorder="1" applyAlignment="1">
      <alignment horizontal="left" vertical="center" wrapText="1"/>
    </xf>
    <xf numFmtId="0" fontId="90" fillId="0" borderId="1" xfId="0" applyFont="1" applyBorder="1" applyAlignment="1">
      <alignment horizontal="center" vertical="center" wrapText="1"/>
    </xf>
    <xf numFmtId="4" fontId="77" fillId="0" borderId="1" xfId="0" applyNumberFormat="1" applyFont="1" applyBorder="1" applyAlignment="1">
      <alignment vertical="center"/>
    </xf>
    <xf numFmtId="4" fontId="77" fillId="0" borderId="0" xfId="0" applyNumberFormat="1" applyFont="1" applyAlignment="1">
      <alignment vertical="center"/>
    </xf>
    <xf numFmtId="10" fontId="90" fillId="0" borderId="1" xfId="0" applyNumberFormat="1" applyFont="1" applyBorder="1" applyAlignment="1">
      <alignment horizontal="center" vertical="center" wrapText="1"/>
    </xf>
    <xf numFmtId="10" fontId="90" fillId="0" borderId="1" xfId="0" applyNumberFormat="1" applyFont="1" applyBorder="1" applyAlignment="1">
      <alignment horizontal="center" vertical="center"/>
    </xf>
    <xf numFmtId="10" fontId="90" fillId="0" borderId="6" xfId="0" applyNumberFormat="1" applyFont="1" applyBorder="1" applyAlignment="1">
      <alignment horizontal="center" vertical="center"/>
    </xf>
    <xf numFmtId="4" fontId="77" fillId="0" borderId="0" xfId="0" applyNumberFormat="1" applyFont="1" applyAlignment="1">
      <alignment vertical="center"/>
    </xf>
    <xf numFmtId="4" fontId="75" fillId="0" borderId="6" xfId="0" applyNumberFormat="1" applyFont="1" applyBorder="1" applyAlignment="1">
      <alignment horizontal="center" vertical="center" wrapText="1"/>
    </xf>
    <xf numFmtId="4" fontId="77" fillId="0" borderId="1" xfId="0" applyNumberFormat="1" applyFont="1" applyBorder="1" applyAlignment="1">
      <alignment horizontal="center" vertical="center"/>
    </xf>
    <xf numFmtId="4" fontId="77" fillId="0" borderId="0" xfId="0" applyNumberFormat="1" applyFont="1" applyAlignment="1">
      <alignment horizontal="center" vertical="center"/>
    </xf>
    <xf numFmtId="4" fontId="118" fillId="31" borderId="1" xfId="0" applyNumberFormat="1" applyFont="1" applyFill="1" applyBorder="1" applyAlignment="1">
      <alignment vertical="center"/>
    </xf>
    <xf numFmtId="4" fontId="118" fillId="0" borderId="0" xfId="0" applyNumberFormat="1" applyFont="1" applyAlignment="1">
      <alignment vertical="center"/>
    </xf>
    <xf numFmtId="0" fontId="77" fillId="32" borderId="1" xfId="0" applyFont="1" applyFill="1" applyBorder="1" applyAlignment="1">
      <alignment horizontal="right" vertical="center" wrapText="1"/>
    </xf>
    <xf numFmtId="4" fontId="118" fillId="32" borderId="1" xfId="0" applyNumberFormat="1" applyFont="1" applyFill="1" applyBorder="1" applyAlignment="1">
      <alignment vertical="center"/>
    </xf>
    <xf numFmtId="4" fontId="92" fillId="31" borderId="1" xfId="0" applyNumberFormat="1" applyFont="1" applyFill="1" applyBorder="1" applyAlignment="1">
      <alignment horizontal="right" vertical="center" wrapText="1"/>
    </xf>
    <xf numFmtId="4" fontId="92" fillId="0" borderId="0" xfId="0" applyNumberFormat="1" applyFont="1" applyAlignment="1">
      <alignment horizontal="right" vertical="center" wrapText="1"/>
    </xf>
    <xf numFmtId="0" fontId="77" fillId="0" borderId="0" xfId="0" applyFont="1" applyAlignment="1">
      <alignment horizontal="right" vertical="center" wrapText="1"/>
    </xf>
    <xf numFmtId="0" fontId="124" fillId="0" borderId="0" xfId="0" applyFont="1" applyAlignment="1">
      <alignment horizontal="left" vertical="center" wrapText="1"/>
    </xf>
    <xf numFmtId="0" fontId="105" fillId="0" borderId="0" xfId="0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110" fillId="0" borderId="1" xfId="0" applyFont="1" applyBorder="1" applyAlignment="1">
      <alignment horizontal="center" vertical="center"/>
    </xf>
    <xf numFmtId="0" fontId="110" fillId="0" borderId="1" xfId="0" applyFont="1" applyBorder="1" applyAlignment="1">
      <alignment horizontal="center" vertical="center" wrapText="1"/>
    </xf>
    <xf numFmtId="0" fontId="110" fillId="0" borderId="0" xfId="0" applyFont="1" applyAlignment="1">
      <alignment horizontal="center" vertical="center" wrapText="1"/>
    </xf>
    <xf numFmtId="10" fontId="110" fillId="0" borderId="1" xfId="0" applyNumberFormat="1" applyFont="1" applyBorder="1" applyAlignment="1">
      <alignment horizontal="center" vertical="center"/>
    </xf>
    <xf numFmtId="2" fontId="75" fillId="0" borderId="1" xfId="0" applyNumberFormat="1" applyFont="1" applyBorder="1" applyAlignment="1">
      <alignment horizontal="right" vertical="center" wrapText="1"/>
    </xf>
    <xf numFmtId="2" fontId="75" fillId="0" borderId="0" xfId="0" applyNumberFormat="1" applyFont="1" applyAlignment="1">
      <alignment horizontal="right" vertical="center" wrapText="1"/>
    </xf>
    <xf numFmtId="173" fontId="110" fillId="0" borderId="1" xfId="0" applyNumberFormat="1" applyFont="1" applyBorder="1" applyAlignment="1">
      <alignment horizontal="center" vertical="center"/>
    </xf>
    <xf numFmtId="4" fontId="77" fillId="31" borderId="1" xfId="0" applyNumberFormat="1" applyFont="1" applyFill="1" applyBorder="1" applyAlignment="1">
      <alignment horizontal="right" vertical="center"/>
    </xf>
    <xf numFmtId="4" fontId="77" fillId="0" borderId="0" xfId="0" applyNumberFormat="1" applyFont="1" applyAlignment="1">
      <alignment horizontal="right" vertical="center"/>
    </xf>
    <xf numFmtId="0" fontId="105" fillId="0" borderId="0" xfId="0" applyFont="1" applyAlignment="1">
      <alignment horizontal="right" vertical="center"/>
    </xf>
    <xf numFmtId="0" fontId="110" fillId="0" borderId="0" xfId="0" applyFont="1" applyAlignment="1">
      <alignment horizontal="left" vertical="center" wrapText="1"/>
    </xf>
    <xf numFmtId="0" fontId="110" fillId="31" borderId="76" xfId="0" applyFont="1" applyFill="1" applyBorder="1" applyAlignment="1">
      <alignment horizontal="center" vertical="center"/>
    </xf>
    <xf numFmtId="0" fontId="75" fillId="31" borderId="1" xfId="0" applyFont="1" applyFill="1" applyBorder="1" applyAlignment="1">
      <alignment horizontal="center" vertical="center" wrapText="1"/>
    </xf>
    <xf numFmtId="0" fontId="110" fillId="31" borderId="1" xfId="0" applyFont="1" applyFill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/>
    </xf>
    <xf numFmtId="10" fontId="77" fillId="0" borderId="1" xfId="0" applyNumberFormat="1" applyFont="1" applyBorder="1" applyAlignment="1">
      <alignment horizontal="right" vertical="center"/>
    </xf>
    <xf numFmtId="4" fontId="77" fillId="0" borderId="1" xfId="0" applyNumberFormat="1" applyFont="1" applyBorder="1" applyAlignment="1">
      <alignment horizontal="right" vertical="center"/>
    </xf>
    <xf numFmtId="9" fontId="77" fillId="0" borderId="6" xfId="0" applyNumberFormat="1" applyFont="1" applyBorder="1" applyAlignment="1">
      <alignment horizontal="center" vertical="center" wrapText="1"/>
    </xf>
    <xf numFmtId="174" fontId="77" fillId="0" borderId="6" xfId="0" applyNumberFormat="1" applyFont="1" applyBorder="1" applyAlignment="1">
      <alignment horizontal="center" vertical="center" wrapText="1"/>
    </xf>
    <xf numFmtId="175" fontId="77" fillId="0" borderId="1" xfId="0" applyNumberFormat="1" applyFont="1" applyBorder="1" applyAlignment="1">
      <alignment horizontal="right" vertical="center"/>
    </xf>
    <xf numFmtId="175" fontId="77" fillId="31" borderId="1" xfId="0" applyNumberFormat="1" applyFont="1" applyFill="1" applyBorder="1" applyAlignment="1">
      <alignment horizontal="right" vertical="center"/>
    </xf>
    <xf numFmtId="0" fontId="77" fillId="32" borderId="76" xfId="0" applyFont="1" applyFill="1" applyBorder="1" applyAlignment="1">
      <alignment horizontal="right" vertical="center"/>
    </xf>
    <xf numFmtId="0" fontId="1" fillId="32" borderId="67" xfId="0" applyFont="1" applyFill="1" applyBorder="1" applyAlignment="1">
      <alignment horizontal="right" vertical="center"/>
    </xf>
    <xf numFmtId="10" fontId="77" fillId="32" borderId="67" xfId="0" applyNumberFormat="1" applyFont="1" applyFill="1" applyBorder="1" applyAlignment="1">
      <alignment horizontal="right" vertical="center"/>
    </xf>
    <xf numFmtId="4" fontId="77" fillId="32" borderId="73" xfId="0" applyNumberFormat="1" applyFont="1" applyFill="1" applyBorder="1" applyAlignment="1">
      <alignment horizontal="right" vertical="center"/>
    </xf>
    <xf numFmtId="0" fontId="118" fillId="31" borderId="1" xfId="0" applyFont="1" applyFill="1" applyBorder="1" applyAlignment="1">
      <alignment horizontal="center" vertical="center"/>
    </xf>
    <xf numFmtId="0" fontId="118" fillId="31" borderId="1" xfId="0" applyFont="1" applyFill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/>
    </xf>
    <xf numFmtId="4" fontId="77" fillId="0" borderId="4" xfId="0" applyNumberFormat="1" applyFont="1" applyBorder="1" applyAlignment="1">
      <alignment horizontal="left" vertical="center" wrapText="1"/>
    </xf>
    <xf numFmtId="4" fontId="77" fillId="0" borderId="15" xfId="0" applyNumberFormat="1" applyFont="1" applyBorder="1" applyAlignment="1">
      <alignment horizontal="right" vertical="center"/>
    </xf>
    <xf numFmtId="172" fontId="76" fillId="0" borderId="1" xfId="0" applyNumberFormat="1" applyFont="1" applyBorder="1" applyAlignment="1">
      <alignment vertical="center"/>
    </xf>
    <xf numFmtId="4" fontId="96" fillId="0" borderId="19" xfId="0" applyNumberFormat="1" applyFont="1" applyBorder="1" applyAlignment="1">
      <alignment horizontal="center" vertical="center"/>
    </xf>
    <xf numFmtId="3" fontId="76" fillId="0" borderId="1" xfId="0" applyNumberFormat="1" applyFont="1" applyBorder="1" applyAlignment="1">
      <alignment vertical="center"/>
    </xf>
    <xf numFmtId="10" fontId="76" fillId="0" borderId="4" xfId="0" applyNumberFormat="1" applyFont="1" applyBorder="1" applyAlignment="1">
      <alignment vertical="center"/>
    </xf>
    <xf numFmtId="4" fontId="96" fillId="0" borderId="2" xfId="0" applyNumberFormat="1" applyFont="1" applyBorder="1" applyAlignment="1">
      <alignment horizontal="center" vertical="center"/>
    </xf>
    <xf numFmtId="172" fontId="76" fillId="0" borderId="4" xfId="0" applyNumberFormat="1" applyFont="1" applyBorder="1" applyAlignment="1">
      <alignment vertical="center"/>
    </xf>
    <xf numFmtId="4" fontId="77" fillId="0" borderId="19" xfId="0" applyNumberFormat="1" applyFont="1" applyBorder="1" applyAlignment="1">
      <alignment horizontal="center" vertical="center"/>
    </xf>
    <xf numFmtId="3" fontId="76" fillId="0" borderId="4" xfId="0" applyNumberFormat="1" applyFont="1" applyBorder="1" applyAlignment="1">
      <alignment vertical="center"/>
    </xf>
    <xf numFmtId="4" fontId="77" fillId="0" borderId="2" xfId="0" applyNumberFormat="1" applyFont="1" applyBorder="1" applyAlignment="1">
      <alignment horizontal="center" vertical="center"/>
    </xf>
    <xf numFmtId="4" fontId="77" fillId="0" borderId="2" xfId="0" applyNumberFormat="1" applyFont="1" applyBorder="1" applyAlignment="1">
      <alignment horizontal="right" vertical="center"/>
    </xf>
    <xf numFmtId="4" fontId="77" fillId="0" borderId="1" xfId="0" applyNumberFormat="1" applyFont="1" applyBorder="1" applyAlignment="1">
      <alignment horizontal="right" vertical="center" wrapText="1"/>
    </xf>
    <xf numFmtId="4" fontId="77" fillId="0" borderId="0" xfId="0" applyNumberFormat="1" applyFont="1" applyAlignment="1">
      <alignment horizontal="right" vertical="center" wrapText="1"/>
    </xf>
    <xf numFmtId="0" fontId="77" fillId="31" borderId="1" xfId="0" applyFont="1" applyFill="1" applyBorder="1" applyAlignment="1">
      <alignment horizontal="center" vertical="center"/>
    </xf>
    <xf numFmtId="0" fontId="105" fillId="0" borderId="0" xfId="0" applyFont="1" applyAlignment="1">
      <alignment horizontal="left" vertical="center" wrapText="1"/>
    </xf>
    <xf numFmtId="4" fontId="75" fillId="0" borderId="1" xfId="0" applyNumberFormat="1" applyFont="1" applyBorder="1" applyAlignment="1">
      <alignment horizontal="right" vertical="center" wrapText="1"/>
    </xf>
    <xf numFmtId="4" fontId="75" fillId="0" borderId="0" xfId="0" applyNumberFormat="1" applyFont="1" applyAlignment="1">
      <alignment horizontal="right" vertical="center" wrapText="1"/>
    </xf>
    <xf numFmtId="4" fontId="75" fillId="31" borderId="1" xfId="0" applyNumberFormat="1" applyFont="1" applyFill="1" applyBorder="1" applyAlignment="1">
      <alignment horizontal="right" vertical="center" wrapText="1"/>
    </xf>
    <xf numFmtId="0" fontId="152" fillId="0" borderId="0" xfId="0" applyFont="1" applyAlignment="1">
      <alignment horizontal="center" vertical="center" wrapText="1"/>
    </xf>
    <xf numFmtId="0" fontId="90" fillId="0" borderId="0" xfId="0" applyFont="1" applyAlignment="1">
      <alignment horizontal="left" vertical="center"/>
    </xf>
    <xf numFmtId="0" fontId="118" fillId="0" borderId="0" xfId="0" applyFont="1" applyAlignment="1">
      <alignment horizontal="center" vertical="center"/>
    </xf>
    <xf numFmtId="10" fontId="153" fillId="0" borderId="1" xfId="0" applyNumberFormat="1" applyFont="1" applyBorder="1" applyAlignment="1">
      <alignment horizontal="right" vertical="center"/>
    </xf>
    <xf numFmtId="0" fontId="77" fillId="0" borderId="0" xfId="0" applyFont="1" applyAlignment="1">
      <alignment horizontal="right" vertical="center"/>
    </xf>
    <xf numFmtId="0" fontId="90" fillId="0" borderId="0" xfId="0" applyFont="1" applyAlignment="1">
      <alignment horizontal="left" vertical="center" wrapText="1"/>
    </xf>
    <xf numFmtId="0" fontId="154" fillId="0" borderId="1" xfId="0" applyFont="1" applyBorder="1" applyAlignment="1">
      <alignment horizontal="right" vertical="center" wrapText="1"/>
    </xf>
    <xf numFmtId="4" fontId="155" fillId="0" borderId="1" xfId="0" applyNumberFormat="1" applyFont="1" applyBorder="1" applyAlignment="1">
      <alignment horizontal="center" vertical="center" wrapText="1"/>
    </xf>
    <xf numFmtId="0" fontId="153" fillId="5" borderId="1" xfId="0" applyFont="1" applyFill="1" applyBorder="1" applyAlignment="1">
      <alignment horizontal="center" vertical="center" wrapText="1"/>
    </xf>
    <xf numFmtId="4" fontId="90" fillId="0" borderId="1" xfId="0" applyNumberFormat="1" applyFont="1" applyBorder="1" applyAlignment="1">
      <alignment horizontal="right" vertical="center" wrapText="1"/>
    </xf>
    <xf numFmtId="4" fontId="90" fillId="0" borderId="0" xfId="0" applyNumberFormat="1" applyFont="1" applyAlignment="1">
      <alignment horizontal="right" vertical="center" wrapText="1"/>
    </xf>
    <xf numFmtId="0" fontId="15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8" fillId="31" borderId="1" xfId="0" applyFont="1" applyFill="1" applyBorder="1" applyAlignment="1">
      <alignment horizontal="center"/>
    </xf>
    <xf numFmtId="0" fontId="118" fillId="0" borderId="0" xfId="0" applyFont="1" applyAlignment="1">
      <alignment horizontal="center"/>
    </xf>
    <xf numFmtId="173" fontId="118" fillId="0" borderId="1" xfId="0" applyNumberFormat="1" applyFont="1" applyBorder="1" applyAlignment="1">
      <alignment horizontal="center" vertical="center" wrapText="1"/>
    </xf>
    <xf numFmtId="10" fontId="110" fillId="0" borderId="1" xfId="0" applyNumberFormat="1" applyFont="1" applyBorder="1" applyAlignment="1">
      <alignment horizontal="center" vertical="center" wrapText="1"/>
    </xf>
    <xf numFmtId="0" fontId="77" fillId="17" borderId="1" xfId="0" applyFont="1" applyFill="1" applyBorder="1" applyAlignment="1">
      <alignment horizontal="center" vertical="center"/>
    </xf>
    <xf numFmtId="4" fontId="118" fillId="17" borderId="1" xfId="0" applyNumberFormat="1" applyFont="1" applyFill="1" applyBorder="1" applyAlignment="1">
      <alignment horizontal="right" vertical="center"/>
    </xf>
    <xf numFmtId="4" fontId="118" fillId="0" borderId="0" xfId="0" applyNumberFormat="1" applyFont="1" applyAlignment="1">
      <alignment horizontal="right" vertical="center"/>
    </xf>
    <xf numFmtId="0" fontId="110" fillId="31" borderId="1" xfId="0" applyFont="1" applyFill="1" applyBorder="1" applyAlignment="1">
      <alignment horizontal="center" vertical="center"/>
    </xf>
    <xf numFmtId="4" fontId="110" fillId="31" borderId="1" xfId="0" applyNumberFormat="1" applyFont="1" applyFill="1" applyBorder="1" applyAlignment="1">
      <alignment horizontal="center" vertical="center"/>
    </xf>
    <xf numFmtId="4" fontId="110" fillId="0" borderId="0" xfId="0" applyNumberFormat="1" applyFont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4" fontId="75" fillId="0" borderId="1" xfId="0" applyNumberFormat="1" applyFont="1" applyBorder="1" applyAlignment="1">
      <alignment horizontal="right" vertical="center"/>
    </xf>
    <xf numFmtId="4" fontId="75" fillId="0" borderId="0" xfId="0" applyNumberFormat="1" applyFont="1" applyAlignment="1">
      <alignment horizontal="right" vertical="center"/>
    </xf>
    <xf numFmtId="4" fontId="75" fillId="31" borderId="1" xfId="0" applyNumberFormat="1" applyFont="1" applyFill="1" applyBorder="1" applyAlignment="1">
      <alignment horizontal="right" vertical="center"/>
    </xf>
    <xf numFmtId="0" fontId="75" fillId="0" borderId="0" xfId="0" applyFont="1" applyAlignment="1">
      <alignment horizontal="right" vertical="center"/>
    </xf>
    <xf numFmtId="4" fontId="77" fillId="0" borderId="1" xfId="0" applyNumberFormat="1" applyFont="1" applyBorder="1" applyAlignment="1">
      <alignment horizontal="right" vertical="center"/>
    </xf>
    <xf numFmtId="4" fontId="77" fillId="0" borderId="0" xfId="0" applyNumberFormat="1" applyFont="1" applyAlignment="1">
      <alignment horizontal="right" vertical="center"/>
    </xf>
    <xf numFmtId="4" fontId="77" fillId="0" borderId="0" xfId="0" applyNumberFormat="1" applyFont="1" applyAlignment="1">
      <alignment horizontal="right" vertical="center" wrapText="1"/>
    </xf>
    <xf numFmtId="4" fontId="77" fillId="31" borderId="1" xfId="0" applyNumberFormat="1" applyFont="1" applyFill="1" applyBorder="1" applyAlignment="1">
      <alignment horizontal="right" vertical="center" wrapText="1"/>
    </xf>
    <xf numFmtId="0" fontId="92" fillId="0" borderId="0" xfId="0" applyFont="1" applyAlignment="1">
      <alignment horizontal="center" vertical="center"/>
    </xf>
    <xf numFmtId="0" fontId="139" fillId="0" borderId="0" xfId="0" applyFont="1" applyAlignment="1">
      <alignment horizontal="left" vertical="center"/>
    </xf>
    <xf numFmtId="0" fontId="92" fillId="32" borderId="76" xfId="0" applyFont="1" applyFill="1" applyBorder="1" applyAlignment="1">
      <alignment horizontal="center" vertical="center"/>
    </xf>
    <xf numFmtId="0" fontId="1" fillId="32" borderId="67" xfId="0" applyFont="1" applyFill="1" applyBorder="1" applyAlignment="1">
      <alignment horizontal="center" vertical="center"/>
    </xf>
    <xf numFmtId="0" fontId="1" fillId="32" borderId="73" xfId="0" applyFont="1" applyFill="1" applyBorder="1" applyAlignment="1">
      <alignment horizontal="center" vertical="center"/>
    </xf>
    <xf numFmtId="0" fontId="77" fillId="31" borderId="1" xfId="0" applyFont="1" applyFill="1" applyBorder="1" applyAlignment="1">
      <alignment horizontal="center" vertical="center" wrapText="1"/>
    </xf>
    <xf numFmtId="4" fontId="118" fillId="31" borderId="1" xfId="0" applyNumberFormat="1" applyFont="1" applyFill="1" applyBorder="1" applyAlignment="1">
      <alignment horizontal="center" vertical="center" wrapText="1"/>
    </xf>
    <xf numFmtId="4" fontId="118" fillId="0" borderId="0" xfId="0" applyNumberFormat="1" applyFont="1" applyAlignment="1">
      <alignment horizontal="center" vertical="center" wrapText="1"/>
    </xf>
    <xf numFmtId="4" fontId="76" fillId="0" borderId="1" xfId="0" applyNumberFormat="1" applyFont="1" applyBorder="1" applyAlignment="1">
      <alignment horizontal="right" vertical="center"/>
    </xf>
    <xf numFmtId="4" fontId="76" fillId="0" borderId="0" xfId="0" applyNumberFormat="1" applyFont="1" applyAlignment="1">
      <alignment horizontal="right" vertical="center"/>
    </xf>
    <xf numFmtId="10" fontId="76" fillId="0" borderId="1" xfId="0" applyNumberFormat="1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10" fontId="77" fillId="0" borderId="1" xfId="0" applyNumberFormat="1" applyFont="1" applyBorder="1" applyAlignment="1">
      <alignment horizontal="center" vertical="center"/>
    </xf>
    <xf numFmtId="4" fontId="77" fillId="0" borderId="1" xfId="0" applyNumberFormat="1" applyFont="1" applyBorder="1"/>
    <xf numFmtId="4" fontId="77" fillId="0" borderId="0" xfId="0" applyNumberFormat="1" applyFont="1"/>
    <xf numFmtId="10" fontId="77" fillId="0" borderId="1" xfId="0" applyNumberFormat="1" applyFont="1" applyBorder="1" applyAlignment="1">
      <alignment horizontal="center" vertical="center" wrapText="1"/>
    </xf>
    <xf numFmtId="10" fontId="77" fillId="0" borderId="1" xfId="0" applyNumberFormat="1" applyFont="1" applyBorder="1" applyAlignment="1">
      <alignment horizontal="center" wrapText="1"/>
    </xf>
    <xf numFmtId="4" fontId="77" fillId="0" borderId="1" xfId="0" applyNumberFormat="1" applyFont="1" applyBorder="1" applyAlignment="1">
      <alignment horizontal="center"/>
    </xf>
    <xf numFmtId="4" fontId="77" fillId="0" borderId="0" xfId="0" applyNumberFormat="1" applyFont="1" applyAlignment="1">
      <alignment horizontal="center"/>
    </xf>
    <xf numFmtId="10" fontId="77" fillId="0" borderId="1" xfId="0" applyNumberFormat="1" applyFont="1" applyBorder="1" applyAlignment="1">
      <alignment horizontal="right" vertical="center" wrapText="1"/>
    </xf>
    <xf numFmtId="10" fontId="76" fillId="0" borderId="1" xfId="0" applyNumberFormat="1" applyFont="1" applyBorder="1" applyAlignment="1">
      <alignment horizontal="right" vertical="center"/>
    </xf>
    <xf numFmtId="0" fontId="151" fillId="0" borderId="0" xfId="0" applyFont="1" applyAlignment="1">
      <alignment horizontal="left" vertical="center"/>
    </xf>
    <xf numFmtId="0" fontId="151" fillId="0" borderId="0" xfId="0" applyFont="1" applyAlignment="1">
      <alignment horizontal="center" vertical="center"/>
    </xf>
    <xf numFmtId="0" fontId="157" fillId="0" borderId="0" xfId="0" applyFont="1" applyAlignment="1">
      <alignment vertical="center"/>
    </xf>
    <xf numFmtId="49" fontId="77" fillId="0" borderId="1" xfId="0" applyNumberFormat="1" applyFont="1" applyBorder="1" applyAlignment="1">
      <alignment horizontal="center" vertical="center" wrapText="1"/>
    </xf>
    <xf numFmtId="49" fontId="77" fillId="0" borderId="4" xfId="0" applyNumberFormat="1" applyFont="1" applyBorder="1" applyAlignment="1">
      <alignment horizontal="center" vertical="center" wrapText="1"/>
    </xf>
    <xf numFmtId="49" fontId="158" fillId="0" borderId="0" xfId="0" applyNumberFormat="1" applyFont="1" applyAlignment="1">
      <alignment horizontal="left" vertical="center" wrapText="1"/>
    </xf>
    <xf numFmtId="49" fontId="77" fillId="0" borderId="0" xfId="0" applyNumberFormat="1" applyFont="1" applyAlignment="1">
      <alignment horizontal="left" vertical="center" wrapText="1"/>
    </xf>
    <xf numFmtId="0" fontId="77" fillId="0" borderId="98" xfId="0" applyFont="1" applyBorder="1" applyAlignment="1">
      <alignment horizontal="left" vertical="center" wrapText="1"/>
    </xf>
    <xf numFmtId="176" fontId="76" fillId="0" borderId="0" xfId="0" applyNumberFormat="1" applyFont="1" applyAlignment="1">
      <alignment horizontal="left"/>
    </xf>
    <xf numFmtId="176" fontId="76" fillId="8" borderId="103" xfId="0" applyNumberFormat="1" applyFont="1" applyFill="1" applyBorder="1" applyAlignment="1">
      <alignment horizontal="left"/>
    </xf>
    <xf numFmtId="3" fontId="77" fillId="0" borderId="1" xfId="0" applyNumberFormat="1" applyFont="1" applyBorder="1" applyAlignment="1">
      <alignment horizontal="center" vertical="center" wrapText="1"/>
    </xf>
    <xf numFmtId="4" fontId="77" fillId="0" borderId="0" xfId="0" applyNumberFormat="1" applyFont="1" applyAlignment="1">
      <alignment horizontal="center" vertical="center" wrapText="1"/>
    </xf>
    <xf numFmtId="3" fontId="143" fillId="31" borderId="1" xfId="0" applyNumberFormat="1" applyFont="1" applyFill="1" applyBorder="1" applyAlignment="1">
      <alignment horizontal="center" vertical="center" wrapText="1"/>
    </xf>
    <xf numFmtId="4" fontId="143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left"/>
    </xf>
    <xf numFmtId="172" fontId="106" fillId="0" borderId="0" xfId="0" applyNumberFormat="1" applyFont="1" applyAlignment="1">
      <alignment horizontal="center" vertical="center" wrapText="1"/>
    </xf>
    <xf numFmtId="0" fontId="92" fillId="0" borderId="0" xfId="0" applyFont="1" applyAlignment="1">
      <alignment horizontal="center"/>
    </xf>
    <xf numFmtId="0" fontId="106" fillId="0" borderId="0" xfId="0" applyFont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172" fontId="106" fillId="0" borderId="0" xfId="0" applyNumberFormat="1" applyFont="1" applyAlignment="1">
      <alignment horizontal="center" vertical="center"/>
    </xf>
    <xf numFmtId="0" fontId="119" fillId="0" borderId="1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/>
    </xf>
    <xf numFmtId="0" fontId="145" fillId="0" borderId="5" xfId="0" applyFont="1" applyBorder="1" applyAlignment="1">
      <alignment horizontal="left" vertical="center" wrapText="1"/>
    </xf>
    <xf numFmtId="10" fontId="77" fillId="0" borderId="1" xfId="0" applyNumberFormat="1" applyFont="1" applyBorder="1" applyAlignment="1">
      <alignment horizontal="left" vertical="center" wrapText="1"/>
    </xf>
    <xf numFmtId="10" fontId="77" fillId="0" borderId="6" xfId="0" applyNumberFormat="1" applyFont="1" applyBorder="1" applyAlignment="1">
      <alignment horizontal="center" vertical="center"/>
    </xf>
    <xf numFmtId="0" fontId="119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0" fontId="77" fillId="0" borderId="101" xfId="0" applyNumberFormat="1" applyFont="1" applyBorder="1" applyAlignment="1">
      <alignment horizontal="center" vertical="center"/>
    </xf>
    <xf numFmtId="4" fontId="84" fillId="11" borderId="73" xfId="0" applyNumberFormat="1" applyFont="1" applyFill="1" applyBorder="1" applyAlignment="1">
      <alignment horizontal="center" vertical="center" wrapText="1"/>
    </xf>
    <xf numFmtId="4" fontId="77" fillId="0" borderId="6" xfId="0" applyNumberFormat="1" applyFont="1" applyBorder="1" applyAlignment="1">
      <alignment horizontal="left" vertical="center" wrapText="1"/>
    </xf>
    <xf numFmtId="4" fontId="77" fillId="0" borderId="6" xfId="0" applyNumberFormat="1" applyFont="1" applyBorder="1" applyAlignment="1">
      <alignment vertical="center"/>
    </xf>
    <xf numFmtId="0" fontId="77" fillId="0" borderId="4" xfId="0" applyFont="1" applyBorder="1" applyAlignment="1">
      <alignment horizontal="right" vertical="center" wrapText="1"/>
    </xf>
    <xf numFmtId="9" fontId="77" fillId="0" borderId="6" xfId="0" applyNumberFormat="1" applyFont="1" applyBorder="1" applyAlignment="1">
      <alignment horizontal="left" vertical="center" wrapText="1"/>
    </xf>
    <xf numFmtId="174" fontId="77" fillId="0" borderId="6" xfId="0" applyNumberFormat="1" applyFont="1" applyBorder="1" applyAlignment="1">
      <alignment horizontal="left" vertical="center" wrapText="1"/>
    </xf>
    <xf numFmtId="0" fontId="118" fillId="31" borderId="109" xfId="0" applyFont="1" applyFill="1" applyBorder="1" applyAlignment="1">
      <alignment horizontal="center" vertical="center" wrapText="1"/>
    </xf>
    <xf numFmtId="4" fontId="77" fillId="0" borderId="19" xfId="0" applyNumberFormat="1" applyFont="1" applyBorder="1" applyAlignment="1">
      <alignment horizontal="right" vertical="center"/>
    </xf>
    <xf numFmtId="0" fontId="12" fillId="0" borderId="0" xfId="0" applyFont="1"/>
    <xf numFmtId="0" fontId="159" fillId="0" borderId="0" xfId="0" applyFont="1"/>
    <xf numFmtId="0" fontId="160" fillId="0" borderId="0" xfId="0" applyFont="1"/>
    <xf numFmtId="0" fontId="161" fillId="0" borderId="0" xfId="0" applyFont="1"/>
    <xf numFmtId="0" fontId="162" fillId="0" borderId="0" xfId="0" applyFont="1"/>
    <xf numFmtId="0" fontId="165" fillId="0" borderId="0" xfId="0" applyFont="1"/>
    <xf numFmtId="0" fontId="166" fillId="0" borderId="0" xfId="0" applyFont="1" applyAlignment="1">
      <alignment horizontal="left"/>
    </xf>
    <xf numFmtId="0" fontId="167" fillId="0" borderId="0" xfId="0" applyFont="1" applyAlignment="1">
      <alignment horizontal="left"/>
    </xf>
    <xf numFmtId="0" fontId="169" fillId="0" borderId="0" xfId="0" applyFont="1" applyAlignment="1">
      <alignment horizontal="left" wrapText="1"/>
    </xf>
    <xf numFmtId="0" fontId="161" fillId="0" borderId="0" xfId="0" applyFont="1" applyAlignment="1">
      <alignment horizontal="left"/>
    </xf>
    <xf numFmtId="0" fontId="170" fillId="0" borderId="0" xfId="0" applyFont="1" applyAlignment="1">
      <alignment horizontal="left" wrapText="1"/>
    </xf>
    <xf numFmtId="164" fontId="170" fillId="0" borderId="0" xfId="0" applyNumberFormat="1" applyFont="1" applyAlignment="1">
      <alignment horizontal="left" wrapText="1"/>
    </xf>
    <xf numFmtId="0" fontId="171" fillId="0" borderId="0" xfId="0" applyFont="1"/>
    <xf numFmtId="0" fontId="172" fillId="19" borderId="1" xfId="0" applyFont="1" applyFill="1" applyBorder="1" applyAlignment="1">
      <alignment horizontal="center" vertical="center" wrapText="1"/>
    </xf>
    <xf numFmtId="170" fontId="173" fillId="0" borderId="1" xfId="0" applyNumberFormat="1" applyFont="1" applyBorder="1" applyAlignment="1">
      <alignment horizontal="center" vertical="center"/>
    </xf>
    <xf numFmtId="4" fontId="117" fillId="0" borderId="1" xfId="0" applyNumberFormat="1" applyFont="1" applyBorder="1" applyAlignment="1">
      <alignment horizontal="center" vertical="center"/>
    </xf>
    <xf numFmtId="4" fontId="174" fillId="19" borderId="1" xfId="0" applyNumberFormat="1" applyFont="1" applyFill="1" applyBorder="1" applyAlignment="1">
      <alignment horizontal="center" vertical="center"/>
    </xf>
    <xf numFmtId="0" fontId="174" fillId="0" borderId="0" xfId="0" applyFont="1" applyAlignment="1">
      <alignment horizontal="right"/>
    </xf>
    <xf numFmtId="170" fontId="117" fillId="8" borderId="1" xfId="0" applyNumberFormat="1" applyFont="1" applyFill="1" applyBorder="1" applyAlignment="1">
      <alignment horizontal="center" vertical="center"/>
    </xf>
    <xf numFmtId="0" fontId="121" fillId="19" borderId="4" xfId="0" applyFont="1" applyFill="1" applyBorder="1" applyAlignment="1">
      <alignment horizontal="right" vertical="center"/>
    </xf>
    <xf numFmtId="0" fontId="121" fillId="19" borderId="5" xfId="0" applyFont="1" applyFill="1" applyBorder="1" applyAlignment="1">
      <alignment horizontal="right" vertical="center"/>
    </xf>
    <xf numFmtId="1" fontId="121" fillId="19" borderId="6" xfId="0" applyNumberFormat="1" applyFont="1" applyFill="1" applyBorder="1" applyAlignment="1">
      <alignment horizontal="right" vertical="center"/>
    </xf>
    <xf numFmtId="0" fontId="121" fillId="19" borderId="6" xfId="0" applyFont="1" applyFill="1" applyBorder="1" applyAlignment="1">
      <alignment horizontal="right" vertical="center"/>
    </xf>
    <xf numFmtId="4" fontId="121" fillId="19" borderId="6" xfId="0" applyNumberFormat="1" applyFont="1" applyFill="1" applyBorder="1" applyAlignment="1">
      <alignment horizontal="right" vertical="center"/>
    </xf>
    <xf numFmtId="49" fontId="52" fillId="9" borderId="63" xfId="0" applyNumberFormat="1" applyFont="1" applyFill="1" applyBorder="1" applyAlignment="1">
      <alignment horizontal="center" wrapText="1"/>
    </xf>
    <xf numFmtId="0" fontId="28" fillId="0" borderId="64" xfId="0" applyFont="1" applyBorder="1"/>
    <xf numFmtId="0" fontId="39" fillId="10" borderId="27" xfId="0" applyFont="1" applyFill="1" applyBorder="1" applyAlignment="1">
      <alignment horizontal="center" vertical="center" wrapText="1"/>
    </xf>
    <xf numFmtId="0" fontId="28" fillId="0" borderId="42" xfId="0" applyFont="1" applyBorder="1"/>
    <xf numFmtId="0" fontId="28" fillId="0" borderId="52" xfId="0" applyFont="1" applyBorder="1"/>
    <xf numFmtId="49" fontId="6" fillId="9" borderId="63" xfId="0" applyNumberFormat="1" applyFont="1" applyFill="1" applyBorder="1" applyAlignment="1">
      <alignment horizontal="center" wrapText="1"/>
    </xf>
    <xf numFmtId="49" fontId="6" fillId="10" borderId="63" xfId="0" applyNumberFormat="1" applyFont="1" applyFill="1" applyBorder="1" applyAlignment="1">
      <alignment horizontal="center" wrapText="1"/>
    </xf>
    <xf numFmtId="49" fontId="3" fillId="8" borderId="63" xfId="0" applyNumberFormat="1" applyFont="1" applyFill="1" applyBorder="1" applyAlignment="1">
      <alignment horizontal="center" wrapText="1"/>
    </xf>
    <xf numFmtId="0" fontId="48" fillId="8" borderId="27" xfId="0" applyFont="1" applyFill="1" applyBorder="1" applyAlignment="1">
      <alignment horizontal="center" vertical="center" wrapText="1"/>
    </xf>
    <xf numFmtId="0" fontId="47" fillId="8" borderId="29" xfId="0" applyFont="1" applyFill="1" applyBorder="1" applyAlignment="1">
      <alignment horizontal="center" vertical="center" textRotation="90" wrapText="1"/>
    </xf>
    <xf numFmtId="0" fontId="28" fillId="0" borderId="44" xfId="0" applyFont="1" applyBorder="1"/>
    <xf numFmtId="0" fontId="28" fillId="0" borderId="55" xfId="0" applyFont="1" applyBorder="1"/>
    <xf numFmtId="0" fontId="48" fillId="8" borderId="22" xfId="0" applyFont="1" applyFill="1" applyBorder="1" applyAlignment="1">
      <alignment horizontal="center" vertical="center" textRotation="90" wrapText="1"/>
    </xf>
    <xf numFmtId="0" fontId="28" fillId="0" borderId="38" xfId="0" applyFont="1" applyBorder="1"/>
    <xf numFmtId="0" fontId="28" fillId="0" borderId="49" xfId="0" applyFont="1" applyBorder="1"/>
    <xf numFmtId="0" fontId="48" fillId="8" borderId="34" xfId="0" applyFont="1" applyFill="1" applyBorder="1" applyAlignment="1">
      <alignment horizontal="center" vertical="center" wrapText="1"/>
    </xf>
    <xf numFmtId="0" fontId="28" fillId="0" borderId="58" xfId="0" applyFont="1" applyBorder="1"/>
    <xf numFmtId="0" fontId="48" fillId="8" borderId="31" xfId="0" applyFont="1" applyFill="1" applyBorder="1" applyAlignment="1">
      <alignment horizontal="center" vertical="center" wrapText="1"/>
    </xf>
    <xf numFmtId="0" fontId="28" fillId="0" borderId="32" xfId="0" applyFont="1" applyBorder="1"/>
    <xf numFmtId="0" fontId="28" fillId="0" borderId="33" xfId="0" applyFont="1" applyBorder="1"/>
    <xf numFmtId="0" fontId="3" fillId="8" borderId="23" xfId="0" applyFont="1" applyFill="1" applyBorder="1" applyAlignment="1">
      <alignment horizontal="center" wrapText="1"/>
    </xf>
    <xf numFmtId="0" fontId="28" fillId="0" borderId="56" xfId="0" applyFont="1" applyBorder="1"/>
    <xf numFmtId="0" fontId="39" fillId="9" borderId="24" xfId="0" applyFont="1" applyFill="1" applyBorder="1" applyAlignment="1">
      <alignment horizontal="center" vertical="center" wrapText="1"/>
    </xf>
    <xf numFmtId="0" fontId="28" fillId="0" borderId="25" xfId="0" applyFont="1" applyBorder="1"/>
    <xf numFmtId="0" fontId="28" fillId="0" borderId="26" xfId="0" applyFont="1" applyBorder="1"/>
    <xf numFmtId="0" fontId="40" fillId="9" borderId="27" xfId="0" applyFont="1" applyFill="1" applyBorder="1" applyAlignment="1">
      <alignment horizontal="center" vertical="center" wrapText="1"/>
    </xf>
    <xf numFmtId="0" fontId="45" fillId="9" borderId="29" xfId="0" applyFont="1" applyFill="1" applyBorder="1" applyAlignment="1">
      <alignment horizontal="center" vertical="center" textRotation="90" wrapText="1"/>
    </xf>
    <xf numFmtId="0" fontId="39" fillId="9" borderId="22" xfId="0" applyFont="1" applyFill="1" applyBorder="1" applyAlignment="1">
      <alignment horizontal="center" vertical="center" textRotation="90" wrapText="1"/>
    </xf>
    <xf numFmtId="0" fontId="39" fillId="9" borderId="34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46" fillId="9" borderId="27" xfId="0" applyFont="1" applyFill="1" applyBorder="1" applyAlignment="1">
      <alignment horizontal="center" vertical="center" wrapText="1"/>
    </xf>
    <xf numFmtId="0" fontId="46" fillId="9" borderId="34" xfId="0" applyFont="1" applyFill="1" applyBorder="1" applyAlignment="1">
      <alignment horizontal="center" vertical="center" wrapText="1"/>
    </xf>
    <xf numFmtId="0" fontId="43" fillId="10" borderId="22" xfId="0" applyFont="1" applyFill="1" applyBorder="1" applyAlignment="1">
      <alignment horizontal="center" vertical="center" textRotation="90" wrapText="1"/>
    </xf>
    <xf numFmtId="0" fontId="43" fillId="10" borderId="30" xfId="0" applyFont="1" applyFill="1" applyBorder="1" applyAlignment="1">
      <alignment horizontal="center" vertical="center" wrapText="1"/>
    </xf>
    <xf numFmtId="0" fontId="28" fillId="0" borderId="39" xfId="0" applyFont="1" applyBorder="1"/>
    <xf numFmtId="0" fontId="41" fillId="9" borderId="27" xfId="0" applyFont="1" applyFill="1" applyBorder="1" applyAlignment="1">
      <alignment horizontal="center" vertical="center" wrapText="1"/>
    </xf>
    <xf numFmtId="0" fontId="42" fillId="10" borderId="29" xfId="0" applyFont="1" applyFill="1" applyBorder="1" applyAlignment="1">
      <alignment horizontal="center" vertical="center" textRotation="90" wrapText="1"/>
    </xf>
    <xf numFmtId="0" fontId="43" fillId="10" borderId="31" xfId="0" applyFont="1" applyFill="1" applyBorder="1" applyAlignment="1">
      <alignment horizontal="center" vertical="center" wrapText="1"/>
    </xf>
    <xf numFmtId="0" fontId="44" fillId="10" borderId="27" xfId="0" applyFont="1" applyFill="1" applyBorder="1" applyAlignment="1">
      <alignment horizontal="center" vertical="center" wrapText="1"/>
    </xf>
    <xf numFmtId="0" fontId="38" fillId="9" borderId="20" xfId="0" applyFont="1" applyFill="1" applyBorder="1" applyAlignment="1">
      <alignment horizontal="center" vertical="center" textRotation="90" wrapText="1"/>
    </xf>
    <xf numFmtId="0" fontId="28" fillId="0" borderId="36" xfId="0" applyFont="1" applyBorder="1"/>
    <xf numFmtId="0" fontId="28" fillId="0" borderId="47" xfId="0" applyFont="1" applyBorder="1"/>
    <xf numFmtId="0" fontId="36" fillId="9" borderId="16" xfId="0" applyFont="1" applyFill="1" applyBorder="1" applyAlignment="1">
      <alignment horizontal="center" vertical="center"/>
    </xf>
    <xf numFmtId="0" fontId="28" fillId="0" borderId="17" xfId="0" applyFont="1" applyBorder="1"/>
    <xf numFmtId="0" fontId="28" fillId="0" borderId="18" xfId="0" applyFont="1" applyBorder="1"/>
    <xf numFmtId="0" fontId="37" fillId="8" borderId="16" xfId="0" applyFont="1" applyFill="1" applyBorder="1" applyAlignment="1">
      <alignment horizontal="center" vertical="center"/>
    </xf>
    <xf numFmtId="0" fontId="48" fillId="8" borderId="35" xfId="0" applyFont="1" applyFill="1" applyBorder="1" applyAlignment="1">
      <alignment horizontal="center" vertical="center" wrapText="1"/>
    </xf>
    <xf numFmtId="0" fontId="28" fillId="0" borderId="45" xfId="0" applyFont="1" applyBorder="1"/>
    <xf numFmtId="0" fontId="28" fillId="0" borderId="60" xfId="0" applyFont="1" applyBorder="1"/>
    <xf numFmtId="0" fontId="52" fillId="9" borderId="23" xfId="0" applyFont="1" applyFill="1" applyBorder="1" applyAlignment="1">
      <alignment horizontal="center" wrapText="1"/>
    </xf>
    <xf numFmtId="0" fontId="28" fillId="0" borderId="50" xfId="0" applyFont="1" applyBorder="1"/>
    <xf numFmtId="0" fontId="39" fillId="9" borderId="23" xfId="0" applyFont="1" applyFill="1" applyBorder="1" applyAlignment="1">
      <alignment horizontal="center" vertical="center" wrapText="1"/>
    </xf>
    <xf numFmtId="0" fontId="49" fillId="9" borderId="23" xfId="0" applyFont="1" applyFill="1" applyBorder="1" applyAlignment="1">
      <alignment horizontal="center" wrapText="1"/>
    </xf>
    <xf numFmtId="0" fontId="50" fillId="9" borderId="23" xfId="0" applyFont="1" applyFill="1" applyBorder="1" applyAlignment="1">
      <alignment horizontal="center" wrapText="1"/>
    </xf>
    <xf numFmtId="0" fontId="6" fillId="10" borderId="23" xfId="0" applyFont="1" applyFill="1" applyBorder="1" applyAlignment="1">
      <alignment horizontal="center" wrapText="1"/>
    </xf>
    <xf numFmtId="0" fontId="31" fillId="8" borderId="9" xfId="0" applyFont="1" applyFill="1" applyBorder="1" applyAlignment="1">
      <alignment horizontal="left"/>
    </xf>
    <xf numFmtId="0" fontId="28" fillId="0" borderId="10" xfId="0" applyFont="1" applyBorder="1"/>
    <xf numFmtId="0" fontId="28" fillId="0" borderId="11" xfId="0" applyFont="1" applyBorder="1"/>
    <xf numFmtId="0" fontId="21" fillId="3" borderId="0" xfId="0" applyFont="1" applyFill="1" applyAlignment="1">
      <alignment horizontal="center" vertical="center"/>
    </xf>
    <xf numFmtId="0" fontId="0" fillId="0" borderId="0" xfId="0" applyFont="1" applyAlignment="1"/>
    <xf numFmtId="0" fontId="7" fillId="0" borderId="4" xfId="0" applyFont="1" applyBorder="1" applyAlignment="1">
      <alignment horizontal="center"/>
    </xf>
    <xf numFmtId="0" fontId="28" fillId="0" borderId="5" xfId="0" applyFont="1" applyBorder="1"/>
    <xf numFmtId="0" fontId="28" fillId="0" borderId="6" xfId="0" applyFont="1" applyBorder="1"/>
    <xf numFmtId="0" fontId="30" fillId="7" borderId="9" xfId="0" applyFont="1" applyFill="1" applyBorder="1" applyAlignment="1">
      <alignment horizontal="left"/>
    </xf>
    <xf numFmtId="0" fontId="31" fillId="4" borderId="9" xfId="0" applyFont="1" applyFill="1" applyBorder="1" applyAlignment="1">
      <alignment horizontal="left"/>
    </xf>
    <xf numFmtId="0" fontId="31" fillId="8" borderId="12" xfId="0" applyFont="1" applyFill="1" applyBorder="1" applyAlignment="1">
      <alignment horizontal="left"/>
    </xf>
    <xf numFmtId="0" fontId="28" fillId="0" borderId="13" xfId="0" applyFont="1" applyBorder="1"/>
    <xf numFmtId="0" fontId="28" fillId="0" borderId="14" xfId="0" applyFont="1" applyBorder="1"/>
    <xf numFmtId="0" fontId="33" fillId="0" borderId="15" xfId="0" applyFont="1" applyBorder="1" applyAlignment="1">
      <alignment horizontal="center" vertical="center"/>
    </xf>
    <xf numFmtId="0" fontId="28" fillId="0" borderId="19" xfId="0" applyFont="1" applyBorder="1"/>
    <xf numFmtId="0" fontId="28" fillId="0" borderId="46" xfId="0" applyFont="1" applyBorder="1"/>
    <xf numFmtId="0" fontId="34" fillId="0" borderId="15" xfId="0" applyFont="1" applyBorder="1" applyAlignment="1">
      <alignment horizontal="center" vertical="center" textRotation="90" wrapText="1"/>
    </xf>
    <xf numFmtId="0" fontId="34" fillId="0" borderId="15" xfId="0" applyFont="1" applyBorder="1" applyAlignment="1">
      <alignment horizontal="center" vertical="center" wrapText="1"/>
    </xf>
    <xf numFmtId="0" fontId="35" fillId="9" borderId="16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4" fillId="10" borderId="34" xfId="0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0" fontId="82" fillId="5" borderId="28" xfId="0" applyFont="1" applyFill="1" applyBorder="1" applyAlignment="1">
      <alignment horizontal="center" vertical="center"/>
    </xf>
    <xf numFmtId="0" fontId="28" fillId="0" borderId="74" xfId="0" applyFont="1" applyBorder="1"/>
    <xf numFmtId="0" fontId="84" fillId="18" borderId="27" xfId="0" applyFont="1" applyFill="1" applyBorder="1" applyAlignment="1">
      <alignment horizontal="center" vertical="center"/>
    </xf>
    <xf numFmtId="0" fontId="28" fillId="0" borderId="79" xfId="0" applyFont="1" applyBorder="1"/>
    <xf numFmtId="10" fontId="86" fillId="18" borderId="27" xfId="0" applyNumberFormat="1" applyFont="1" applyFill="1" applyBorder="1" applyAlignment="1">
      <alignment horizontal="center" vertical="center"/>
    </xf>
    <xf numFmtId="0" fontId="28" fillId="0" borderId="78" xfId="0" applyFont="1" applyBorder="1"/>
    <xf numFmtId="0" fontId="79" fillId="15" borderId="4" xfId="0" applyFont="1" applyFill="1" applyBorder="1" applyAlignment="1">
      <alignment horizontal="left" vertical="center"/>
    </xf>
    <xf numFmtId="0" fontId="28" fillId="0" borderId="75" xfId="0" applyFont="1" applyBorder="1"/>
    <xf numFmtId="164" fontId="79" fillId="15" borderId="4" xfId="0" applyNumberFormat="1" applyFont="1" applyFill="1" applyBorder="1" applyAlignment="1">
      <alignment horizontal="left" vertical="center"/>
    </xf>
    <xf numFmtId="0" fontId="83" fillId="5" borderId="27" xfId="0" applyFont="1" applyFill="1" applyBorder="1" applyAlignment="1">
      <alignment horizontal="center" vertical="center"/>
    </xf>
    <xf numFmtId="0" fontId="81" fillId="15" borderId="4" xfId="0" applyFont="1" applyFill="1" applyBorder="1" applyAlignment="1">
      <alignment horizontal="left" vertical="center"/>
    </xf>
    <xf numFmtId="0" fontId="79" fillId="15" borderId="77" xfId="0" applyFont="1" applyFill="1" applyBorder="1" applyAlignment="1">
      <alignment horizontal="left" vertical="center"/>
    </xf>
    <xf numFmtId="0" fontId="77" fillId="5" borderId="28" xfId="0" applyFont="1" applyFill="1" applyBorder="1" applyAlignment="1">
      <alignment horizontal="center" vertical="center"/>
    </xf>
    <xf numFmtId="0" fontId="78" fillId="0" borderId="4" xfId="0" applyFont="1" applyBorder="1" applyAlignment="1">
      <alignment horizontal="center" vertical="center" wrapText="1"/>
    </xf>
    <xf numFmtId="0" fontId="80" fillId="16" borderId="4" xfId="0" applyFont="1" applyFill="1" applyBorder="1" applyAlignment="1">
      <alignment horizontal="center" vertical="top" wrapText="1"/>
    </xf>
    <xf numFmtId="0" fontId="110" fillId="0" borderId="98" xfId="0" applyFont="1" applyBorder="1" applyAlignment="1">
      <alignment horizontal="left" wrapText="1"/>
    </xf>
    <xf numFmtId="0" fontId="108" fillId="0" borderId="0" xfId="0" applyFont="1" applyAlignment="1">
      <alignment wrapText="1"/>
    </xf>
    <xf numFmtId="0" fontId="28" fillId="0" borderId="97" xfId="0" applyFont="1" applyBorder="1"/>
    <xf numFmtId="164" fontId="110" fillId="0" borderId="98" xfId="0" applyNumberFormat="1" applyFont="1" applyBorder="1" applyAlignment="1">
      <alignment horizontal="left" wrapText="1"/>
    </xf>
    <xf numFmtId="0" fontId="116" fillId="0" borderId="4" xfId="0" applyFont="1" applyBorder="1" applyAlignment="1">
      <alignment horizontal="center" vertical="center"/>
    </xf>
    <xf numFmtId="0" fontId="119" fillId="0" borderId="19" xfId="0" applyFont="1" applyBorder="1" applyAlignment="1">
      <alignment horizontal="center" vertical="center" textRotation="90"/>
    </xf>
    <xf numFmtId="0" fontId="28" fillId="0" borderId="2" xfId="0" applyFont="1" applyBorder="1"/>
    <xf numFmtId="49" fontId="110" fillId="0" borderId="0" xfId="0" applyNumberFormat="1" applyFont="1" applyAlignment="1">
      <alignment horizontal="left" wrapText="1"/>
    </xf>
    <xf numFmtId="0" fontId="115" fillId="0" borderId="4" xfId="0" applyFont="1" applyBorder="1" applyAlignment="1">
      <alignment horizontal="center" wrapText="1"/>
    </xf>
    <xf numFmtId="0" fontId="109" fillId="19" borderId="28" xfId="0" applyFont="1" applyFill="1" applyBorder="1" applyAlignment="1">
      <alignment horizontal="center" vertical="center"/>
    </xf>
    <xf numFmtId="0" fontId="111" fillId="0" borderId="0" xfId="0" applyFont="1"/>
    <xf numFmtId="0" fontId="112" fillId="0" borderId="0" xfId="0" applyFont="1" applyAlignment="1">
      <alignment horizontal="left"/>
    </xf>
    <xf numFmtId="0" fontId="114" fillId="0" borderId="98" xfId="0" applyFont="1" applyBorder="1" applyAlignment="1">
      <alignment horizontal="left" wrapText="1"/>
    </xf>
    <xf numFmtId="0" fontId="126" fillId="20" borderId="4" xfId="0" applyFont="1" applyFill="1" applyBorder="1" applyAlignment="1">
      <alignment wrapText="1"/>
    </xf>
    <xf numFmtId="0" fontId="75" fillId="21" borderId="4" xfId="0" applyFont="1" applyFill="1" applyBorder="1" applyAlignment="1">
      <alignment horizontal="center" vertical="center" wrapText="1"/>
    </xf>
    <xf numFmtId="0" fontId="28" fillId="21" borderId="6" xfId="0" applyFont="1" applyFill="1" applyBorder="1"/>
    <xf numFmtId="0" fontId="77" fillId="23" borderId="4" xfId="0" applyFont="1" applyFill="1" applyBorder="1" applyAlignment="1">
      <alignment horizontal="right" vertical="center" wrapText="1"/>
    </xf>
    <xf numFmtId="0" fontId="28" fillId="22" borderId="6" xfId="0" applyFont="1" applyFill="1" applyBorder="1"/>
    <xf numFmtId="171" fontId="74" fillId="23" borderId="4" xfId="0" applyNumberFormat="1" applyFont="1" applyFill="1" applyBorder="1" applyAlignment="1"/>
    <xf numFmtId="0" fontId="28" fillId="22" borderId="5" xfId="0" applyFont="1" applyFill="1" applyBorder="1"/>
    <xf numFmtId="0" fontId="75" fillId="0" borderId="0" xfId="0" applyFont="1" applyAlignment="1">
      <alignment horizontal="center" wrapText="1"/>
    </xf>
    <xf numFmtId="0" fontId="75" fillId="14" borderId="4" xfId="0" applyFont="1" applyFill="1" applyBorder="1" applyAlignment="1">
      <alignment horizontal="center" vertical="center" wrapText="1"/>
    </xf>
    <xf numFmtId="0" fontId="126" fillId="20" borderId="0" xfId="0" applyFont="1" applyFill="1" applyAlignment="1">
      <alignment wrapText="1"/>
    </xf>
    <xf numFmtId="0" fontId="28" fillId="8" borderId="6" xfId="0" applyFont="1" applyFill="1" applyBorder="1"/>
    <xf numFmtId="0" fontId="28" fillId="8" borderId="5" xfId="0" applyFont="1" applyFill="1" applyBorder="1"/>
    <xf numFmtId="0" fontId="132" fillId="8" borderId="86" xfId="0" applyFont="1" applyFill="1" applyBorder="1" applyAlignment="1"/>
    <xf numFmtId="0" fontId="28" fillId="0" borderId="86" xfId="0" applyFont="1" applyBorder="1"/>
    <xf numFmtId="0" fontId="28" fillId="0" borderId="100" xfId="0" applyFont="1" applyBorder="1"/>
    <xf numFmtId="0" fontId="133" fillId="23" borderId="4" xfId="0" applyFont="1" applyFill="1" applyBorder="1" applyAlignment="1">
      <alignment horizontal="center"/>
    </xf>
    <xf numFmtId="0" fontId="133" fillId="25" borderId="4" xfId="0" applyFont="1" applyFill="1" applyBorder="1" applyAlignment="1"/>
    <xf numFmtId="0" fontId="131" fillId="24" borderId="4" xfId="0" applyFont="1" applyFill="1" applyBorder="1" applyAlignment="1"/>
    <xf numFmtId="0" fontId="90" fillId="13" borderId="4" xfId="0" applyFont="1" applyFill="1" applyBorder="1" applyAlignment="1">
      <alignment horizontal="center" wrapText="1"/>
    </xf>
    <xf numFmtId="0" fontId="132" fillId="8" borderId="0" xfId="0" applyFont="1" applyFill="1" applyAlignment="1"/>
    <xf numFmtId="0" fontId="133" fillId="24" borderId="4" xfId="0" applyFont="1" applyFill="1" applyBorder="1" applyAlignment="1"/>
    <xf numFmtId="0" fontId="77" fillId="0" borderId="4" xfId="0" applyFont="1" applyBorder="1" applyAlignment="1">
      <alignment horizontal="left" vertical="center" wrapText="1"/>
    </xf>
    <xf numFmtId="0" fontId="77" fillId="32" borderId="4" xfId="0" applyFont="1" applyFill="1" applyBorder="1" applyAlignment="1">
      <alignment horizontal="center" vertical="center"/>
    </xf>
    <xf numFmtId="0" fontId="110" fillId="0" borderId="4" xfId="0" applyFont="1" applyBorder="1" applyAlignment="1">
      <alignment horizontal="left" vertical="center"/>
    </xf>
    <xf numFmtId="0" fontId="118" fillId="31" borderId="4" xfId="0" applyFont="1" applyFill="1" applyBorder="1" applyAlignment="1">
      <alignment horizontal="center" vertical="center" wrapText="1"/>
    </xf>
    <xf numFmtId="0" fontId="76" fillId="0" borderId="4" xfId="0" applyFont="1" applyBorder="1" applyAlignment="1">
      <alignment horizontal="left" vertical="center" wrapText="1"/>
    </xf>
    <xf numFmtId="0" fontId="92" fillId="31" borderId="4" xfId="0" applyFont="1" applyFill="1" applyBorder="1" applyAlignment="1">
      <alignment horizontal="left" vertical="center" wrapText="1"/>
    </xf>
    <xf numFmtId="0" fontId="77" fillId="32" borderId="4" xfId="0" applyFont="1" applyFill="1" applyBorder="1" applyAlignment="1">
      <alignment horizontal="right" vertical="center" wrapText="1"/>
    </xf>
    <xf numFmtId="0" fontId="124" fillId="0" borderId="4" xfId="0" applyFont="1" applyBorder="1" applyAlignment="1">
      <alignment horizontal="left" vertical="center" wrapText="1"/>
    </xf>
    <xf numFmtId="0" fontId="105" fillId="0" borderId="4" xfId="0" applyFont="1" applyBorder="1" applyAlignment="1">
      <alignment horizontal="left" vertical="center"/>
    </xf>
    <xf numFmtId="0" fontId="151" fillId="0" borderId="4" xfId="0" applyFont="1" applyBorder="1" applyAlignment="1">
      <alignment horizontal="left" vertical="center" wrapText="1"/>
    </xf>
    <xf numFmtId="0" fontId="77" fillId="31" borderId="4" xfId="0" applyFont="1" applyFill="1" applyBorder="1" applyAlignment="1">
      <alignment horizontal="right" vertical="center"/>
    </xf>
    <xf numFmtId="0" fontId="149" fillId="0" borderId="4" xfId="0" applyFont="1" applyBorder="1" applyAlignment="1">
      <alignment horizontal="left" vertical="center" wrapText="1"/>
    </xf>
    <xf numFmtId="4" fontId="145" fillId="0" borderId="4" xfId="0" applyNumberFormat="1" applyFont="1" applyBorder="1" applyAlignment="1">
      <alignment horizontal="right" vertical="center" wrapText="1"/>
    </xf>
    <xf numFmtId="4" fontId="148" fillId="0" borderId="4" xfId="0" applyNumberFormat="1" applyFont="1" applyBorder="1" applyAlignment="1">
      <alignment horizontal="right" vertical="center" wrapText="1"/>
    </xf>
    <xf numFmtId="0" fontId="90" fillId="0" borderId="4" xfId="0" applyFont="1" applyBorder="1" applyAlignment="1">
      <alignment horizontal="left" vertical="center"/>
    </xf>
    <xf numFmtId="3" fontId="90" fillId="0" borderId="4" xfId="0" applyNumberFormat="1" applyFont="1" applyBorder="1" applyAlignment="1">
      <alignment horizontal="center" vertical="center" wrapText="1"/>
    </xf>
    <xf numFmtId="0" fontId="76" fillId="0" borderId="4" xfId="0" applyFont="1" applyBorder="1" applyAlignment="1">
      <alignment horizontal="left" vertical="center"/>
    </xf>
    <xf numFmtId="4" fontId="76" fillId="0" borderId="4" xfId="0" applyNumberFormat="1" applyFont="1" applyBorder="1" applyAlignment="1">
      <alignment horizontal="right" vertical="center" wrapText="1"/>
    </xf>
    <xf numFmtId="0" fontId="77" fillId="32" borderId="4" xfId="0" applyFont="1" applyFill="1" applyBorder="1" applyAlignment="1">
      <alignment horizontal="left" wrapText="1"/>
    </xf>
    <xf numFmtId="0" fontId="90" fillId="0" borderId="4" xfId="0" applyFont="1" applyBorder="1" applyAlignment="1">
      <alignment vertical="center" wrapText="1"/>
    </xf>
    <xf numFmtId="0" fontId="75" fillId="0" borderId="4" xfId="0" applyFont="1" applyBorder="1" applyAlignment="1">
      <alignment horizontal="left" vertical="center" wrapText="1"/>
    </xf>
    <xf numFmtId="10" fontId="150" fillId="0" borderId="4" xfId="0" applyNumberFormat="1" applyFont="1" applyBorder="1" applyAlignment="1">
      <alignment horizontal="left" vertical="center" wrapText="1"/>
    </xf>
    <xf numFmtId="0" fontId="75" fillId="31" borderId="4" xfId="0" applyFont="1" applyFill="1" applyBorder="1" applyAlignment="1">
      <alignment horizontal="right" vertical="center"/>
    </xf>
    <xf numFmtId="0" fontId="105" fillId="32" borderId="4" xfId="0" applyFont="1" applyFill="1" applyBorder="1" applyAlignment="1">
      <alignment horizontal="right" vertical="center"/>
    </xf>
    <xf numFmtId="0" fontId="149" fillId="32" borderId="4" xfId="0" applyFont="1" applyFill="1" applyBorder="1" applyAlignment="1">
      <alignment horizontal="left" vertical="center" wrapText="1"/>
    </xf>
    <xf numFmtId="0" fontId="110" fillId="0" borderId="4" xfId="0" applyFont="1" applyBorder="1" applyAlignment="1">
      <alignment horizontal="left" vertical="center" wrapText="1"/>
    </xf>
    <xf numFmtId="0" fontId="110" fillId="31" borderId="4" xfId="0" applyFont="1" applyFill="1" applyBorder="1" applyAlignment="1">
      <alignment horizontal="center" vertical="center" wrapText="1"/>
    </xf>
    <xf numFmtId="0" fontId="118" fillId="31" borderId="4" xfId="0" applyFont="1" applyFill="1" applyBorder="1" applyAlignment="1">
      <alignment horizontal="left" vertical="center" wrapText="1"/>
    </xf>
    <xf numFmtId="0" fontId="77" fillId="32" borderId="4" xfId="0" applyFont="1" applyFill="1" applyBorder="1" applyAlignment="1">
      <alignment horizontal="center" vertical="center" wrapText="1"/>
    </xf>
    <xf numFmtId="10" fontId="147" fillId="0" borderId="4" xfId="0" applyNumberFormat="1" applyFont="1" applyBorder="1" applyAlignment="1">
      <alignment horizontal="center" vertical="center" wrapText="1"/>
    </xf>
    <xf numFmtId="0" fontId="110" fillId="31" borderId="4" xfId="0" applyFont="1" applyFill="1" applyBorder="1" applyAlignment="1">
      <alignment horizontal="left" vertical="center"/>
    </xf>
    <xf numFmtId="0" fontId="110" fillId="0" borderId="4" xfId="0" applyFont="1" applyBorder="1" applyAlignment="1">
      <alignment horizontal="center" vertical="center"/>
    </xf>
    <xf numFmtId="10" fontId="147" fillId="0" borderId="5" xfId="0" applyNumberFormat="1" applyFont="1" applyBorder="1" applyAlignment="1">
      <alignment horizontal="left" vertical="center" wrapText="1"/>
    </xf>
    <xf numFmtId="0" fontId="75" fillId="0" borderId="5" xfId="0" applyFont="1" applyBorder="1" applyAlignment="1">
      <alignment horizontal="left" vertical="center" wrapText="1"/>
    </xf>
    <xf numFmtId="1" fontId="76" fillId="0" borderId="4" xfId="0" applyNumberFormat="1" applyFont="1" applyBorder="1" applyAlignment="1">
      <alignment horizontal="center" vertical="center" wrapText="1"/>
    </xf>
    <xf numFmtId="0" fontId="118" fillId="0" borderId="4" xfId="0" applyFont="1" applyBorder="1" applyAlignment="1">
      <alignment horizontal="center" vertical="center" wrapText="1"/>
    </xf>
    <xf numFmtId="0" fontId="77" fillId="31" borderId="4" xfId="0" applyFont="1" applyFill="1" applyBorder="1" applyAlignment="1">
      <alignment horizontal="center" vertical="center" wrapText="1"/>
    </xf>
    <xf numFmtId="0" fontId="141" fillId="14" borderId="4" xfId="0" applyFont="1" applyFill="1" applyBorder="1" applyAlignment="1">
      <alignment horizontal="left" vertical="center" wrapText="1"/>
    </xf>
    <xf numFmtId="0" fontId="141" fillId="14" borderId="4" xfId="0" applyFont="1" applyFill="1" applyBorder="1" applyAlignment="1">
      <alignment horizontal="center" vertical="center" wrapText="1"/>
    </xf>
    <xf numFmtId="1" fontId="141" fillId="14" borderId="4" xfId="0" applyNumberFormat="1" applyFont="1" applyFill="1" applyBorder="1" applyAlignment="1">
      <alignment horizontal="center" vertical="center" wrapText="1"/>
    </xf>
    <xf numFmtId="14" fontId="143" fillId="11" borderId="4" xfId="0" applyNumberFormat="1" applyFont="1" applyFill="1" applyBorder="1" applyAlignment="1">
      <alignment horizontal="center" vertical="center" wrapText="1"/>
    </xf>
    <xf numFmtId="0" fontId="77" fillId="0" borderId="61" xfId="0" applyFont="1" applyBorder="1" applyAlignment="1">
      <alignment horizontal="left" vertical="center" wrapText="1"/>
    </xf>
    <xf numFmtId="14" fontId="146" fillId="0" borderId="4" xfId="0" applyNumberFormat="1" applyFont="1" applyBorder="1" applyAlignment="1">
      <alignment horizontal="right" vertical="center" wrapText="1"/>
    </xf>
    <xf numFmtId="0" fontId="140" fillId="0" borderId="94" xfId="0" applyFont="1" applyBorder="1" applyAlignment="1">
      <alignment horizontal="center" vertical="center" wrapText="1"/>
    </xf>
    <xf numFmtId="0" fontId="28" fillId="0" borderId="8" xfId="0" applyFont="1" applyBorder="1"/>
    <xf numFmtId="0" fontId="28" fillId="0" borderId="101" xfId="0" applyFont="1" applyBorder="1"/>
    <xf numFmtId="0" fontId="84" fillId="0" borderId="61" xfId="0" applyFont="1" applyBorder="1" applyAlignment="1">
      <alignment horizontal="center" vertical="center" wrapText="1"/>
    </xf>
    <xf numFmtId="0" fontId="76" fillId="0" borderId="61" xfId="0" applyFont="1" applyBorder="1" applyAlignment="1">
      <alignment horizontal="center" vertical="center" wrapText="1"/>
    </xf>
    <xf numFmtId="0" fontId="76" fillId="0" borderId="4" xfId="0" applyFont="1" applyBorder="1" applyAlignment="1">
      <alignment horizontal="center" vertical="center" wrapText="1"/>
    </xf>
    <xf numFmtId="164" fontId="77" fillId="0" borderId="4" xfId="0" applyNumberFormat="1" applyFont="1" applyBorder="1" applyAlignment="1">
      <alignment horizontal="left" vertical="center" wrapText="1"/>
    </xf>
    <xf numFmtId="14" fontId="76" fillId="0" borderId="4" xfId="0" applyNumberFormat="1" applyFont="1" applyBorder="1" applyAlignment="1">
      <alignment horizontal="center" vertical="center" wrapText="1"/>
    </xf>
    <xf numFmtId="0" fontId="77" fillId="0" borderId="5" xfId="0" applyFont="1" applyBorder="1" applyAlignment="1">
      <alignment horizontal="left" vertical="center" wrapText="1"/>
    </xf>
    <xf numFmtId="49" fontId="77" fillId="31" borderId="4" xfId="0" applyNumberFormat="1" applyFont="1" applyFill="1" applyBorder="1" applyAlignment="1">
      <alignment horizontal="right" vertical="center" wrapText="1"/>
    </xf>
    <xf numFmtId="1" fontId="76" fillId="31" borderId="4" xfId="0" applyNumberFormat="1" applyFont="1" applyFill="1" applyBorder="1" applyAlignment="1">
      <alignment horizontal="center" vertical="center" wrapText="1"/>
    </xf>
    <xf numFmtId="0" fontId="76" fillId="31" borderId="4" xfId="0" applyFont="1" applyFill="1" applyBorder="1" applyAlignment="1">
      <alignment horizontal="right" vertical="center" wrapText="1"/>
    </xf>
    <xf numFmtId="0" fontId="139" fillId="0" borderId="4" xfId="0" applyFont="1" applyBorder="1" applyAlignment="1">
      <alignment horizontal="left" vertical="center" wrapText="1"/>
    </xf>
    <xf numFmtId="0" fontId="142" fillId="0" borderId="4" xfId="0" applyFont="1" applyBorder="1" applyAlignment="1">
      <alignment horizontal="left" wrapText="1"/>
    </xf>
    <xf numFmtId="0" fontId="118" fillId="32" borderId="4" xfId="0" applyFont="1" applyFill="1" applyBorder="1" applyAlignment="1">
      <alignment horizontal="left" wrapText="1"/>
    </xf>
    <xf numFmtId="172" fontId="76" fillId="0" borderId="4" xfId="0" applyNumberFormat="1" applyFont="1" applyBorder="1" applyAlignment="1">
      <alignment horizontal="center" vertical="center" wrapText="1"/>
    </xf>
    <xf numFmtId="0" fontId="75" fillId="0" borderId="94" xfId="0" applyFont="1" applyBorder="1" applyAlignment="1">
      <alignment horizontal="left" vertical="center" wrapText="1"/>
    </xf>
    <xf numFmtId="172" fontId="143" fillId="11" borderId="4" xfId="0" applyNumberFormat="1" applyFont="1" applyFill="1" applyBorder="1" applyAlignment="1">
      <alignment horizontal="center" vertical="center" wrapText="1"/>
    </xf>
    <xf numFmtId="0" fontId="77" fillId="0" borderId="16" xfId="0" applyFont="1" applyBorder="1" applyAlignment="1">
      <alignment horizontal="left" vertical="center" wrapText="1"/>
    </xf>
    <xf numFmtId="172" fontId="145" fillId="0" borderId="4" xfId="0" applyNumberFormat="1" applyFont="1" applyBorder="1" applyAlignment="1">
      <alignment horizontal="right" vertical="center"/>
    </xf>
    <xf numFmtId="0" fontId="110" fillId="31" borderId="4" xfId="0" applyFont="1" applyFill="1" applyBorder="1" applyAlignment="1">
      <alignment horizontal="center" vertical="center"/>
    </xf>
    <xf numFmtId="0" fontId="75" fillId="0" borderId="4" xfId="0" applyFont="1" applyBorder="1" applyAlignment="1">
      <alignment horizontal="left" vertical="center"/>
    </xf>
    <xf numFmtId="0" fontId="75" fillId="32" borderId="4" xfId="0" applyFont="1" applyFill="1" applyBorder="1" applyAlignment="1">
      <alignment horizontal="right" vertical="center"/>
    </xf>
    <xf numFmtId="0" fontId="118" fillId="31" borderId="4" xfId="0" applyFont="1" applyFill="1" applyBorder="1" applyAlignment="1">
      <alignment horizontal="center" vertical="center"/>
    </xf>
    <xf numFmtId="0" fontId="118" fillId="0" borderId="4" xfId="0" applyFont="1" applyBorder="1" applyAlignment="1">
      <alignment horizontal="left" vertical="center"/>
    </xf>
    <xf numFmtId="0" fontId="77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77" fillId="17" borderId="4" xfId="0" applyFont="1" applyFill="1" applyBorder="1" applyAlignment="1">
      <alignment horizontal="left" vertical="center" wrapText="1"/>
    </xf>
    <xf numFmtId="0" fontId="77" fillId="32" borderId="4" xfId="0" applyFont="1" applyFill="1" applyBorder="1" applyAlignment="1">
      <alignment horizontal="right" vertical="center"/>
    </xf>
    <xf numFmtId="0" fontId="90" fillId="0" borderId="4" xfId="0" applyFont="1" applyBorder="1" applyAlignment="1">
      <alignment horizontal="left" vertical="center" wrapText="1"/>
    </xf>
    <xf numFmtId="0" fontId="156" fillId="32" borderId="4" xfId="0" applyFont="1" applyFill="1" applyBorder="1" applyAlignment="1">
      <alignment horizontal="left" vertical="center" wrapText="1"/>
    </xf>
    <xf numFmtId="0" fontId="118" fillId="0" borderId="4" xfId="0" applyFont="1" applyBorder="1" applyAlignment="1">
      <alignment horizontal="left" vertical="center" wrapText="1"/>
    </xf>
    <xf numFmtId="0" fontId="75" fillId="31" borderId="4" xfId="0" applyFont="1" applyFill="1" applyBorder="1" applyAlignment="1">
      <alignment horizontal="right" vertical="center" wrapText="1"/>
    </xf>
    <xf numFmtId="0" fontId="152" fillId="32" borderId="4" xfId="0" applyFont="1" applyFill="1" applyBorder="1" applyAlignment="1">
      <alignment horizontal="center" vertical="center" wrapText="1"/>
    </xf>
    <xf numFmtId="0" fontId="105" fillId="0" borderId="4" xfId="0" applyFont="1" applyBorder="1" applyAlignment="1">
      <alignment horizontal="left" vertical="center" wrapText="1"/>
    </xf>
    <xf numFmtId="4" fontId="77" fillId="0" borderId="4" xfId="0" applyNumberFormat="1" applyFont="1" applyBorder="1" applyAlignment="1">
      <alignment horizontal="center" vertical="center" wrapText="1"/>
    </xf>
    <xf numFmtId="0" fontId="90" fillId="31" borderId="4" xfId="0" applyFont="1" applyFill="1" applyBorder="1" applyAlignment="1">
      <alignment horizontal="right" vertical="center"/>
    </xf>
    <xf numFmtId="0" fontId="77" fillId="32" borderId="104" xfId="0" applyFont="1" applyFill="1" applyBorder="1" applyAlignment="1">
      <alignment horizontal="right" vertical="center"/>
    </xf>
    <xf numFmtId="0" fontId="28" fillId="0" borderId="80" xfId="0" applyFont="1" applyBorder="1"/>
    <xf numFmtId="0" fontId="28" fillId="0" borderId="105" xfId="0" applyFont="1" applyBorder="1"/>
    <xf numFmtId="0" fontId="139" fillId="0" borderId="61" xfId="0" applyFont="1" applyBorder="1" applyAlignment="1">
      <alignment horizontal="left" vertical="center" wrapText="1"/>
    </xf>
    <xf numFmtId="0" fontId="77" fillId="32" borderId="4" xfId="0" applyFont="1" applyFill="1" applyBorder="1" applyAlignment="1">
      <alignment horizontal="left"/>
    </xf>
    <xf numFmtId="0" fontId="92" fillId="0" borderId="4" xfId="0" applyFont="1" applyBorder="1" applyAlignment="1">
      <alignment horizontal="left" vertical="center" wrapText="1"/>
    </xf>
    <xf numFmtId="0" fontId="77" fillId="32" borderId="4" xfId="0" applyFont="1" applyFill="1" applyBorder="1" applyAlignment="1">
      <alignment horizontal="left" vertical="center" wrapText="1"/>
    </xf>
    <xf numFmtId="172" fontId="106" fillId="0" borderId="4" xfId="0" applyNumberFormat="1" applyFont="1" applyBorder="1" applyAlignment="1">
      <alignment horizontal="center" vertical="center" wrapText="1"/>
    </xf>
    <xf numFmtId="0" fontId="92" fillId="32" borderId="77" xfId="0" applyFont="1" applyFill="1" applyBorder="1" applyAlignment="1">
      <alignment horizontal="center"/>
    </xf>
    <xf numFmtId="0" fontId="28" fillId="0" borderId="106" xfId="0" applyFont="1" applyBorder="1"/>
    <xf numFmtId="1" fontId="106" fillId="0" borderId="4" xfId="0" applyNumberFormat="1" applyFont="1" applyBorder="1" applyAlignment="1">
      <alignment horizontal="center" vertical="center" wrapText="1"/>
    </xf>
    <xf numFmtId="0" fontId="92" fillId="32" borderId="4" xfId="0" applyFont="1" applyFill="1" applyBorder="1" applyAlignment="1">
      <alignment horizontal="left" vertical="center" wrapText="1"/>
    </xf>
    <xf numFmtId="172" fontId="106" fillId="0" borderId="4" xfId="0" applyNumberFormat="1" applyFont="1" applyBorder="1" applyAlignment="1">
      <alignment horizontal="center" vertical="center"/>
    </xf>
    <xf numFmtId="4" fontId="143" fillId="31" borderId="4" xfId="0" applyNumberFormat="1" applyFont="1" applyFill="1" applyBorder="1" applyAlignment="1">
      <alignment horizontal="center" vertical="center"/>
    </xf>
    <xf numFmtId="49" fontId="158" fillId="0" borderId="4" xfId="0" applyNumberFormat="1" applyFont="1" applyBorder="1" applyAlignment="1">
      <alignment horizontal="left" vertical="center" wrapText="1"/>
    </xf>
    <xf numFmtId="49" fontId="77" fillId="5" borderId="4" xfId="0" applyNumberFormat="1" applyFont="1" applyFill="1" applyBorder="1" applyAlignment="1">
      <alignment horizontal="left" vertical="center" wrapText="1"/>
    </xf>
    <xf numFmtId="0" fontId="118" fillId="0" borderId="98" xfId="0" applyFont="1" applyBorder="1" applyAlignment="1">
      <alignment horizontal="left" vertical="center" wrapText="1"/>
    </xf>
    <xf numFmtId="0" fontId="77" fillId="18" borderId="4" xfId="0" applyFont="1" applyFill="1" applyBorder="1" applyAlignment="1">
      <alignment horizontal="left" vertical="center" wrapText="1"/>
    </xf>
    <xf numFmtId="4" fontId="77" fillId="0" borderId="5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wrapText="1"/>
    </xf>
    <xf numFmtId="0" fontId="76" fillId="0" borderId="98" xfId="0" applyFont="1" applyBorder="1" applyAlignment="1">
      <alignment horizontal="center" vertical="center"/>
    </xf>
    <xf numFmtId="0" fontId="28" fillId="0" borderId="98" xfId="0" applyFont="1" applyBorder="1"/>
    <xf numFmtId="0" fontId="28" fillId="0" borderId="61" xfId="0" applyFont="1" applyBorder="1"/>
    <xf numFmtId="0" fontId="151" fillId="0" borderId="0" xfId="0" applyFont="1" applyAlignment="1">
      <alignment horizontal="left" vertical="center"/>
    </xf>
    <xf numFmtId="0" fontId="151" fillId="0" borderId="0" xfId="0" applyFont="1" applyAlignment="1">
      <alignment horizontal="center" vertical="center"/>
    </xf>
    <xf numFmtId="0" fontId="151" fillId="0" borderId="86" xfId="0" applyFont="1" applyBorder="1" applyAlignment="1">
      <alignment horizontal="left" vertical="center"/>
    </xf>
    <xf numFmtId="0" fontId="157" fillId="32" borderId="4" xfId="0" applyFont="1" applyFill="1" applyBorder="1" applyAlignment="1">
      <alignment vertical="center"/>
    </xf>
    <xf numFmtId="0" fontId="92" fillId="32" borderId="4" xfId="0" applyFont="1" applyFill="1" applyBorder="1" applyAlignment="1">
      <alignment horizontal="center" vertical="center"/>
    </xf>
    <xf numFmtId="0" fontId="139" fillId="0" borderId="4" xfId="0" applyFont="1" applyBorder="1" applyAlignment="1">
      <alignment horizontal="left" vertical="center"/>
    </xf>
    <xf numFmtId="0" fontId="76" fillId="0" borderId="4" xfId="0" applyFont="1" applyBorder="1" applyAlignment="1">
      <alignment horizontal="right" vertical="center" wrapText="1"/>
    </xf>
    <xf numFmtId="49" fontId="77" fillId="32" borderId="4" xfId="0" applyNumberFormat="1" applyFont="1" applyFill="1" applyBorder="1" applyAlignment="1">
      <alignment horizontal="left" vertical="center" wrapText="1"/>
    </xf>
    <xf numFmtId="0" fontId="77" fillId="5" borderId="104" xfId="0" applyFont="1" applyFill="1" applyBorder="1" applyAlignment="1">
      <alignment horizontal="right" vertical="center"/>
    </xf>
    <xf numFmtId="0" fontId="76" fillId="0" borderId="94" xfId="0" applyFont="1" applyBorder="1" applyAlignment="1">
      <alignment horizontal="left" vertical="center" wrapText="1"/>
    </xf>
    <xf numFmtId="0" fontId="76" fillId="0" borderId="5" xfId="0" applyFont="1" applyBorder="1" applyAlignment="1">
      <alignment horizontal="left" vertical="center" wrapText="1"/>
    </xf>
    <xf numFmtId="4" fontId="145" fillId="0" borderId="5" xfId="0" applyNumberFormat="1" applyFont="1" applyBorder="1" applyAlignment="1">
      <alignment horizontal="right" vertical="center" wrapText="1"/>
    </xf>
    <xf numFmtId="0" fontId="76" fillId="0" borderId="61" xfId="0" applyFont="1" applyBorder="1" applyAlignment="1">
      <alignment horizontal="left" vertical="center" wrapText="1"/>
    </xf>
    <xf numFmtId="10" fontId="147" fillId="0" borderId="8" xfId="0" applyNumberFormat="1" applyFont="1" applyBorder="1" applyAlignment="1">
      <alignment horizontal="left" vertical="center" wrapText="1"/>
    </xf>
    <xf numFmtId="4" fontId="77" fillId="0" borderId="4" xfId="0" applyNumberFormat="1" applyFont="1" applyBorder="1" applyAlignment="1">
      <alignment horizontal="left" vertical="center" wrapText="1"/>
    </xf>
    <xf numFmtId="4" fontId="145" fillId="0" borderId="94" xfId="0" applyNumberFormat="1" applyFont="1" applyBorder="1" applyAlignment="1">
      <alignment horizontal="right" vertical="center" wrapText="1"/>
    </xf>
    <xf numFmtId="0" fontId="77" fillId="0" borderId="16" xfId="0" applyFont="1" applyBorder="1" applyAlignment="1">
      <alignment horizontal="left" vertical="center"/>
    </xf>
    <xf numFmtId="0" fontId="28" fillId="0" borderId="107" xfId="0" applyFont="1" applyBorder="1"/>
    <xf numFmtId="3" fontId="77" fillId="0" borderId="108" xfId="0" applyNumberFormat="1" applyFont="1" applyBorder="1" applyAlignment="1">
      <alignment horizontal="center" wrapText="1"/>
    </xf>
    <xf numFmtId="0" fontId="76" fillId="0" borderId="61" xfId="0" applyFont="1" applyBorder="1" applyAlignment="1">
      <alignment horizontal="left" vertical="center"/>
    </xf>
    <xf numFmtId="4" fontId="76" fillId="0" borderId="61" xfId="0" applyNumberFormat="1" applyFont="1" applyBorder="1" applyAlignment="1">
      <alignment horizontal="right" vertical="center" wrapText="1"/>
    </xf>
    <xf numFmtId="4" fontId="145" fillId="0" borderId="4" xfId="0" applyNumberFormat="1" applyFont="1" applyBorder="1" applyAlignment="1">
      <alignment horizontal="right" vertical="center"/>
    </xf>
    <xf numFmtId="3" fontId="76" fillId="0" borderId="4" xfId="0" applyNumberFormat="1" applyFont="1" applyBorder="1" applyAlignment="1">
      <alignment horizontal="center" wrapText="1"/>
    </xf>
    <xf numFmtId="0" fontId="164" fillId="0" borderId="0" xfId="0" applyFont="1" applyAlignment="1">
      <alignment horizontal="left"/>
    </xf>
    <xf numFmtId="0" fontId="168" fillId="0" borderId="0" xfId="0" applyFont="1" applyAlignment="1">
      <alignment wrapText="1"/>
    </xf>
    <xf numFmtId="0" fontId="170" fillId="0" borderId="0" xfId="0" applyFont="1" applyAlignment="1">
      <alignment horizontal="left" wrapText="1"/>
    </xf>
    <xf numFmtId="0" fontId="163" fillId="0" borderId="0" xfId="0" applyFont="1"/>
  </cellXfs>
  <cellStyles count="1">
    <cellStyle name="Normal" xfId="0" builtinId="0"/>
  </cellStyles>
  <dxfs count="197"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999999"/>
      </font>
      <fill>
        <patternFill patternType="solid">
          <fgColor theme="0"/>
          <bgColor theme="0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B7E1CD"/>
          <bgColor rgb="FFB7E1CD"/>
        </patternFill>
      </fill>
    </dxf>
    <dxf>
      <font>
        <b/>
        <color rgb="FFD6E3BC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ont>
        <b/>
        <color rgb="FFD6E3BC"/>
      </font>
      <fill>
        <patternFill patternType="solid">
          <fgColor rgb="FFB7E1CD"/>
          <bgColor rgb="FFB7E1CD"/>
        </patternFill>
      </fill>
    </dxf>
    <dxf>
      <fill>
        <patternFill patternType="solid">
          <fgColor rgb="FFD6E3BC"/>
          <bgColor rgb="FFD6E3BC"/>
        </patternFill>
      </fill>
    </dxf>
    <dxf>
      <font>
        <b/>
      </font>
      <fill>
        <patternFill patternType="solid">
          <fgColor rgb="FFD6E3BC"/>
          <bgColor rgb="FFD6E3BC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ont>
        <b/>
        <color rgb="FFC00000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rgb="FF000000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b/>
        <color theme="1"/>
      </font>
      <fill>
        <patternFill patternType="solid">
          <fgColor rgb="FFD6E3BC"/>
          <bgColor rgb="FFD6E3BC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428625</xdr:rowOff>
    </xdr:from>
    <xdr:ext cx="819150" cy="333375"/>
    <xdr:sp macro="" textlink="">
      <xdr:nvSpPr>
        <xdr:cNvPr id="3" name="Shape 3"/>
        <xdr:cNvSpPr txBox="1"/>
      </xdr:nvSpPr>
      <xdr:spPr>
        <a:xfrm>
          <a:off x="371375" y="746350"/>
          <a:ext cx="1296300" cy="400200"/>
        </a:xfrm>
        <a:prstGeom prst="rect">
          <a:avLst/>
        </a:prstGeom>
        <a:solidFill>
          <a:srgbClr val="00FFFF"/>
        </a:soli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Quantidade </a:t>
          </a:r>
          <a:endParaRPr sz="1400" b="1"/>
        </a:p>
      </xdr:txBody>
    </xdr:sp>
    <xdr:clientData fLocksWithSheet="0"/>
  </xdr:oneCellAnchor>
  <xdr:oneCellAnchor>
    <xdr:from>
      <xdr:col>1</xdr:col>
      <xdr:colOff>133350</xdr:colOff>
      <xdr:row>1</xdr:row>
      <xdr:rowOff>28575</xdr:rowOff>
    </xdr:from>
    <xdr:ext cx="3400425" cy="333375"/>
    <xdr:sp macro="" textlink="">
      <xdr:nvSpPr>
        <xdr:cNvPr id="4" name="Shape 4"/>
        <xdr:cNvSpPr/>
      </xdr:nvSpPr>
      <xdr:spPr>
        <a:xfrm>
          <a:off x="557925" y="687425"/>
          <a:ext cx="1590900" cy="353400"/>
        </a:xfrm>
        <a:prstGeom prst="roundRect">
          <a:avLst>
            <a:gd name="adj" fmla="val 16667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Reexibir Tudo</a:t>
          </a:r>
          <a:endParaRPr sz="1600" b="1"/>
        </a:p>
      </xdr:txBody>
    </xdr:sp>
    <xdr:clientData fLocksWithSheet="0"/>
  </xdr:oneCellAnchor>
  <xdr:oneCellAnchor>
    <xdr:from>
      <xdr:col>2</xdr:col>
      <xdr:colOff>209550</xdr:colOff>
      <xdr:row>1</xdr:row>
      <xdr:rowOff>428625</xdr:rowOff>
    </xdr:from>
    <xdr:ext cx="676275" cy="333375"/>
    <xdr:sp macro="" textlink="">
      <xdr:nvSpPr>
        <xdr:cNvPr id="5" name="Shape 5"/>
        <xdr:cNvSpPr/>
      </xdr:nvSpPr>
      <xdr:spPr>
        <a:xfrm>
          <a:off x="665950" y="491050"/>
          <a:ext cx="1139100" cy="392700"/>
        </a:xfrm>
        <a:prstGeom prst="rect">
          <a:avLst/>
        </a:prstGeom>
        <a:gradFill>
          <a:gsLst>
            <a:gs pos="0">
              <a:srgbClr val="FFFFFF"/>
            </a:gs>
            <a:gs pos="100000">
              <a:srgbClr val="B3B3B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/>
            <a:t>Plantoes</a:t>
          </a:r>
          <a:endParaRPr sz="1600" b="1"/>
        </a:p>
      </xdr:txBody>
    </xdr:sp>
    <xdr:clientData fLocksWithSheet="0"/>
  </xdr:oneCellAnchor>
  <xdr:oneCellAnchor>
    <xdr:from>
      <xdr:col>2</xdr:col>
      <xdr:colOff>981075</xdr:colOff>
      <xdr:row>1</xdr:row>
      <xdr:rowOff>428625</xdr:rowOff>
    </xdr:from>
    <xdr:ext cx="438150" cy="333375"/>
    <xdr:sp macro="" textlink="">
      <xdr:nvSpPr>
        <xdr:cNvPr id="6" name="Shape 6"/>
        <xdr:cNvSpPr txBox="1"/>
      </xdr:nvSpPr>
      <xdr:spPr>
        <a:xfrm>
          <a:off x="1441700" y="854375"/>
          <a:ext cx="746400" cy="400200"/>
        </a:xfrm>
        <a:prstGeom prst="rect">
          <a:avLst/>
        </a:prstGeom>
        <a:solidFill>
          <a:srgbClr val="9FC5E8"/>
        </a:soli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C C T</a:t>
          </a:r>
          <a:endParaRPr sz="1400"/>
        </a:p>
      </xdr:txBody>
    </xdr:sp>
    <xdr:clientData fLocksWithSheet="0"/>
  </xdr:oneCellAnchor>
  <xdr:oneCellAnchor>
    <xdr:from>
      <xdr:col>2</xdr:col>
      <xdr:colOff>1485900</xdr:colOff>
      <xdr:row>1</xdr:row>
      <xdr:rowOff>428625</xdr:rowOff>
    </xdr:from>
    <xdr:ext cx="676275" cy="333375"/>
    <xdr:sp macro="" textlink="">
      <xdr:nvSpPr>
        <xdr:cNvPr id="7" name="Shape 7"/>
        <xdr:cNvSpPr/>
      </xdr:nvSpPr>
      <xdr:spPr>
        <a:xfrm>
          <a:off x="2708050" y="966475"/>
          <a:ext cx="956700" cy="439200"/>
        </a:xfrm>
        <a:prstGeom prst="rect">
          <a:avLst/>
        </a:prstGeom>
        <a:solidFill>
          <a:srgbClr val="CFE2F3"/>
        </a:soli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Salário</a:t>
          </a:r>
          <a:endParaRPr sz="1400" b="1">
            <a:highlight>
              <a:srgbClr val="FFF2CC"/>
            </a:highlight>
          </a:endParaRPr>
        </a:p>
      </xdr:txBody>
    </xdr:sp>
    <xdr:clientData fLocksWithSheet="0"/>
  </xdr:oneCellAnchor>
  <xdr:oneCellAnchor>
    <xdr:from>
      <xdr:col>3</xdr:col>
      <xdr:colOff>428625</xdr:colOff>
      <xdr:row>1</xdr:row>
      <xdr:rowOff>428625</xdr:rowOff>
    </xdr:from>
    <xdr:ext cx="762000" cy="333375"/>
    <xdr:sp macro="" textlink="">
      <xdr:nvSpPr>
        <xdr:cNvPr id="8" name="Shape 8"/>
        <xdr:cNvSpPr/>
      </xdr:nvSpPr>
      <xdr:spPr>
        <a:xfrm>
          <a:off x="2161375" y="1151950"/>
          <a:ext cx="1278900" cy="361200"/>
        </a:xfrm>
        <a:prstGeom prst="rect">
          <a:avLst/>
        </a:prstGeom>
        <a:gradFill>
          <a:gsLst>
            <a:gs pos="0">
              <a:srgbClr val="DFE9FB"/>
            </a:gs>
            <a:gs pos="100000">
              <a:srgbClr val="6E9BE7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Ad Função</a:t>
          </a:r>
          <a:endParaRPr sz="1400" b="1"/>
        </a:p>
      </xdr:txBody>
    </xdr:sp>
    <xdr:clientData fLocksWithSheet="0"/>
  </xdr:oneCellAnchor>
  <xdr:oneCellAnchor>
    <xdr:from>
      <xdr:col>2</xdr:col>
      <xdr:colOff>19050</xdr:colOff>
      <xdr:row>2</xdr:row>
      <xdr:rowOff>390525</xdr:rowOff>
    </xdr:from>
    <xdr:ext cx="552450" cy="333375"/>
    <xdr:sp macro="" textlink="">
      <xdr:nvSpPr>
        <xdr:cNvPr id="9" name="Shape 9"/>
        <xdr:cNvSpPr txBox="1"/>
      </xdr:nvSpPr>
      <xdr:spPr>
        <a:xfrm>
          <a:off x="854950" y="1019525"/>
          <a:ext cx="826200" cy="400200"/>
        </a:xfrm>
        <a:prstGeom prst="rect">
          <a:avLst/>
        </a:prstGeom>
        <a:gradFill>
          <a:gsLst>
            <a:gs pos="0">
              <a:srgbClr val="FFC002"/>
            </a:gs>
            <a:gs pos="100000">
              <a:srgbClr val="795B04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rgbClr val="FFFFFF"/>
              </a:solidFill>
            </a:rPr>
            <a:t>He a 50</a:t>
          </a:r>
          <a:endParaRPr sz="14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57150</xdr:colOff>
      <xdr:row>2</xdr:row>
      <xdr:rowOff>390525</xdr:rowOff>
    </xdr:from>
    <xdr:ext cx="628650" cy="333375"/>
    <xdr:sp macro="" textlink="">
      <xdr:nvSpPr>
        <xdr:cNvPr id="10" name="Shape 10"/>
        <xdr:cNvSpPr/>
      </xdr:nvSpPr>
      <xdr:spPr>
        <a:xfrm>
          <a:off x="2337100" y="1376475"/>
          <a:ext cx="1103100" cy="527100"/>
        </a:xfrm>
        <a:prstGeom prst="rect">
          <a:avLst/>
        </a:prstGeom>
        <a:gradFill>
          <a:gsLst>
            <a:gs pos="0">
              <a:srgbClr val="8C8C8C"/>
            </a:gs>
            <a:gs pos="100000">
              <a:srgbClr val="404040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00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% Inslaub.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657225</xdr:colOff>
      <xdr:row>2</xdr:row>
      <xdr:rowOff>390525</xdr:rowOff>
    </xdr:from>
    <xdr:ext cx="676275" cy="333375"/>
    <xdr:sp macro="" textlink="">
      <xdr:nvSpPr>
        <xdr:cNvPr id="11" name="Shape 11"/>
        <xdr:cNvSpPr/>
      </xdr:nvSpPr>
      <xdr:spPr>
        <a:xfrm>
          <a:off x="2571375" y="1542450"/>
          <a:ext cx="1122600" cy="576000"/>
        </a:xfrm>
        <a:prstGeom prst="rect">
          <a:avLst/>
        </a:prstGeom>
        <a:gradFill>
          <a:gsLst>
            <a:gs pos="0">
              <a:srgbClr val="DCECD5"/>
            </a:gs>
            <a:gs pos="100000">
              <a:srgbClr val="93BC81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980000"/>
              </a:solidFill>
            </a:rPr>
            <a:t>He a 100</a:t>
          </a:r>
          <a:endParaRPr sz="1600" b="1">
            <a:solidFill>
              <a:srgbClr val="980000"/>
            </a:solidFill>
          </a:endParaRPr>
        </a:p>
      </xdr:txBody>
    </xdr:sp>
    <xdr:clientData fLocksWithSheet="0"/>
  </xdr:oneCellAnchor>
  <xdr:oneCellAnchor>
    <xdr:from>
      <xdr:col>2</xdr:col>
      <xdr:colOff>1419225</xdr:colOff>
      <xdr:row>2</xdr:row>
      <xdr:rowOff>390525</xdr:rowOff>
    </xdr:from>
    <xdr:ext cx="742950" cy="333375"/>
    <xdr:sp macro="" textlink="">
      <xdr:nvSpPr>
        <xdr:cNvPr id="12" name="Shape 12"/>
        <xdr:cNvSpPr/>
      </xdr:nvSpPr>
      <xdr:spPr>
        <a:xfrm>
          <a:off x="2659250" y="1151950"/>
          <a:ext cx="1093500" cy="624900"/>
        </a:xfrm>
        <a:prstGeom prst="rect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 w="9525" cap="flat" cmpd="sng">
          <a:solidFill>
            <a:srgbClr val="00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</a:rPr>
            <a:t>Dias VT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3</xdr:col>
      <xdr:colOff>447675</xdr:colOff>
      <xdr:row>2</xdr:row>
      <xdr:rowOff>390525</xdr:rowOff>
    </xdr:from>
    <xdr:ext cx="762000" cy="333375"/>
    <xdr:sp macro="" textlink="">
      <xdr:nvSpPr>
        <xdr:cNvPr id="13" name="Shape 13"/>
        <xdr:cNvSpPr/>
      </xdr:nvSpPr>
      <xdr:spPr>
        <a:xfrm>
          <a:off x="1799725" y="590075"/>
          <a:ext cx="1062000" cy="462300"/>
        </a:xfrm>
        <a:prstGeom prst="rect">
          <a:avLst/>
        </a:prstGeom>
        <a:gradFill>
          <a:gsLst>
            <a:gs pos="0">
              <a:srgbClr val="DB0000"/>
            </a:gs>
            <a:gs pos="100000">
              <a:srgbClr val="540303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99999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FFFFFF"/>
              </a:solidFill>
            </a:rPr>
            <a:t>Dias VA</a:t>
          </a:r>
          <a:endParaRPr sz="16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1</xdr:col>
      <xdr:colOff>57150</xdr:colOff>
      <xdr:row>3</xdr:row>
      <xdr:rowOff>295275</xdr:rowOff>
    </xdr:from>
    <xdr:ext cx="762000" cy="295275"/>
    <xdr:sp macro="" textlink="">
      <xdr:nvSpPr>
        <xdr:cNvPr id="14" name="Shape 14"/>
        <xdr:cNvSpPr/>
      </xdr:nvSpPr>
      <xdr:spPr>
        <a:xfrm>
          <a:off x="1278500" y="816275"/>
          <a:ext cx="1258800" cy="531000"/>
        </a:xfrm>
        <a:prstGeom prst="rect">
          <a:avLst/>
        </a:prstGeom>
        <a:gradFill>
          <a:gsLst>
            <a:gs pos="0">
              <a:srgbClr val="DBD4EB"/>
            </a:gs>
            <a:gs pos="100000">
              <a:srgbClr val="9180BB"/>
            </a:gs>
          </a:gsLst>
          <a:path path="circle">
            <a:fillToRect l="50000" t="50000" r="50000" b="50000"/>
          </a:path>
          <a:tileRect/>
        </a:gra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Ad Noturno</a:t>
          </a:r>
          <a:endParaRPr sz="1400" b="1"/>
        </a:p>
      </xdr:txBody>
    </xdr:sp>
    <xdr:clientData fLocksWithSheet="0"/>
  </xdr:oneCellAnchor>
  <xdr:oneCellAnchor>
    <xdr:from>
      <xdr:col>2</xdr:col>
      <xdr:colOff>152400</xdr:colOff>
      <xdr:row>3</xdr:row>
      <xdr:rowOff>295275</xdr:rowOff>
    </xdr:from>
    <xdr:ext cx="1028700" cy="295275"/>
    <xdr:sp macro="" textlink="">
      <xdr:nvSpPr>
        <xdr:cNvPr id="15" name="Shape 15"/>
        <xdr:cNvSpPr txBox="1"/>
      </xdr:nvSpPr>
      <xdr:spPr>
        <a:xfrm>
          <a:off x="1140150" y="931000"/>
          <a:ext cx="1485000" cy="400200"/>
        </a:xfrm>
        <a:prstGeom prst="rect">
          <a:avLst/>
        </a:prstGeom>
        <a:gradFill>
          <a:gsLst>
            <a:gs pos="0">
              <a:srgbClr val="00FFFF"/>
            </a:gs>
            <a:gs pos="100000">
              <a:srgbClr val="737373"/>
            </a:gs>
          </a:gsLst>
          <a:lin ang="5400012" scaled="0"/>
        </a:gradFill>
        <a:ln w="9525" cap="flat" cmpd="sng">
          <a:solidFill>
            <a:srgbClr val="FFFF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/>
            <a:t>Totalizações</a:t>
          </a:r>
          <a:endParaRPr sz="1400" b="1"/>
        </a:p>
      </xdr:txBody>
    </xdr:sp>
    <xdr:clientData fLocksWithSheet="0"/>
  </xdr:oneCellAnchor>
  <xdr:oneCellAnchor>
    <xdr:from>
      <xdr:col>2</xdr:col>
      <xdr:colOff>1333500</xdr:colOff>
      <xdr:row>3</xdr:row>
      <xdr:rowOff>276225</xdr:rowOff>
    </xdr:from>
    <xdr:ext cx="1562100" cy="333375"/>
    <xdr:sp macro="" textlink="">
      <xdr:nvSpPr>
        <xdr:cNvPr id="16" name="Shape 16"/>
        <xdr:cNvSpPr/>
      </xdr:nvSpPr>
      <xdr:spPr>
        <a:xfrm>
          <a:off x="2454225" y="839550"/>
          <a:ext cx="1552200" cy="380700"/>
        </a:xfrm>
        <a:prstGeom prst="rect">
          <a:avLst/>
        </a:prstGeom>
        <a:solidFill>
          <a:srgbClr val="FFF2CC"/>
        </a:solidFill>
        <a:ln w="9525" cap="flat" cmpd="sng">
          <a:solidFill>
            <a:srgbClr val="98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highlight>
                <a:srgbClr val="D9EAD3"/>
              </a:highlight>
            </a:rPr>
            <a:t>Carga Horaria</a:t>
          </a:r>
          <a:endParaRPr sz="1400" b="1">
            <a:highlight>
              <a:srgbClr val="D9EAD3"/>
            </a:highlight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2733675</xdr:colOff>
      <xdr:row>2</xdr:row>
      <xdr:rowOff>76200</xdr:rowOff>
    </xdr:from>
    <xdr:ext cx="590550" cy="695325"/>
    <xdr:sp macro="" textlink="">
      <xdr:nvSpPr>
        <xdr:cNvPr id="18" name="Shape 18"/>
        <xdr:cNvSpPr/>
      </xdr:nvSpPr>
      <xdr:spPr>
        <a:xfrm rot="-5400000">
          <a:off x="5007863" y="3494250"/>
          <a:ext cx="676275" cy="571500"/>
        </a:xfrm>
        <a:prstGeom prst="leftArrow">
          <a:avLst>
            <a:gd name="adj1" fmla="val 50000"/>
            <a:gd name="adj2" fmla="val 50000"/>
          </a:avLst>
        </a:prstGeom>
        <a:solidFill>
          <a:srgbClr val="FF0000"/>
        </a:solidFill>
        <a:ln w="254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542925</xdr:colOff>
      <xdr:row>1</xdr:row>
      <xdr:rowOff>76200</xdr:rowOff>
    </xdr:from>
    <xdr:ext cx="2114550" cy="904875"/>
    <xdr:sp macro="" textlink="">
      <xdr:nvSpPr>
        <xdr:cNvPr id="19" name="Shape 19"/>
        <xdr:cNvSpPr txBox="1"/>
      </xdr:nvSpPr>
      <xdr:spPr>
        <a:xfrm>
          <a:off x="4293488" y="3332325"/>
          <a:ext cx="2105025" cy="8953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B050"/>
            </a:buClr>
            <a:buSzPts val="1200"/>
            <a:buFont typeface="Arial"/>
            <a:buNone/>
          </a:pPr>
          <a:r>
            <a:rPr lang="en-US" sz="1200" b="1">
              <a:solidFill>
                <a:srgbClr val="00B050"/>
              </a:solidFill>
              <a:latin typeface="Arial"/>
              <a:ea typeface="Arial"/>
              <a:cs typeface="Arial"/>
              <a:sym typeface="Arial"/>
            </a:rPr>
            <a:t>O licitante deverá preencher todas as células destacadas na cor verde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85725</xdr:colOff>
      <xdr:row>1</xdr:row>
      <xdr:rowOff>47625</xdr:rowOff>
    </xdr:from>
    <xdr:ext cx="2543175" cy="7810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ualiflex.com.br/produto/protecao-ao-corte-alimenticio/luva-malha-de-aco-punho-curto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3"/>
  <sheetViews>
    <sheetView topLeftCell="A25" workbookViewId="0"/>
  </sheetViews>
  <sheetFormatPr defaultColWidth="14.42578125" defaultRowHeight="15" customHeight="1"/>
  <cols>
    <col min="1" max="1" width="4" customWidth="1"/>
    <col min="2" max="2" width="11.140625" customWidth="1"/>
    <col min="3" max="3" width="21.42578125" customWidth="1"/>
    <col min="4" max="4" width="55.85546875" customWidth="1"/>
    <col min="5" max="5" width="22.28515625" customWidth="1"/>
    <col min="6" max="7" width="12.42578125" customWidth="1"/>
    <col min="8" max="8" width="12.42578125" hidden="1" customWidth="1"/>
    <col min="9" max="9" width="16.140625" hidden="1" customWidth="1"/>
    <col min="10" max="10" width="16" hidden="1" customWidth="1"/>
    <col min="11" max="15" width="13.28515625" hidden="1" customWidth="1"/>
    <col min="16" max="16" width="4.140625" hidden="1" customWidth="1"/>
    <col min="17" max="17" width="68.140625" hidden="1" customWidth="1"/>
    <col min="18" max="18" width="28" hidden="1" customWidth="1"/>
    <col min="19" max="19" width="45.140625" hidden="1" customWidth="1"/>
    <col min="20" max="20" width="12.7109375" hidden="1" customWidth="1"/>
    <col min="21" max="21" width="7.42578125" hidden="1" customWidth="1"/>
    <col min="22" max="22" width="34.7109375" hidden="1" customWidth="1"/>
    <col min="23" max="23" width="8.7109375" hidden="1" customWidth="1"/>
    <col min="24" max="27" width="8.7109375" customWidth="1"/>
  </cols>
  <sheetData>
    <row r="1" spans="1:27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1:27" ht="15.75" customHeight="1">
      <c r="B3" s="3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</row>
    <row r="4" spans="1:27" ht="15.75" customHeight="1">
      <c r="B4" s="1"/>
      <c r="C4" s="4">
        <v>1</v>
      </c>
      <c r="D4" s="4">
        <f t="shared" ref="D4:J4" si="0">C4+1</f>
        <v>2</v>
      </c>
      <c r="E4" s="4">
        <f t="shared" si="0"/>
        <v>3</v>
      </c>
      <c r="F4" s="4">
        <f t="shared" si="0"/>
        <v>4</v>
      </c>
      <c r="G4" s="4">
        <f t="shared" si="0"/>
        <v>5</v>
      </c>
      <c r="H4" s="4">
        <f t="shared" si="0"/>
        <v>6</v>
      </c>
      <c r="I4" s="4">
        <f t="shared" si="0"/>
        <v>7</v>
      </c>
      <c r="J4" s="4">
        <f t="shared" si="0"/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5"/>
      <c r="Q4" s="5"/>
    </row>
    <row r="5" spans="1:27" ht="59.25" customHeight="1">
      <c r="A5" s="6"/>
      <c r="B5" s="7" t="s">
        <v>1</v>
      </c>
      <c r="C5" s="8" t="s">
        <v>2</v>
      </c>
      <c r="D5" s="9" t="s">
        <v>3</v>
      </c>
      <c r="E5" s="7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10"/>
      <c r="Q5" s="11" t="s">
        <v>15</v>
      </c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49.5" customHeight="1">
      <c r="A6" s="12"/>
      <c r="B6" s="13"/>
      <c r="C6" s="14" t="s">
        <v>16</v>
      </c>
      <c r="D6" s="15" t="s">
        <v>17</v>
      </c>
      <c r="E6" s="16" t="s">
        <v>18</v>
      </c>
      <c r="F6" s="17">
        <v>0</v>
      </c>
      <c r="G6" s="17">
        <v>0</v>
      </c>
      <c r="H6" s="18">
        <v>0</v>
      </c>
      <c r="I6" s="19">
        <v>0.06</v>
      </c>
      <c r="J6" s="20">
        <v>2019</v>
      </c>
      <c r="K6" s="17">
        <v>0</v>
      </c>
      <c r="L6" s="17"/>
      <c r="M6" s="17"/>
      <c r="N6" s="17"/>
      <c r="O6" s="17"/>
      <c r="P6" s="21"/>
      <c r="Q6" s="22" t="s">
        <v>19</v>
      </c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49.5" customHeight="1">
      <c r="A7" s="12"/>
      <c r="B7" s="13"/>
      <c r="C7" s="14" t="s">
        <v>20</v>
      </c>
      <c r="D7" s="15" t="s">
        <v>21</v>
      </c>
      <c r="E7" s="23" t="s">
        <v>22</v>
      </c>
      <c r="F7" s="17">
        <v>0</v>
      </c>
      <c r="G7" s="17">
        <v>0</v>
      </c>
      <c r="H7" s="18">
        <v>0</v>
      </c>
      <c r="I7" s="19">
        <v>0.06</v>
      </c>
      <c r="J7" s="20">
        <v>2019</v>
      </c>
      <c r="K7" s="17">
        <v>0</v>
      </c>
      <c r="L7" s="17"/>
      <c r="M7" s="17"/>
      <c r="N7" s="17"/>
      <c r="O7" s="17"/>
      <c r="P7" s="21"/>
      <c r="Q7" s="22" t="s">
        <v>23</v>
      </c>
      <c r="R7" s="12"/>
      <c r="S7" s="24"/>
      <c r="T7" s="12"/>
      <c r="U7" s="12"/>
      <c r="V7" s="25"/>
      <c r="W7" s="12"/>
      <c r="X7" s="12"/>
      <c r="Y7" s="12"/>
      <c r="Z7" s="12"/>
      <c r="AA7" s="12"/>
    </row>
    <row r="8" spans="1:27" ht="49.5" customHeight="1">
      <c r="A8" s="12"/>
      <c r="B8" s="13"/>
      <c r="C8" s="14" t="s">
        <v>24</v>
      </c>
      <c r="D8" s="15" t="s">
        <v>25</v>
      </c>
      <c r="E8" s="23" t="s">
        <v>22</v>
      </c>
      <c r="F8" s="17">
        <v>0</v>
      </c>
      <c r="G8" s="17">
        <v>0</v>
      </c>
      <c r="H8" s="18">
        <v>0</v>
      </c>
      <c r="I8" s="19">
        <v>0.06</v>
      </c>
      <c r="J8" s="20">
        <v>2019</v>
      </c>
      <c r="K8" s="17">
        <v>0</v>
      </c>
      <c r="L8" s="17"/>
      <c r="M8" s="17"/>
      <c r="N8" s="17"/>
      <c r="O8" s="17"/>
      <c r="P8" s="21"/>
      <c r="Q8" s="22" t="s">
        <v>26</v>
      </c>
      <c r="R8" s="12"/>
      <c r="S8" s="24"/>
      <c r="T8" s="12"/>
      <c r="U8" s="12"/>
      <c r="V8" s="25"/>
      <c r="W8" s="12"/>
      <c r="X8" s="12"/>
      <c r="Y8" s="12"/>
      <c r="Z8" s="12"/>
      <c r="AA8" s="12"/>
    </row>
    <row r="9" spans="1:27" ht="49.5" customHeight="1">
      <c r="A9" s="12"/>
      <c r="B9" s="13"/>
      <c r="C9" s="26" t="s">
        <v>27</v>
      </c>
      <c r="D9" s="15" t="s">
        <v>28</v>
      </c>
      <c r="E9" s="16" t="s">
        <v>29</v>
      </c>
      <c r="F9" s="17">
        <v>20.18</v>
      </c>
      <c r="G9" s="27">
        <v>10.09</v>
      </c>
      <c r="H9" s="18">
        <v>0.19</v>
      </c>
      <c r="I9" s="18">
        <v>0.06</v>
      </c>
      <c r="J9" s="28">
        <v>2022</v>
      </c>
      <c r="K9" s="17">
        <v>17.32</v>
      </c>
      <c r="L9" s="17"/>
      <c r="M9" s="17"/>
      <c r="N9" s="17"/>
      <c r="O9" s="17"/>
      <c r="P9" s="29"/>
      <c r="Q9" s="22" t="s">
        <v>30</v>
      </c>
      <c r="R9" s="12"/>
      <c r="S9" s="24"/>
      <c r="T9" s="12"/>
      <c r="U9" s="12" t="s">
        <v>31</v>
      </c>
      <c r="V9" s="30" t="s">
        <v>32</v>
      </c>
      <c r="W9" s="12"/>
      <c r="X9" s="12"/>
      <c r="Y9" s="12"/>
      <c r="Z9" s="12"/>
      <c r="AA9" s="12"/>
    </row>
    <row r="10" spans="1:27" ht="49.5" customHeight="1">
      <c r="A10" s="12"/>
      <c r="B10" s="13"/>
      <c r="C10" s="26" t="s">
        <v>33</v>
      </c>
      <c r="D10" s="15" t="s">
        <v>34</v>
      </c>
      <c r="E10" s="16" t="s">
        <v>35</v>
      </c>
      <c r="F10" s="17">
        <v>264.60000000000002</v>
      </c>
      <c r="G10" s="17">
        <v>0</v>
      </c>
      <c r="H10" s="18">
        <v>0.2</v>
      </c>
      <c r="I10" s="18">
        <v>0.03</v>
      </c>
      <c r="J10" s="20"/>
      <c r="K10" s="17">
        <v>0</v>
      </c>
      <c r="L10" s="17"/>
      <c r="M10" s="17"/>
      <c r="N10" s="17"/>
      <c r="O10" s="17"/>
      <c r="P10" s="29"/>
      <c r="Q10" s="22" t="s">
        <v>36</v>
      </c>
      <c r="R10" s="12"/>
      <c r="S10" s="24"/>
      <c r="T10" s="12"/>
      <c r="U10" s="12" t="s">
        <v>37</v>
      </c>
      <c r="V10" s="31" t="s">
        <v>38</v>
      </c>
      <c r="W10" s="12"/>
      <c r="X10" s="12"/>
      <c r="Y10" s="12"/>
      <c r="Z10" s="12"/>
      <c r="AA10" s="12"/>
    </row>
    <row r="11" spans="1:27" ht="49.5" customHeight="1">
      <c r="A11" s="12"/>
      <c r="B11" s="13"/>
      <c r="C11" s="26" t="s">
        <v>39</v>
      </c>
      <c r="D11" s="32" t="s">
        <v>40</v>
      </c>
      <c r="E11" s="16" t="s">
        <v>18</v>
      </c>
      <c r="F11" s="17">
        <v>21.5</v>
      </c>
      <c r="G11" s="17">
        <v>0</v>
      </c>
      <c r="H11" s="18">
        <v>0.2</v>
      </c>
      <c r="I11" s="18">
        <v>0.06</v>
      </c>
      <c r="J11" s="20"/>
      <c r="K11" s="17">
        <v>0</v>
      </c>
      <c r="L11" s="17">
        <v>10.97</v>
      </c>
      <c r="M11" s="17">
        <v>0.6</v>
      </c>
      <c r="N11" s="17"/>
      <c r="O11" s="17"/>
      <c r="P11" s="29"/>
      <c r="Q11" s="22" t="s">
        <v>41</v>
      </c>
      <c r="R11" s="12"/>
      <c r="S11" s="24"/>
      <c r="T11" s="12"/>
      <c r="U11" s="12" t="s">
        <v>42</v>
      </c>
      <c r="V11" s="30" t="s">
        <v>43</v>
      </c>
      <c r="W11" s="12"/>
      <c r="X11" s="12"/>
      <c r="Y11" s="12"/>
      <c r="Z11" s="12"/>
      <c r="AA11" s="12"/>
    </row>
    <row r="12" spans="1:27" ht="49.5" customHeight="1">
      <c r="A12" s="12"/>
      <c r="B12" s="13"/>
      <c r="C12" s="26" t="s">
        <v>44</v>
      </c>
      <c r="D12" s="32" t="s">
        <v>45</v>
      </c>
      <c r="E12" s="16" t="s">
        <v>46</v>
      </c>
      <c r="F12" s="33">
        <v>13.9</v>
      </c>
      <c r="G12" s="17">
        <v>0</v>
      </c>
      <c r="H12" s="18">
        <v>0.2</v>
      </c>
      <c r="I12" s="18">
        <v>0.06</v>
      </c>
      <c r="J12" s="20"/>
      <c r="K12" s="17">
        <v>0</v>
      </c>
      <c r="L12" s="17"/>
      <c r="M12" s="17"/>
      <c r="N12" s="17"/>
      <c r="O12" s="17"/>
      <c r="P12" s="29"/>
      <c r="Q12" s="22" t="s">
        <v>47</v>
      </c>
      <c r="R12" s="12"/>
      <c r="S12" s="24"/>
      <c r="T12" s="12"/>
      <c r="U12" s="12" t="s">
        <v>48</v>
      </c>
      <c r="V12" s="30" t="s">
        <v>49</v>
      </c>
      <c r="W12" s="12"/>
      <c r="X12" s="12"/>
      <c r="Y12" s="12"/>
      <c r="Z12" s="12"/>
      <c r="AA12" s="12"/>
    </row>
    <row r="13" spans="1:27" ht="49.5" customHeight="1">
      <c r="A13" s="12"/>
      <c r="B13" s="13"/>
      <c r="C13" s="26" t="s">
        <v>50</v>
      </c>
      <c r="D13" s="32" t="s">
        <v>51</v>
      </c>
      <c r="E13" s="16" t="s">
        <v>35</v>
      </c>
      <c r="F13" s="17">
        <v>0</v>
      </c>
      <c r="G13" s="17">
        <v>0</v>
      </c>
      <c r="H13" s="18">
        <v>0</v>
      </c>
      <c r="I13" s="18">
        <v>0.06</v>
      </c>
      <c r="J13" s="20"/>
      <c r="K13" s="17">
        <v>0</v>
      </c>
      <c r="L13" s="17"/>
      <c r="M13" s="17"/>
      <c r="N13" s="17"/>
      <c r="O13" s="17"/>
      <c r="P13" s="34"/>
      <c r="Q13" s="22" t="s">
        <v>52</v>
      </c>
      <c r="R13" s="12"/>
      <c r="S13" s="24"/>
      <c r="T13" s="12"/>
      <c r="U13" s="12" t="s">
        <v>53</v>
      </c>
      <c r="V13" s="30" t="s">
        <v>54</v>
      </c>
      <c r="W13" s="12"/>
      <c r="X13" s="12"/>
      <c r="Y13" s="12"/>
      <c r="Z13" s="12"/>
      <c r="AA13" s="12"/>
    </row>
    <row r="14" spans="1:27" ht="49.5" customHeight="1">
      <c r="A14" s="12"/>
      <c r="B14" s="13"/>
      <c r="C14" s="26" t="s">
        <v>55</v>
      </c>
      <c r="D14" s="32" t="s">
        <v>56</v>
      </c>
      <c r="E14" s="16" t="s">
        <v>57</v>
      </c>
      <c r="F14" s="17">
        <v>0</v>
      </c>
      <c r="G14" s="17">
        <v>0</v>
      </c>
      <c r="H14" s="17">
        <v>0</v>
      </c>
      <c r="I14" s="18">
        <v>0.06</v>
      </c>
      <c r="J14" s="20">
        <v>2022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34"/>
      <c r="Q14" s="22" t="s">
        <v>58</v>
      </c>
      <c r="R14" s="12"/>
      <c r="S14" s="12"/>
      <c r="T14" s="12"/>
      <c r="U14" s="12" t="s">
        <v>59</v>
      </c>
      <c r="V14" s="30" t="s">
        <v>60</v>
      </c>
      <c r="W14" s="12"/>
      <c r="X14" s="12"/>
      <c r="Y14" s="12"/>
      <c r="Z14" s="12"/>
      <c r="AA14" s="12"/>
    </row>
    <row r="15" spans="1:27" ht="49.5" customHeight="1">
      <c r="A15" s="12"/>
      <c r="B15" s="13"/>
      <c r="C15" s="14" t="s">
        <v>61</v>
      </c>
      <c r="D15" s="32" t="s">
        <v>62</v>
      </c>
      <c r="E15" s="16" t="s">
        <v>46</v>
      </c>
      <c r="F15" s="35">
        <v>15.53</v>
      </c>
      <c r="G15" s="17">
        <v>0</v>
      </c>
      <c r="H15" s="18">
        <v>0.2</v>
      </c>
      <c r="I15" s="18">
        <v>0.06</v>
      </c>
      <c r="J15" s="28">
        <v>2022</v>
      </c>
      <c r="K15" s="17">
        <v>0</v>
      </c>
      <c r="L15" s="17"/>
      <c r="M15" s="17"/>
      <c r="N15" s="17"/>
      <c r="O15" s="17"/>
      <c r="P15" s="34"/>
      <c r="Q15" s="22" t="s">
        <v>63</v>
      </c>
      <c r="R15" s="12"/>
      <c r="S15" s="12"/>
      <c r="T15" s="12"/>
      <c r="U15" s="12" t="s">
        <v>64</v>
      </c>
      <c r="V15" s="30" t="s">
        <v>65</v>
      </c>
      <c r="W15" s="12"/>
      <c r="X15" s="12"/>
      <c r="Y15" s="12"/>
      <c r="Z15" s="12"/>
      <c r="AA15" s="12"/>
    </row>
    <row r="16" spans="1:27" ht="49.5" customHeight="1">
      <c r="A16" s="12"/>
      <c r="B16" s="13"/>
      <c r="C16" s="36" t="s">
        <v>66</v>
      </c>
      <c r="D16" s="37" t="s">
        <v>67</v>
      </c>
      <c r="E16" s="38" t="s">
        <v>18</v>
      </c>
      <c r="F16" s="39">
        <v>23.93</v>
      </c>
      <c r="G16" s="39">
        <v>0</v>
      </c>
      <c r="H16" s="19">
        <v>0.2</v>
      </c>
      <c r="I16" s="19">
        <v>0.06</v>
      </c>
      <c r="J16" s="40">
        <v>2022</v>
      </c>
      <c r="K16" s="41"/>
      <c r="L16" s="39" t="s">
        <v>68</v>
      </c>
      <c r="M16" s="39" t="s">
        <v>68</v>
      </c>
      <c r="N16" s="42"/>
      <c r="O16" s="42"/>
      <c r="P16" s="34"/>
      <c r="Q16" s="22" t="s">
        <v>69</v>
      </c>
      <c r="R16" s="12"/>
      <c r="S16" s="12"/>
      <c r="T16" s="12"/>
      <c r="U16" s="12" t="s">
        <v>70</v>
      </c>
      <c r="V16" s="30" t="s">
        <v>71</v>
      </c>
      <c r="W16" s="12"/>
      <c r="X16" s="12"/>
      <c r="Y16" s="12"/>
      <c r="Z16" s="12"/>
      <c r="AA16" s="12"/>
    </row>
    <row r="17" spans="1:27" ht="49.5" customHeight="1">
      <c r="A17" s="12"/>
      <c r="B17" s="13"/>
      <c r="C17" s="36" t="s">
        <v>72</v>
      </c>
      <c r="D17" s="37" t="s">
        <v>73</v>
      </c>
      <c r="E17" s="38" t="s">
        <v>18</v>
      </c>
      <c r="F17" s="39">
        <v>23.93</v>
      </c>
      <c r="G17" s="39">
        <v>0</v>
      </c>
      <c r="H17" s="19">
        <v>0.2</v>
      </c>
      <c r="I17" s="19">
        <v>0.06</v>
      </c>
      <c r="J17" s="40">
        <v>2022</v>
      </c>
      <c r="K17" s="41"/>
      <c r="L17" s="39" t="s">
        <v>68</v>
      </c>
      <c r="M17" s="39" t="s">
        <v>68</v>
      </c>
      <c r="N17" s="42"/>
      <c r="O17" s="42"/>
      <c r="P17" s="34"/>
      <c r="Q17" s="22" t="s">
        <v>74</v>
      </c>
      <c r="R17" s="12"/>
      <c r="S17" s="12"/>
      <c r="T17" s="12"/>
      <c r="U17" s="12" t="s">
        <v>75</v>
      </c>
      <c r="V17" s="30" t="s">
        <v>76</v>
      </c>
      <c r="W17" s="12"/>
      <c r="X17" s="12"/>
      <c r="Y17" s="12"/>
      <c r="Z17" s="12"/>
      <c r="AA17" s="12"/>
    </row>
    <row r="18" spans="1:27" ht="49.5" customHeight="1">
      <c r="A18" s="12"/>
      <c r="B18" s="13"/>
      <c r="C18" s="36" t="s">
        <v>77</v>
      </c>
      <c r="D18" s="37" t="s">
        <v>78</v>
      </c>
      <c r="E18" s="38" t="s">
        <v>18</v>
      </c>
      <c r="F18" s="39">
        <v>23.93</v>
      </c>
      <c r="G18" s="39">
        <v>0</v>
      </c>
      <c r="H18" s="19">
        <v>0.2</v>
      </c>
      <c r="I18" s="19">
        <v>0.06</v>
      </c>
      <c r="J18" s="40">
        <v>2022</v>
      </c>
      <c r="K18" s="41"/>
      <c r="L18" s="39" t="s">
        <v>68</v>
      </c>
      <c r="M18" s="39" t="s">
        <v>68</v>
      </c>
      <c r="N18" s="42"/>
      <c r="O18" s="20"/>
      <c r="P18" s="34"/>
      <c r="Q18" s="22" t="s">
        <v>79</v>
      </c>
      <c r="R18" s="12"/>
      <c r="S18" s="12"/>
      <c r="T18" s="12"/>
      <c r="U18" s="12" t="s">
        <v>80</v>
      </c>
      <c r="V18" s="30" t="s">
        <v>81</v>
      </c>
      <c r="W18" s="12"/>
      <c r="X18" s="12"/>
      <c r="Y18" s="12"/>
      <c r="Z18" s="12"/>
      <c r="AA18" s="12"/>
    </row>
    <row r="19" spans="1:27" ht="49.5" customHeight="1">
      <c r="A19" s="12"/>
      <c r="B19" s="13"/>
      <c r="C19" s="43" t="s">
        <v>82</v>
      </c>
      <c r="D19" s="44" t="s">
        <v>83</v>
      </c>
      <c r="E19" s="43" t="s">
        <v>18</v>
      </c>
      <c r="F19" s="45">
        <v>20.18</v>
      </c>
      <c r="G19" s="46">
        <v>0</v>
      </c>
      <c r="H19" s="47">
        <v>0.19</v>
      </c>
      <c r="I19" s="48">
        <v>0.06</v>
      </c>
      <c r="J19" s="49">
        <v>2021</v>
      </c>
      <c r="K19" s="50"/>
      <c r="L19" s="50"/>
      <c r="M19" s="50"/>
      <c r="N19" s="20"/>
      <c r="O19" s="20"/>
      <c r="P19" s="34"/>
      <c r="Q19" s="22" t="s">
        <v>84</v>
      </c>
      <c r="R19" s="12"/>
      <c r="S19" s="12"/>
      <c r="T19" s="12"/>
      <c r="U19" s="12" t="s">
        <v>85</v>
      </c>
      <c r="V19" s="30" t="s">
        <v>86</v>
      </c>
      <c r="W19" s="12"/>
      <c r="X19" s="12"/>
      <c r="Y19" s="12"/>
      <c r="Z19" s="12"/>
      <c r="AA19" s="12"/>
    </row>
    <row r="20" spans="1:27" ht="49.5" customHeight="1">
      <c r="A20" s="12"/>
      <c r="B20" s="13"/>
      <c r="C20" s="43" t="s">
        <v>87</v>
      </c>
      <c r="D20" s="44" t="s">
        <v>88</v>
      </c>
      <c r="E20" s="43" t="s">
        <v>89</v>
      </c>
      <c r="F20" s="45">
        <v>20.18</v>
      </c>
      <c r="G20" s="46">
        <v>0</v>
      </c>
      <c r="H20" s="47">
        <v>0.19</v>
      </c>
      <c r="I20" s="51">
        <v>0.06</v>
      </c>
      <c r="J20" s="49">
        <v>2022</v>
      </c>
      <c r="K20" s="50"/>
      <c r="L20" s="50"/>
      <c r="M20" s="50"/>
      <c r="N20" s="20"/>
      <c r="O20" s="20"/>
      <c r="P20" s="34"/>
      <c r="Q20" s="22" t="s">
        <v>90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49.5" customHeight="1">
      <c r="A21" s="12"/>
      <c r="B21" s="13"/>
      <c r="C21" s="43" t="s">
        <v>91</v>
      </c>
      <c r="D21" s="44" t="s">
        <v>92</v>
      </c>
      <c r="E21" s="43" t="s">
        <v>89</v>
      </c>
      <c r="F21" s="45">
        <v>20.18</v>
      </c>
      <c r="G21" s="46"/>
      <c r="H21" s="47">
        <v>0.19</v>
      </c>
      <c r="I21" s="48"/>
      <c r="J21" s="49"/>
      <c r="K21" s="50"/>
      <c r="L21" s="50"/>
      <c r="M21" s="50"/>
      <c r="N21" s="20"/>
      <c r="O21" s="20"/>
      <c r="P21" s="34"/>
      <c r="Q21" s="22" t="s">
        <v>93</v>
      </c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34.5">
      <c r="A22" s="12"/>
      <c r="B22" s="13"/>
      <c r="C22" s="43" t="s">
        <v>94</v>
      </c>
      <c r="D22" s="44" t="s">
        <v>95</v>
      </c>
      <c r="E22" s="43" t="s">
        <v>89</v>
      </c>
      <c r="F22" s="45">
        <v>20.18</v>
      </c>
      <c r="G22" s="46"/>
      <c r="H22" s="47">
        <v>0.19</v>
      </c>
      <c r="I22" s="48"/>
      <c r="J22" s="49"/>
      <c r="K22" s="50"/>
      <c r="L22" s="50"/>
      <c r="M22" s="50"/>
      <c r="N22" s="20"/>
      <c r="O22" s="20"/>
      <c r="P22" s="34"/>
      <c r="Q22" s="22" t="s">
        <v>96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34.5">
      <c r="A23" s="12"/>
      <c r="B23" s="13"/>
      <c r="C23" s="43" t="s">
        <v>97</v>
      </c>
      <c r="D23" s="44" t="s">
        <v>98</v>
      </c>
      <c r="E23" s="43" t="s">
        <v>89</v>
      </c>
      <c r="F23" s="45">
        <v>20.18</v>
      </c>
      <c r="G23" s="17"/>
      <c r="H23" s="47">
        <v>0.19</v>
      </c>
      <c r="I23" s="17"/>
      <c r="J23" s="17"/>
      <c r="K23" s="17"/>
      <c r="L23" s="17"/>
      <c r="M23" s="17"/>
      <c r="N23" s="17"/>
      <c r="O23" s="17"/>
      <c r="P23" s="34"/>
      <c r="Q23" s="22" t="s">
        <v>99</v>
      </c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69">
      <c r="A24" s="12"/>
      <c r="B24" s="13"/>
      <c r="C24" s="43" t="s">
        <v>100</v>
      </c>
      <c r="D24" s="44" t="s">
        <v>101</v>
      </c>
      <c r="E24" s="43" t="s">
        <v>18</v>
      </c>
      <c r="F24" s="45">
        <v>20.18</v>
      </c>
      <c r="G24" s="17"/>
      <c r="H24" s="47">
        <v>0.19</v>
      </c>
      <c r="I24" s="17"/>
      <c r="J24" s="17"/>
      <c r="K24" s="17"/>
      <c r="L24" s="17"/>
      <c r="M24" s="17"/>
      <c r="N24" s="17"/>
      <c r="O24" s="17"/>
      <c r="P24" s="34"/>
      <c r="Q24" s="22" t="s">
        <v>102</v>
      </c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49.5" customHeight="1">
      <c r="A25" s="12"/>
      <c r="B25" s="13"/>
      <c r="C25" s="52" t="s">
        <v>103</v>
      </c>
      <c r="D25" s="52" t="s">
        <v>104</v>
      </c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34"/>
      <c r="Q25" s="22" t="s">
        <v>105</v>
      </c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49.5" customHeight="1">
      <c r="A26" s="12"/>
      <c r="B26" s="13"/>
      <c r="C26" s="52" t="s">
        <v>106</v>
      </c>
      <c r="D26" s="52" t="s">
        <v>107</v>
      </c>
      <c r="E26" s="13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4"/>
      <c r="Q26" s="22" t="s">
        <v>108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49.5" customHeight="1">
      <c r="A27" s="12"/>
      <c r="B27" s="13"/>
      <c r="C27" s="52" t="s">
        <v>97</v>
      </c>
      <c r="D27" s="52" t="s">
        <v>109</v>
      </c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34"/>
      <c r="Q27" s="22" t="s">
        <v>110</v>
      </c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49.5" customHeight="1">
      <c r="A28" s="12"/>
      <c r="B28" s="13"/>
      <c r="C28" s="52" t="s">
        <v>111</v>
      </c>
      <c r="D28" s="52" t="s">
        <v>112</v>
      </c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34"/>
      <c r="Q28" s="22" t="s">
        <v>113</v>
      </c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49.5" customHeight="1">
      <c r="A29" s="12"/>
      <c r="B29" s="13"/>
      <c r="C29" s="52" t="s">
        <v>94</v>
      </c>
      <c r="D29" s="52" t="s">
        <v>114</v>
      </c>
      <c r="E29" s="13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34"/>
      <c r="Q29" s="22" t="s">
        <v>115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49.5" customHeight="1">
      <c r="A30" s="12"/>
      <c r="B30" s="13"/>
      <c r="C30" s="13"/>
      <c r="D30" s="13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34"/>
      <c r="Q30" s="22" t="s">
        <v>116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49.5" customHeight="1">
      <c r="A31" s="12"/>
      <c r="B31" s="13"/>
      <c r="C31" s="13"/>
      <c r="D31" s="13"/>
      <c r="E31" s="1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34"/>
      <c r="Q31" s="22" t="s">
        <v>117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49.5" customHeight="1">
      <c r="A32" s="12"/>
      <c r="B32" s="13"/>
      <c r="C32" s="13"/>
      <c r="D32" s="13"/>
      <c r="E32" s="13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34"/>
      <c r="Q32" s="22" t="s">
        <v>118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49.5" customHeight="1">
      <c r="A33" s="12"/>
      <c r="B33" s="13"/>
      <c r="C33" s="13"/>
      <c r="D33" s="13"/>
      <c r="E33" s="1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34"/>
      <c r="Q33" s="22" t="s">
        <v>119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49.5" customHeight="1">
      <c r="A34" s="12"/>
      <c r="B34" s="13"/>
      <c r="C34" s="13"/>
      <c r="D34" s="13"/>
      <c r="E34" s="1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34"/>
      <c r="Q34" s="22" t="s">
        <v>120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49.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29"/>
      <c r="Q35" s="53" t="s">
        <v>121</v>
      </c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49.5" customHeigh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29"/>
      <c r="Q36" s="53" t="s">
        <v>122</v>
      </c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49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54"/>
      <c r="Q37" s="53" t="s">
        <v>123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49.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54"/>
      <c r="Q38" s="53" t="s">
        <v>124</v>
      </c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49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54"/>
      <c r="Q39" s="53" t="s">
        <v>125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49.5" customHeight="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54"/>
      <c r="Q40" s="53" t="s">
        <v>126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49.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54"/>
      <c r="Q41" s="53" t="s">
        <v>127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49.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54"/>
      <c r="Q42" s="53" t="s">
        <v>128</v>
      </c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49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54"/>
      <c r="Q43" s="53" t="s">
        <v>129</v>
      </c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49.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54"/>
      <c r="Q44" s="53" t="s">
        <v>130</v>
      </c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49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54"/>
      <c r="Q45" s="53" t="s">
        <v>131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49.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54"/>
      <c r="Q46" s="53" t="s">
        <v>132</v>
      </c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49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54"/>
      <c r="Q47" s="53" t="s">
        <v>133</v>
      </c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49.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54"/>
      <c r="Q48" s="53" t="s">
        <v>134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49.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54"/>
      <c r="Q49" s="53" t="s">
        <v>135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49.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55"/>
      <c r="Q50" s="2"/>
    </row>
    <row r="51" spans="1:27" ht="49.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2"/>
    </row>
    <row r="52" spans="1:27" ht="49.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2"/>
    </row>
    <row r="53" spans="1:27" ht="49.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2"/>
    </row>
    <row r="54" spans="1:27" ht="49.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2"/>
    </row>
    <row r="55" spans="1:27" ht="49.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2"/>
    </row>
    <row r="56" spans="1:27" ht="49.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2"/>
    </row>
    <row r="57" spans="1:27" ht="49.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2"/>
    </row>
    <row r="58" spans="1:27" ht="49.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2"/>
    </row>
    <row r="59" spans="1:27" ht="49.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2"/>
    </row>
    <row r="60" spans="1:27" ht="49.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2"/>
    </row>
    <row r="61" spans="1:27" ht="49.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2"/>
    </row>
    <row r="62" spans="1:27" ht="49.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2"/>
    </row>
    <row r="63" spans="1:27" ht="49.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2"/>
    </row>
    <row r="64" spans="1:27" ht="25.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2"/>
    </row>
    <row r="65" spans="2:17" ht="25.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2"/>
    </row>
    <row r="66" spans="2:17" ht="25.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2"/>
    </row>
    <row r="67" spans="2:17" ht="25.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2"/>
    </row>
    <row r="68" spans="2:17" ht="25.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2"/>
    </row>
    <row r="69" spans="2:17" ht="25.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2"/>
    </row>
    <row r="70" spans="2:17" ht="25.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2"/>
    </row>
    <row r="71" spans="2:17" ht="25.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2"/>
    </row>
    <row r="72" spans="2:17" ht="25.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2"/>
    </row>
    <row r="73" spans="2:17" ht="25.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2"/>
    </row>
    <row r="74" spans="2:17" ht="25.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2"/>
    </row>
    <row r="75" spans="2:17" ht="25.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2"/>
    </row>
    <row r="76" spans="2:17" ht="25.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2"/>
    </row>
    <row r="77" spans="2:17" ht="25.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2"/>
    </row>
    <row r="78" spans="2:17" ht="25.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2"/>
    </row>
    <row r="79" spans="2:17" ht="25.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2"/>
    </row>
    <row r="80" spans="2:17" ht="25.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2"/>
    </row>
    <row r="81" spans="2:17" ht="25.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2"/>
    </row>
    <row r="82" spans="2:17" ht="25.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2"/>
    </row>
    <row r="83" spans="2:17" ht="25.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2"/>
    </row>
    <row r="84" spans="2:17" ht="25.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2"/>
    </row>
    <row r="85" spans="2:17" ht="25.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</row>
    <row r="86" spans="2:17" ht="25.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2"/>
    </row>
    <row r="87" spans="2:17" ht="25.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2"/>
    </row>
    <row r="88" spans="2:17" ht="25.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2"/>
    </row>
    <row r="89" spans="2:17" ht="25.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2"/>
    </row>
    <row r="90" spans="2:17" ht="25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2"/>
    </row>
    <row r="91" spans="2:17" ht="25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2"/>
    </row>
    <row r="92" spans="2:17" ht="25.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2"/>
    </row>
    <row r="93" spans="2:17" ht="25.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2"/>
    </row>
    <row r="94" spans="2:17" ht="25.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2"/>
    </row>
    <row r="95" spans="2:17" ht="25.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2"/>
    </row>
    <row r="96" spans="2:17" ht="25.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2"/>
    </row>
    <row r="97" spans="2:17" ht="25.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2"/>
    </row>
    <row r="98" spans="2:17" ht="25.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2"/>
    </row>
    <row r="99" spans="2:17" ht="25.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2"/>
    </row>
    <row r="100" spans="2:17" ht="25.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2"/>
    </row>
    <row r="101" spans="2:17" ht="25.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2"/>
    </row>
    <row r="102" spans="2:17" ht="25.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2"/>
    </row>
    <row r="103" spans="2:17" ht="25.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2"/>
    </row>
    <row r="104" spans="2:17" ht="25.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2"/>
    </row>
    <row r="105" spans="2:17" ht="25.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2"/>
    </row>
    <row r="106" spans="2:17" ht="25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2"/>
    </row>
    <row r="107" spans="2:17" ht="25.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2"/>
    </row>
    <row r="108" spans="2:17" ht="25.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2"/>
    </row>
    <row r="109" spans="2:17" ht="25.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2"/>
    </row>
    <row r="110" spans="2:17" ht="25.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2"/>
    </row>
    <row r="111" spans="2:17" ht="25.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2"/>
    </row>
    <row r="112" spans="2:17" ht="25.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2"/>
    </row>
    <row r="113" spans="2:17" ht="25.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2"/>
    </row>
    <row r="114" spans="2:17" ht="25.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2"/>
    </row>
    <row r="115" spans="2:17" ht="25.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2"/>
    </row>
    <row r="116" spans="2:17" ht="25.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2"/>
    </row>
    <row r="117" spans="2:17" ht="25.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2"/>
    </row>
    <row r="118" spans="2:17" ht="25.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2"/>
    </row>
    <row r="119" spans="2:17" ht="25.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2"/>
    </row>
    <row r="120" spans="2:17" ht="25.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2"/>
    </row>
    <row r="121" spans="2:17" ht="25.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2"/>
    </row>
    <row r="122" spans="2:17" ht="25.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2"/>
    </row>
    <row r="123" spans="2:17" ht="25.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2"/>
    </row>
    <row r="124" spans="2:17" ht="25.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2"/>
    </row>
    <row r="125" spans="2:17" ht="25.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2"/>
    </row>
    <row r="126" spans="2:17" ht="25.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2"/>
    </row>
    <row r="127" spans="2:17" ht="25.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2"/>
    </row>
    <row r="128" spans="2:17" ht="25.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2"/>
    </row>
    <row r="129" spans="2:17" ht="25.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2"/>
    </row>
    <row r="130" spans="2:17" ht="25.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2"/>
    </row>
    <row r="131" spans="2:17" ht="25.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2"/>
    </row>
    <row r="132" spans="2:17" ht="25.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2"/>
    </row>
    <row r="133" spans="2:17" ht="25.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2"/>
    </row>
    <row r="134" spans="2:17" ht="25.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2"/>
    </row>
    <row r="135" spans="2:17" ht="25.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2"/>
    </row>
    <row r="136" spans="2:17" ht="25.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2"/>
    </row>
    <row r="137" spans="2:17" ht="25.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2"/>
    </row>
    <row r="138" spans="2:17" ht="25.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2"/>
    </row>
    <row r="139" spans="2:17" ht="25.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2"/>
    </row>
    <row r="140" spans="2:17" ht="25.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2"/>
    </row>
    <row r="141" spans="2:17" ht="25.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2"/>
    </row>
    <row r="142" spans="2:17" ht="25.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2"/>
    </row>
    <row r="143" spans="2:17" ht="25.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2"/>
    </row>
    <row r="144" spans="2:17" ht="25.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2"/>
    </row>
    <row r="145" spans="2:17" ht="25.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2"/>
    </row>
    <row r="146" spans="2:17" ht="25.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2"/>
    </row>
    <row r="147" spans="2:17" ht="25.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</row>
    <row r="148" spans="2:17" ht="25.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2"/>
    </row>
    <row r="149" spans="2:17" ht="25.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2"/>
    </row>
    <row r="150" spans="2:17" ht="25.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2"/>
    </row>
    <row r="151" spans="2:17" ht="25.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2"/>
    </row>
    <row r="152" spans="2:17" ht="25.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2"/>
    </row>
    <row r="153" spans="2:17" ht="25.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2"/>
    </row>
  </sheetData>
  <pageMargins left="0.511811024" right="0.511811024" top="0.78740157499999996" bottom="0.7874015749999999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6.42578125" customWidth="1"/>
    <col min="9" max="9" width="11.28515625" customWidth="1"/>
    <col min="10" max="10" width="16.57031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'1-ABA-DE-CARREGAMENTO'!F33</f>
        <v>A NÃO TEM MAIS POSTOS-11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e">
        <f>VLOOKUP('1-ABA-DE-CARREGAMENTO'!E35,'DADOS-CADASTRAIS'!C6:J16,1,0)</f>
        <v>#N/A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'1-ABA-DE-CARREGAMENTO'!F94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11.2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POSTOS-11</v>
      </c>
      <c r="C17" s="884"/>
      <c r="D17" s="884"/>
      <c r="E17" s="884"/>
      <c r="F17" s="885"/>
      <c r="G17" s="987" t="s">
        <v>475</v>
      </c>
      <c r="H17" s="885"/>
      <c r="I17" s="988">
        <f>'1-ABA-DE-CARREGAMENTO'!F92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781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1.25" customHeight="1">
      <c r="A24" s="603"/>
      <c r="B24" s="1005" t="s">
        <v>782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1.2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4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'1-ABA-DE-CARREGAMENTO'!F33</f>
        <v>A NÃO TEM MAIS POSTOS-11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52.5" customHeight="1">
      <c r="A29" s="603"/>
      <c r="B29" s="611">
        <v>3</v>
      </c>
      <c r="C29" s="1010" t="s">
        <v>783</v>
      </c>
      <c r="D29" s="866"/>
      <c r="E29" s="789">
        <v>220</v>
      </c>
      <c r="F29" s="625">
        <f>'1-ABA-DE-CARREGAMENTO'!F37</f>
        <v>4435.2</v>
      </c>
      <c r="G29" s="608" t="s">
        <v>488</v>
      </c>
      <c r="H29" s="626">
        <f>'1-ABA-DE-CARREGAMENTO'!F52/I40</f>
        <v>110</v>
      </c>
      <c r="I29" s="1011">
        <f>F29/E29*H29</f>
        <v>2217.6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'1-ABA-DE-CARREGAMENTO'!F36</f>
        <v>01 de JANEIRO</v>
      </c>
      <c r="J31" s="885"/>
      <c r="K31" s="629"/>
    </row>
    <row r="32" spans="1:11" ht="12.75" customHeight="1">
      <c r="A32" s="603"/>
      <c r="B32" s="630">
        <v>6</v>
      </c>
      <c r="C32" s="953" t="s">
        <v>784</v>
      </c>
      <c r="D32" s="884"/>
      <c r="E32" s="884"/>
      <c r="F32" s="884"/>
      <c r="G32" s="884"/>
      <c r="H32" s="885"/>
      <c r="I32" s="961">
        <f>ROUND(F29/220,2)</f>
        <v>20.16</v>
      </c>
      <c r="J32" s="885"/>
      <c r="K32" s="631"/>
    </row>
    <row r="33" spans="1:11" ht="40.5" customHeight="1">
      <c r="A33" s="603"/>
      <c r="B33" s="630">
        <v>7</v>
      </c>
      <c r="C33" s="953" t="s">
        <v>785</v>
      </c>
      <c r="D33" s="884"/>
      <c r="E33" s="884"/>
      <c r="F33" s="885"/>
      <c r="G33" s="978"/>
      <c r="H33" s="885"/>
      <c r="I33" s="961">
        <f>SUM(J47:J50)/E29*0</f>
        <v>0</v>
      </c>
      <c r="J33" s="885"/>
      <c r="K33" s="631"/>
    </row>
    <row r="34" spans="1:11" ht="27" customHeight="1">
      <c r="A34" s="603"/>
      <c r="B34" s="630">
        <v>8</v>
      </c>
      <c r="C34" s="953" t="s">
        <v>786</v>
      </c>
      <c r="D34" s="884"/>
      <c r="E34" s="884"/>
      <c r="F34" s="885"/>
      <c r="G34" s="978"/>
      <c r="H34" s="885"/>
      <c r="I34" s="961">
        <f>TRUNC(I32*1.5,2)*0</f>
        <v>0</v>
      </c>
      <c r="J34" s="885"/>
      <c r="K34" s="631"/>
    </row>
    <row r="35" spans="1:11" ht="27" customHeight="1">
      <c r="A35" s="603"/>
      <c r="B35" s="630">
        <v>9</v>
      </c>
      <c r="C35" s="953" t="s">
        <v>787</v>
      </c>
      <c r="D35" s="884"/>
      <c r="E35" s="884"/>
      <c r="F35" s="885"/>
      <c r="G35" s="978" t="s">
        <v>495</v>
      </c>
      <c r="H35" s="885"/>
      <c r="I35" s="1073">
        <f>I32*1.5</f>
        <v>30.240000000000002</v>
      </c>
      <c r="J35" s="885"/>
      <c r="K35" s="632"/>
    </row>
    <row r="36" spans="1:11" ht="27" customHeight="1">
      <c r="A36" s="603"/>
      <c r="B36" s="630">
        <v>10</v>
      </c>
      <c r="C36" s="953" t="s">
        <v>788</v>
      </c>
      <c r="D36" s="884"/>
      <c r="E36" s="884"/>
      <c r="F36" s="884"/>
      <c r="G36" s="884"/>
      <c r="H36" s="885"/>
      <c r="I36" s="961">
        <f>I32*1.25</f>
        <v>25.2</v>
      </c>
      <c r="J36" s="885"/>
      <c r="K36" s="631"/>
    </row>
    <row r="37" spans="1:11" ht="27" customHeight="1">
      <c r="A37" s="603"/>
      <c r="B37" s="630">
        <v>11</v>
      </c>
      <c r="C37" s="953" t="s">
        <v>789</v>
      </c>
      <c r="D37" s="884"/>
      <c r="E37" s="884"/>
      <c r="F37" s="884"/>
      <c r="G37" s="884"/>
      <c r="H37" s="885"/>
      <c r="I37" s="961">
        <f>I32*1.75</f>
        <v>35.28</v>
      </c>
      <c r="J37" s="885"/>
      <c r="K37" s="631"/>
    </row>
    <row r="38" spans="1:11" ht="24" customHeight="1">
      <c r="A38" s="603"/>
      <c r="B38" s="630">
        <v>12</v>
      </c>
      <c r="C38" s="953" t="s">
        <v>790</v>
      </c>
      <c r="D38" s="884"/>
      <c r="E38" s="884"/>
      <c r="F38" s="884"/>
      <c r="G38" s="884"/>
      <c r="H38" s="885"/>
      <c r="I38" s="961">
        <f>I32*2.5</f>
        <v>50.4</v>
      </c>
      <c r="J38" s="885"/>
      <c r="K38" s="631"/>
    </row>
    <row r="39" spans="1:11" ht="11.25" customHeight="1">
      <c r="A39" s="603"/>
      <c r="B39" s="630">
        <v>13</v>
      </c>
      <c r="C39" s="1061" t="s">
        <v>499</v>
      </c>
      <c r="D39" s="993"/>
      <c r="E39" s="993"/>
      <c r="F39" s="993"/>
      <c r="G39" s="993"/>
      <c r="H39" s="994"/>
      <c r="I39" s="1067">
        <f>ROUND(I32/6,2)*1.3*0</f>
        <v>0</v>
      </c>
      <c r="J39" s="994"/>
      <c r="K39" s="631"/>
    </row>
    <row r="40" spans="1:11" ht="11.25" customHeight="1">
      <c r="A40" s="603"/>
      <c r="B40" s="784">
        <v>14</v>
      </c>
      <c r="C40" s="1068" t="s">
        <v>500</v>
      </c>
      <c r="D40" s="866"/>
      <c r="E40" s="866"/>
      <c r="F40" s="866"/>
      <c r="G40" s="866"/>
      <c r="H40" s="1069"/>
      <c r="I40" s="1070">
        <f>'1-ABA-DE-CARREGAMENTO'!F93</f>
        <v>2</v>
      </c>
      <c r="J40" s="867"/>
      <c r="K40" s="633"/>
    </row>
    <row r="41" spans="1:11" ht="11.25" customHeight="1">
      <c r="A41" s="603"/>
      <c r="B41" s="630">
        <v>15</v>
      </c>
      <c r="C41" s="1071" t="s">
        <v>501</v>
      </c>
      <c r="D41" s="941"/>
      <c r="E41" s="941"/>
      <c r="F41" s="941"/>
      <c r="G41" s="941"/>
      <c r="H41" s="942"/>
      <c r="I41" s="1072">
        <f>'1-ABA-DE-CARREGAMENTO'!E42</f>
        <v>1212</v>
      </c>
      <c r="J41" s="942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8.5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1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'1-ABA-DE-CARREGAMENTO'!F52</f>
        <v>220</v>
      </c>
      <c r="I47" s="641"/>
      <c r="J47" s="644">
        <f>I29*I40</f>
        <v>4435.2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'1-ABA-DE-CARREGAMENTO'!F38</f>
        <v>SEM ADICIONAL DE FUNÇÃO</v>
      </c>
      <c r="G48" s="884"/>
      <c r="H48" s="885"/>
      <c r="I48" s="786">
        <f>'1-ABA-DE-CARREGAMENTO'!F39</f>
        <v>0</v>
      </c>
      <c r="J48" s="644">
        <f>J47*I48</f>
        <v>0</v>
      </c>
      <c r="K48" s="645"/>
    </row>
    <row r="49" spans="1:11" ht="25.5" customHeight="1">
      <c r="A49" s="603"/>
      <c r="B49" s="611" t="s">
        <v>467</v>
      </c>
      <c r="C49" s="949" t="s">
        <v>791</v>
      </c>
      <c r="D49" s="884"/>
      <c r="E49" s="884"/>
      <c r="F49" s="884"/>
      <c r="G49" s="884"/>
      <c r="H49" s="885"/>
      <c r="I49" s="754">
        <f>'1-ABA-DE-CARREGAMENTO'!F44</f>
        <v>0</v>
      </c>
      <c r="J49" s="644">
        <f>ROUND(J47*I49,2)</f>
        <v>0</v>
      </c>
      <c r="K49" s="645"/>
    </row>
    <row r="50" spans="1:11" ht="11.25" customHeight="1">
      <c r="A50" s="603"/>
      <c r="B50" s="611" t="s">
        <v>469</v>
      </c>
      <c r="C50" s="949" t="s">
        <v>792</v>
      </c>
      <c r="D50" s="884"/>
      <c r="E50" s="884"/>
      <c r="F50" s="884"/>
      <c r="G50" s="1065" t="str">
        <f>'1-ABA-DE-CARREGAMENTO'!F40</f>
        <v>SEM ADICIONAL DE RISCO</v>
      </c>
      <c r="H50" s="994"/>
      <c r="I50" s="790">
        <f>'1-ABA-DE-CARREGAMENTO'!F41</f>
        <v>0</v>
      </c>
      <c r="J50" s="644">
        <f>ROUND(I50*I41,2)</f>
        <v>0</v>
      </c>
      <c r="K50" s="645"/>
    </row>
    <row r="51" spans="1:11" ht="30.75" customHeight="1">
      <c r="A51" s="603"/>
      <c r="B51" s="611" t="s">
        <v>511</v>
      </c>
      <c r="C51" s="1066" t="s">
        <v>793</v>
      </c>
      <c r="D51" s="884"/>
      <c r="E51" s="884"/>
      <c r="F51" s="691" t="s">
        <v>794</v>
      </c>
      <c r="G51" s="791">
        <v>0</v>
      </c>
      <c r="H51" s="691" t="s">
        <v>795</v>
      </c>
      <c r="I51" s="792">
        <f>I36</f>
        <v>25.2</v>
      </c>
      <c r="J51" s="793">
        <f>G51*I51</f>
        <v>0</v>
      </c>
      <c r="K51" s="645"/>
    </row>
    <row r="52" spans="1:11" ht="43.5" customHeight="1">
      <c r="A52" s="603"/>
      <c r="B52" s="611" t="s">
        <v>513</v>
      </c>
      <c r="C52" s="969" t="s">
        <v>796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27" customHeight="1">
      <c r="A53" s="603"/>
      <c r="B53" s="611" t="s">
        <v>515</v>
      </c>
      <c r="C53" s="969" t="s">
        <v>797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39" customHeight="1">
      <c r="A54" s="603"/>
      <c r="B54" s="611" t="s">
        <v>517</v>
      </c>
      <c r="C54" s="969" t="s">
        <v>798</v>
      </c>
      <c r="D54" s="884"/>
      <c r="E54" s="884"/>
      <c r="F54" s="691" t="s">
        <v>799</v>
      </c>
      <c r="G54" s="791">
        <v>0</v>
      </c>
      <c r="H54" s="691" t="s">
        <v>800</v>
      </c>
      <c r="I54" s="792">
        <f t="shared" ref="I54:I55" si="0">I37</f>
        <v>35.28</v>
      </c>
      <c r="J54" s="644">
        <f t="shared" ref="J54:J55" si="1">G54*I54</f>
        <v>0</v>
      </c>
      <c r="K54" s="645"/>
    </row>
    <row r="55" spans="1:11" ht="39" customHeight="1">
      <c r="A55" s="603"/>
      <c r="B55" s="611" t="s">
        <v>520</v>
      </c>
      <c r="C55" s="969" t="s">
        <v>801</v>
      </c>
      <c r="D55" s="884"/>
      <c r="E55" s="884"/>
      <c r="F55" s="691" t="s">
        <v>802</v>
      </c>
      <c r="G55" s="791">
        <v>0</v>
      </c>
      <c r="H55" s="691" t="s">
        <v>803</v>
      </c>
      <c r="I55" s="792">
        <f t="shared" si="0"/>
        <v>50.4</v>
      </c>
      <c r="J55" s="644">
        <f t="shared" si="1"/>
        <v>0</v>
      </c>
      <c r="K55" s="645"/>
    </row>
    <row r="56" spans="1:11" ht="40.5" customHeight="1">
      <c r="A56" s="603"/>
      <c r="B56" s="611" t="s">
        <v>523</v>
      </c>
      <c r="C56" s="949" t="s">
        <v>804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4435.2</v>
      </c>
      <c r="K58" s="654"/>
    </row>
    <row r="59" spans="1:11" ht="11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805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806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807</v>
      </c>
      <c r="C63" s="884"/>
      <c r="D63" s="884"/>
      <c r="E63" s="884"/>
      <c r="F63" s="884"/>
      <c r="G63" s="884"/>
      <c r="H63" s="884"/>
      <c r="I63" s="885"/>
      <c r="J63" s="657">
        <f>J58+J61</f>
        <v>4435.2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808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1.25" customHeight="1">
      <c r="A69" s="603"/>
      <c r="B69" s="663" t="s">
        <v>534</v>
      </c>
      <c r="C69" s="980" t="s">
        <v>809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810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369.45</v>
      </c>
      <c r="K70" s="668"/>
    </row>
    <row r="71" spans="1:11" ht="11.25" customHeight="1">
      <c r="A71" s="603"/>
      <c r="B71" s="663" t="s">
        <v>465</v>
      </c>
      <c r="C71" s="970" t="s">
        <v>811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134.16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503.61</v>
      </c>
      <c r="K72" s="671"/>
    </row>
    <row r="73" spans="1:11" ht="11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812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1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1.25" customHeight="1">
      <c r="A76" s="603"/>
      <c r="B76" s="974" t="s">
        <v>813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987.76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123.47</v>
      </c>
      <c r="K79" s="671"/>
    </row>
    <row r="80" spans="1:11" ht="11.25" customHeight="1">
      <c r="A80" s="603"/>
      <c r="B80" s="677" t="s">
        <v>467</v>
      </c>
      <c r="C80" s="949" t="s">
        <v>814</v>
      </c>
      <c r="D80" s="885"/>
      <c r="E80" s="794" t="s">
        <v>548</v>
      </c>
      <c r="F80" s="795">
        <f>'1-ABA-DE-CARREGAMENTO'!F57</f>
        <v>0.03</v>
      </c>
      <c r="G80" s="794" t="s">
        <v>549</v>
      </c>
      <c r="H80" s="796">
        <f>'1-ABA-DE-CARREGAMENTO'!F58</f>
        <v>1</v>
      </c>
      <c r="I80" s="682">
        <f>ROUND((F80*H80),6)</f>
        <v>0.03</v>
      </c>
      <c r="J80" s="679">
        <f>ROUND((J58+J72)*I80,2)</f>
        <v>148.16</v>
      </c>
      <c r="K80" s="671"/>
    </row>
    <row r="81" spans="1:11" ht="11.2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74.08</v>
      </c>
      <c r="K81" s="671"/>
    </row>
    <row r="82" spans="1:11" ht="11.2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49.39</v>
      </c>
      <c r="K82" s="671"/>
    </row>
    <row r="83" spans="1:11" ht="11.2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29.63</v>
      </c>
      <c r="K83" s="671"/>
    </row>
    <row r="84" spans="1:11" ht="11.2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9.8800000000000008</v>
      </c>
      <c r="K84" s="671"/>
    </row>
    <row r="85" spans="1:11" ht="11.2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395.1</v>
      </c>
      <c r="K85" s="671"/>
    </row>
    <row r="86" spans="1:11" ht="11.25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2">SUM(I78:I85)</f>
        <v>0.36800000000000005</v>
      </c>
      <c r="J86" s="670">
        <f t="shared" si="2"/>
        <v>1817.4700000000003</v>
      </c>
      <c r="K86" s="671"/>
    </row>
    <row r="87" spans="1:11" ht="11.25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11.2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1.2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1.2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1.2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2.75" customHeight="1">
      <c r="A92" s="603"/>
      <c r="B92" s="690" t="s">
        <v>463</v>
      </c>
      <c r="C92" s="949" t="s">
        <v>815</v>
      </c>
      <c r="D92" s="884"/>
      <c r="E92" s="884"/>
      <c r="F92" s="884"/>
      <c r="G92" s="884"/>
      <c r="H92" s="885"/>
      <c r="I92" s="691">
        <f>J47</f>
        <v>4435.2</v>
      </c>
      <c r="J92" s="692">
        <f>IF(ROUND((I93*I95*I94)-(J47*I96),2)&lt;0,0,ROUND((I93*I95*I94)-(J47*I96),2))</f>
        <v>290.39999999999998</v>
      </c>
      <c r="K92" s="671"/>
    </row>
    <row r="93" spans="1:11" ht="27" customHeight="1">
      <c r="A93" s="603"/>
      <c r="B93" s="690" t="s">
        <v>465</v>
      </c>
      <c r="C93" s="949" t="s">
        <v>816</v>
      </c>
      <c r="D93" s="884"/>
      <c r="E93" s="884"/>
      <c r="F93" s="884"/>
      <c r="G93" s="884"/>
      <c r="H93" s="884"/>
      <c r="I93" s="693">
        <f>'1-ABA-DE-CARREGAMENTO'!F72</f>
        <v>6.6</v>
      </c>
      <c r="J93" s="699" t="s">
        <v>476</v>
      </c>
      <c r="K93" s="652"/>
    </row>
    <row r="94" spans="1:11" ht="18" customHeight="1">
      <c r="A94" s="603"/>
      <c r="B94" s="690" t="s">
        <v>467</v>
      </c>
      <c r="C94" s="949" t="s">
        <v>817</v>
      </c>
      <c r="D94" s="884"/>
      <c r="E94" s="884"/>
      <c r="F94" s="884"/>
      <c r="G94" s="884"/>
      <c r="H94" s="885"/>
      <c r="I94" s="695">
        <f>'1-ABA-DE-CARREGAMENTO'!F73</f>
        <v>2</v>
      </c>
      <c r="J94" s="699" t="s">
        <v>476</v>
      </c>
      <c r="K94" s="652"/>
    </row>
    <row r="95" spans="1:11" ht="18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'1-ABA-DE-CARREGAMENTO'!F74</f>
        <v>22</v>
      </c>
      <c r="J95" s="699" t="s">
        <v>476</v>
      </c>
      <c r="K95" s="652"/>
    </row>
    <row r="96" spans="1:11" ht="24" customHeight="1">
      <c r="A96" s="603"/>
      <c r="B96" s="690" t="s">
        <v>511</v>
      </c>
      <c r="C96" s="953" t="s">
        <v>818</v>
      </c>
      <c r="D96" s="884"/>
      <c r="E96" s="884"/>
      <c r="F96" s="884"/>
      <c r="G96" s="884"/>
      <c r="H96" s="885"/>
      <c r="I96" s="696">
        <f>'1-ABA-DE-CARREGAMENTO'!F75</f>
        <v>0</v>
      </c>
      <c r="J96" s="701" t="s">
        <v>476</v>
      </c>
      <c r="K96" s="652"/>
    </row>
    <row r="97" spans="1:11" ht="11.25" customHeight="1">
      <c r="A97" s="603"/>
      <c r="B97" s="690" t="s">
        <v>513</v>
      </c>
      <c r="C97" s="949" t="s">
        <v>819</v>
      </c>
      <c r="D97" s="884"/>
      <c r="E97" s="884"/>
      <c r="F97" s="884"/>
      <c r="G97" s="884"/>
      <c r="H97" s="884"/>
      <c r="I97" s="884"/>
      <c r="J97" s="692">
        <f>ROUND(I98*I99,2)-ROUND((I98*I99)*I100,2)</f>
        <v>408.64</v>
      </c>
      <c r="K97" s="671"/>
    </row>
    <row r="98" spans="1:11" ht="18" customHeight="1">
      <c r="A98" s="603"/>
      <c r="B98" s="690" t="s">
        <v>515</v>
      </c>
      <c r="C98" s="949" t="s">
        <v>820</v>
      </c>
      <c r="D98" s="884"/>
      <c r="E98" s="884"/>
      <c r="F98" s="884"/>
      <c r="G98" s="884"/>
      <c r="H98" s="884"/>
      <c r="I98" s="693">
        <f>IF('1-ABA-DE-CARREGAMENTO'!F60&gt;0,'1-ABA-DE-CARREGAMENTO'!F60,'1-ABA-DE-CARREGAMENTO'!F63)</f>
        <v>20.18</v>
      </c>
      <c r="J98" s="699"/>
      <c r="K98" s="652"/>
    </row>
    <row r="99" spans="1:11" ht="19.5" customHeight="1">
      <c r="A99" s="603"/>
      <c r="B99" s="690" t="s">
        <v>517</v>
      </c>
      <c r="C99" s="949" t="s">
        <v>821</v>
      </c>
      <c r="D99" s="884"/>
      <c r="E99" s="884"/>
      <c r="F99" s="884"/>
      <c r="G99" s="884"/>
      <c r="H99" s="884"/>
      <c r="I99" s="695">
        <f>'1-ABA-DE-CARREGAMENTO'!F62</f>
        <v>25</v>
      </c>
      <c r="J99" s="699"/>
      <c r="K99" s="652"/>
    </row>
    <row r="100" spans="1:11" ht="34.5" customHeight="1">
      <c r="A100" s="603"/>
      <c r="B100" s="690" t="s">
        <v>520</v>
      </c>
      <c r="C100" s="958" t="s">
        <v>822</v>
      </c>
      <c r="D100" s="884"/>
      <c r="E100" s="884"/>
      <c r="F100" s="884"/>
      <c r="G100" s="884"/>
      <c r="H100" s="885"/>
      <c r="I100" s="696">
        <f>'1-ABA-DE-CARREGAMENTO'!F61</f>
        <v>0.19</v>
      </c>
      <c r="J100" s="701"/>
      <c r="K100" s="652"/>
    </row>
    <row r="101" spans="1:11" ht="11.2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24" customHeight="1">
      <c r="A102" s="603"/>
      <c r="B102" s="690" t="s">
        <v>525</v>
      </c>
      <c r="C102" s="949" t="s">
        <v>823</v>
      </c>
      <c r="D102" s="884"/>
      <c r="E102" s="884"/>
      <c r="F102" s="884"/>
      <c r="G102" s="884"/>
      <c r="H102" s="884"/>
      <c r="I102" s="884"/>
      <c r="J102" s="679">
        <f>'1-ABA-DE-CARREGAMENTO'!F77</f>
        <v>0</v>
      </c>
      <c r="K102" s="671"/>
    </row>
    <row r="103" spans="1:11" ht="22.5" customHeight="1">
      <c r="A103" s="603"/>
      <c r="B103" s="690" t="s">
        <v>570</v>
      </c>
      <c r="C103" s="949" t="s">
        <v>824</v>
      </c>
      <c r="D103" s="884"/>
      <c r="E103" s="884"/>
      <c r="F103" s="884"/>
      <c r="G103" s="884"/>
      <c r="H103" s="884"/>
      <c r="I103" s="885"/>
      <c r="J103" s="679">
        <f>'1-ABA-DE-CARREGAMENTO'!F78</f>
        <v>0</v>
      </c>
      <c r="K103" s="671"/>
    </row>
    <row r="104" spans="1:11" ht="11.2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'1-ABA-DE-CARREGAMENTO'!F76</f>
        <v>17.32</v>
      </c>
      <c r="K104" s="671"/>
    </row>
    <row r="105" spans="1:11" ht="11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11.2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716.36</v>
      </c>
      <c r="K106" s="671"/>
    </row>
    <row r="107" spans="1:11" ht="11.2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11.2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1.2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1.2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1.2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1.25" customHeight="1">
      <c r="A112" s="603"/>
      <c r="B112" s="621" t="s">
        <v>534</v>
      </c>
      <c r="C112" s="969" t="s">
        <v>825</v>
      </c>
      <c r="D112" s="884"/>
      <c r="E112" s="884"/>
      <c r="F112" s="884"/>
      <c r="G112" s="884"/>
      <c r="H112" s="884"/>
      <c r="I112" s="885"/>
      <c r="J112" s="707">
        <f>J72</f>
        <v>503.61</v>
      </c>
      <c r="K112" s="708"/>
    </row>
    <row r="113" spans="1:11" ht="11.2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1817.4700000000003</v>
      </c>
      <c r="K113" s="708"/>
    </row>
    <row r="114" spans="1:11" ht="11.2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716.36</v>
      </c>
      <c r="K114" s="708"/>
    </row>
    <row r="115" spans="1:11" ht="11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3037.4400000000005</v>
      </c>
      <c r="K115" s="708"/>
    </row>
    <row r="116" spans="1:11" ht="11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1.2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1.2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11.25" customHeight="1">
      <c r="A119" s="603"/>
      <c r="B119" s="690" t="s">
        <v>463</v>
      </c>
      <c r="C119" s="949" t="s">
        <v>826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22.12</v>
      </c>
      <c r="K119" s="671"/>
    </row>
    <row r="120" spans="1:11" ht="11.2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1.77</v>
      </c>
      <c r="K120" s="671"/>
    </row>
    <row r="121" spans="1:11" ht="11.25" customHeight="1">
      <c r="A121" s="603"/>
      <c r="B121" s="690" t="s">
        <v>467</v>
      </c>
      <c r="C121" s="949" t="s">
        <v>827</v>
      </c>
      <c r="D121" s="884"/>
      <c r="E121" s="884"/>
      <c r="F121" s="884"/>
      <c r="G121" s="884"/>
      <c r="H121" s="884"/>
      <c r="I121" s="885"/>
      <c r="J121" s="679">
        <f>ROUND(((7/30)/$I$11)*$J$58*1,2)</f>
        <v>51.74</v>
      </c>
      <c r="K121" s="671"/>
    </row>
    <row r="122" spans="1:11" ht="11.2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19.04</v>
      </c>
      <c r="K122" s="671"/>
    </row>
    <row r="123" spans="1:11" ht="30" customHeight="1">
      <c r="A123" s="603"/>
      <c r="B123" s="690" t="s">
        <v>511</v>
      </c>
      <c r="C123" s="949" t="s">
        <v>828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177.41</v>
      </c>
      <c r="K123" s="671"/>
    </row>
    <row r="124" spans="1:11" ht="11.2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272.08</v>
      </c>
      <c r="K124" s="671"/>
    </row>
    <row r="125" spans="1:11" ht="11.2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1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11.2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11.25" customHeight="1">
      <c r="A128" s="603"/>
      <c r="B128" s="974" t="s">
        <v>829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11.25" customHeight="1">
      <c r="A129" s="603"/>
      <c r="B129" s="716" t="s">
        <v>590</v>
      </c>
      <c r="C129" s="717">
        <f>J58</f>
        <v>4435.2</v>
      </c>
      <c r="D129" s="718" t="s">
        <v>591</v>
      </c>
      <c r="E129" s="716" t="s">
        <v>830</v>
      </c>
      <c r="F129" s="717">
        <f>J115-J92-J97</f>
        <v>2338.4000000000005</v>
      </c>
      <c r="G129" s="718" t="s">
        <v>591</v>
      </c>
      <c r="H129" s="716" t="s">
        <v>593</v>
      </c>
      <c r="I129" s="717">
        <f>J124</f>
        <v>272.08</v>
      </c>
      <c r="J129" s="719">
        <f>C129+F129+I129</f>
        <v>7045.68</v>
      </c>
      <c r="K129" s="720"/>
    </row>
    <row r="130" spans="1:11" ht="11.2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1.2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1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50.25" customHeight="1">
      <c r="A133" s="603"/>
      <c r="B133" s="690" t="s">
        <v>463</v>
      </c>
      <c r="C133" s="969" t="s">
        <v>831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550.6063200000001</v>
      </c>
      <c r="K133" s="671"/>
    </row>
    <row r="134" spans="1:11" ht="11.25" customHeight="1">
      <c r="A134" s="603"/>
      <c r="B134" s="690" t="s">
        <v>465</v>
      </c>
      <c r="C134" s="949" t="s">
        <v>832</v>
      </c>
      <c r="D134" s="884"/>
      <c r="E134" s="884"/>
      <c r="F134" s="884"/>
      <c r="G134" s="884"/>
      <c r="H134" s="884"/>
      <c r="I134" s="885"/>
      <c r="J134" s="679">
        <f>ROUND((1/30)/12*(J129),2)</f>
        <v>19.57</v>
      </c>
      <c r="K134" s="671"/>
    </row>
    <row r="135" spans="1:11" ht="11.25" customHeight="1">
      <c r="A135" s="603"/>
      <c r="B135" s="690" t="s">
        <v>467</v>
      </c>
      <c r="C135" s="949" t="s">
        <v>833</v>
      </c>
      <c r="D135" s="884"/>
      <c r="E135" s="884"/>
      <c r="F135" s="884"/>
      <c r="G135" s="884"/>
      <c r="H135" s="884"/>
      <c r="I135" s="885"/>
      <c r="J135" s="679">
        <f>ROUND((5/30)/12*0.015*(J129),2)</f>
        <v>1.47</v>
      </c>
      <c r="K135" s="671"/>
    </row>
    <row r="136" spans="1:11" ht="11.25" customHeight="1">
      <c r="A136" s="603"/>
      <c r="B136" s="690" t="s">
        <v>469</v>
      </c>
      <c r="C136" s="949" t="s">
        <v>834</v>
      </c>
      <c r="D136" s="884"/>
      <c r="E136" s="884"/>
      <c r="F136" s="884"/>
      <c r="G136" s="884"/>
      <c r="H136" s="884"/>
      <c r="I136" s="885"/>
      <c r="J136" s="679">
        <f>ROUND(((15/30)/12)*0.0078*(J129),2)</f>
        <v>2.29</v>
      </c>
      <c r="K136" s="671"/>
    </row>
    <row r="137" spans="1:11" ht="11.25" customHeight="1">
      <c r="A137" s="603"/>
      <c r="B137" s="727" t="s">
        <v>511</v>
      </c>
      <c r="C137" s="1019" t="s">
        <v>835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6.4193333333333342</v>
      </c>
      <c r="K137" s="729"/>
    </row>
    <row r="138" spans="1:11" ht="11.25" customHeight="1">
      <c r="A138" s="603"/>
      <c r="B138" s="690" t="s">
        <v>513</v>
      </c>
      <c r="C138" s="949" t="s">
        <v>836</v>
      </c>
      <c r="D138" s="884"/>
      <c r="E138" s="884"/>
      <c r="F138" s="884"/>
      <c r="G138" s="884"/>
      <c r="H138" s="884"/>
      <c r="I138" s="885"/>
      <c r="J138" s="679">
        <f>ROUND(((3/30)/12)*(J129),2)</f>
        <v>58.71</v>
      </c>
      <c r="K138" s="671"/>
    </row>
    <row r="139" spans="1:11" ht="11.2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639.06565333333356</v>
      </c>
      <c r="K139" s="671"/>
    </row>
    <row r="140" spans="1:11" ht="11.2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1.2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1.2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1.2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1.2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11.2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1.2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1.2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11.2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639.06565333333356</v>
      </c>
      <c r="K148" s="735"/>
    </row>
    <row r="149" spans="1:11" ht="11.25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11.25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639.06565333333356</v>
      </c>
      <c r="K150" s="735"/>
    </row>
    <row r="151" spans="1:11" ht="11.2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1.2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1.2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2.7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</f>
        <v>#REF!</v>
      </c>
      <c r="K154" s="671"/>
    </row>
    <row r="155" spans="1:11" ht="12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2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1.2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11.2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11.2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1.2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11.25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11.2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11.25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11.2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'1-ABA-DE-CARREGAMENTO'!F85</f>
        <v>0.06</v>
      </c>
      <c r="J164" s="679" t="e">
        <f>ROUND(I164*J163,2)</f>
        <v>#REF!</v>
      </c>
      <c r="K164" s="671"/>
    </row>
    <row r="165" spans="1:11" ht="11.2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1.2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'1-ABA-DE-CARREGAMENTO'!F86</f>
        <v>0.06</v>
      </c>
      <c r="J166" s="679" t="e">
        <f>ROUND(I166*J165,2)</f>
        <v>#REF!</v>
      </c>
      <c r="K166" s="671"/>
    </row>
    <row r="167" spans="1:11" ht="11.2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1.2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1.25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15" customHeight="1">
      <c r="A170" s="603"/>
      <c r="B170" s="690"/>
      <c r="C170" s="1018" t="s">
        <v>837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3">ROUND(($J$167/(1-$I$179))*I170,2)</f>
        <v>#REF!</v>
      </c>
      <c r="K170" s="756"/>
    </row>
    <row r="171" spans="1:11" ht="15" customHeight="1">
      <c r="A171" s="603"/>
      <c r="B171" s="690"/>
      <c r="C171" s="1018" t="s">
        <v>838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3"/>
        <v>#REF!</v>
      </c>
      <c r="K171" s="756"/>
    </row>
    <row r="172" spans="1:11" ht="11.25" customHeight="1">
      <c r="A172" s="603"/>
      <c r="B172" s="690"/>
      <c r="C172" s="949" t="s">
        <v>839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11.25" customHeight="1">
      <c r="A173" s="603"/>
      <c r="B173" s="690"/>
      <c r="C173" s="949" t="s">
        <v>840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1.2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1.2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1.25" customHeight="1">
      <c r="A176" s="603"/>
      <c r="B176" s="690"/>
      <c r="C176" s="949" t="s">
        <v>841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1.2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1.2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1.2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4">SUM(I170:I176)</f>
        <v>0.1225</v>
      </c>
      <c r="J179" s="750" t="e">
        <f t="shared" si="4"/>
        <v>#REF!</v>
      </c>
      <c r="K179" s="751"/>
    </row>
    <row r="180" spans="1:11" ht="11.2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1.2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1.2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8.2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11.2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9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1.25" customHeight="1">
      <c r="A186" s="603"/>
      <c r="B186" s="1021" t="s">
        <v>842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1.2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1.2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4435.2</v>
      </c>
      <c r="K188" s="704"/>
    </row>
    <row r="189" spans="1:11" ht="11.2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3037.4400000000005</v>
      </c>
      <c r="K189" s="704"/>
    </row>
    <row r="190" spans="1:11" ht="11.2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272.08</v>
      </c>
      <c r="K190" s="704"/>
    </row>
    <row r="191" spans="1:11" ht="11.2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639.06565333333356</v>
      </c>
      <c r="K191" s="704"/>
    </row>
    <row r="192" spans="1:11" ht="11.2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1.2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1.2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1.2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3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6.75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1.2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1.2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11.2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24.75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5">E201*F201</f>
        <v>0</v>
      </c>
      <c r="I201" s="1027">
        <f t="shared" ref="I201:I203" si="6">F201*H201</f>
        <v>0</v>
      </c>
      <c r="J201" s="885"/>
      <c r="K201" s="774"/>
    </row>
    <row r="202" spans="1:11" ht="24.7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5"/>
        <v>0</v>
      </c>
      <c r="I202" s="1027">
        <f t="shared" si="6"/>
        <v>0</v>
      </c>
      <c r="J202" s="885"/>
      <c r="K202" s="774"/>
    </row>
    <row r="203" spans="1:11" ht="24.75" customHeight="1" collapsed="1">
      <c r="A203" s="603"/>
      <c r="B203" s="1046" t="str">
        <f>B3</f>
        <v>A NÃO TEM MAIS POSTOS-11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6"/>
        <v>#REF!</v>
      </c>
      <c r="J203" s="885"/>
      <c r="K203" s="774"/>
    </row>
    <row r="204" spans="1:11" ht="24.7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7">E204*G204</f>
        <v>0</v>
      </c>
      <c r="I204" s="1027">
        <f t="shared" si="7"/>
        <v>0</v>
      </c>
      <c r="J204" s="885"/>
      <c r="K204" s="774"/>
    </row>
    <row r="205" spans="1:11" ht="24.75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8">E205*G205</f>
        <v>0</v>
      </c>
      <c r="I205" s="1027">
        <f t="shared" si="8"/>
        <v>0</v>
      </c>
      <c r="J205" s="885"/>
      <c r="K205" s="774"/>
    </row>
    <row r="206" spans="1:11" ht="11.25" hidden="1" customHeight="1" outlineLevel="1">
      <c r="A206" s="603"/>
      <c r="B206" s="1048" t="s">
        <v>844</v>
      </c>
      <c r="C206" s="884"/>
      <c r="D206" s="884"/>
      <c r="E206" s="885"/>
      <c r="F206" s="1027">
        <v>0</v>
      </c>
      <c r="G206" s="885"/>
      <c r="H206" s="773">
        <f t="shared" ref="H206:I206" si="9">E206*G206</f>
        <v>0</v>
      </c>
      <c r="I206" s="1027">
        <f t="shared" si="9"/>
        <v>0</v>
      </c>
      <c r="J206" s="885"/>
      <c r="K206" s="774"/>
    </row>
    <row r="207" spans="1:11" ht="11.2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9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6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1.2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10.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1.2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10.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1.25" customHeight="1">
      <c r="A215" s="603"/>
      <c r="B215" s="1034" t="s">
        <v>845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9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1.2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87" priority="1" operator="equal">
      <formula>0</formula>
    </cfRule>
  </conditionalFormatting>
  <conditionalFormatting sqref="I48">
    <cfRule type="cellIs" dxfId="8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7109375" customWidth="1"/>
    <col min="8" max="8" width="14.42578125" customWidth="1"/>
    <col min="9" max="9" width="11.28515625" customWidth="1"/>
    <col min="10" max="10" width="17.285156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'1-ABA-DE-CARREGAMENTO'!G33</f>
        <v>A NÃO TEM MAIS POSTOS-22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VLOOKUP('1-ABA-DE-CARREGAMENTO'!F35,'DADOS-CADASTRAIS'!C6:J16,1,0)</f>
        <v>RS005021/2021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'1-ABA-DE-CARREGAMENTO'!G94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24.7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POSTOS-22</v>
      </c>
      <c r="C17" s="884"/>
      <c r="D17" s="884"/>
      <c r="E17" s="884"/>
      <c r="F17" s="885"/>
      <c r="G17" s="987" t="s">
        <v>475</v>
      </c>
      <c r="H17" s="885"/>
      <c r="I17" s="988">
        <f>'1-ABA-DE-CARREGAMENTO'!G92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846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847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6.2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'1-ABA-DE-CARREGAMENTO'!G33</f>
        <v>A NÃO TEM MAIS POSTOS-22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54" customHeight="1">
      <c r="A29" s="603"/>
      <c r="B29" s="611">
        <v>3</v>
      </c>
      <c r="C29" s="1010" t="s">
        <v>848</v>
      </c>
      <c r="D29" s="866"/>
      <c r="E29" s="789">
        <v>220</v>
      </c>
      <c r="F29" s="625">
        <f>'1-ABA-DE-CARREGAMENTO'!G37</f>
        <v>4435.2</v>
      </c>
      <c r="G29" s="608" t="s">
        <v>488</v>
      </c>
      <c r="H29" s="626">
        <f>'1-ABA-DE-CARREGAMENTO'!G52/I40</f>
        <v>110</v>
      </c>
      <c r="I29" s="1011">
        <f>F29/E29*H29</f>
        <v>2217.6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'1-ABA-DE-CARREGAMENTO'!G36</f>
        <v>01 de JANEIRO</v>
      </c>
      <c r="J31" s="885"/>
      <c r="K31" s="629"/>
    </row>
    <row r="32" spans="1:11" ht="12.75" customHeight="1">
      <c r="A32" s="603"/>
      <c r="B32" s="630">
        <v>6</v>
      </c>
      <c r="C32" s="953" t="s">
        <v>849</v>
      </c>
      <c r="D32" s="884"/>
      <c r="E32" s="884"/>
      <c r="F32" s="884"/>
      <c r="G32" s="884"/>
      <c r="H32" s="885"/>
      <c r="I32" s="961">
        <f>ROUND(F29/220,2)</f>
        <v>20.16</v>
      </c>
      <c r="J32" s="885"/>
      <c r="K32" s="631"/>
    </row>
    <row r="33" spans="1:11" ht="42.75" customHeight="1">
      <c r="A33" s="603"/>
      <c r="B33" s="630">
        <v>7</v>
      </c>
      <c r="C33" s="953" t="s">
        <v>850</v>
      </c>
      <c r="D33" s="884"/>
      <c r="E33" s="884"/>
      <c r="F33" s="885"/>
      <c r="G33" s="978"/>
      <c r="H33" s="885"/>
      <c r="I33" s="961">
        <f>SUM(J47:J50)/E29*0</f>
        <v>0</v>
      </c>
      <c r="J33" s="885"/>
      <c r="K33" s="631"/>
    </row>
    <row r="34" spans="1:11" ht="24.75" customHeight="1">
      <c r="A34" s="603"/>
      <c r="B34" s="630">
        <v>8</v>
      </c>
      <c r="C34" s="953" t="s">
        <v>851</v>
      </c>
      <c r="D34" s="884"/>
      <c r="E34" s="884"/>
      <c r="F34" s="885"/>
      <c r="G34" s="978"/>
      <c r="H34" s="885"/>
      <c r="I34" s="961">
        <f>TRUNC(I32*1.5,2)*0</f>
        <v>0</v>
      </c>
      <c r="J34" s="885"/>
      <c r="K34" s="631"/>
    </row>
    <row r="35" spans="1:11" ht="24.75" customHeight="1">
      <c r="A35" s="603"/>
      <c r="B35" s="630">
        <v>9</v>
      </c>
      <c r="C35" s="953" t="s">
        <v>852</v>
      </c>
      <c r="D35" s="884"/>
      <c r="E35" s="884"/>
      <c r="F35" s="885"/>
      <c r="G35" s="978" t="s">
        <v>495</v>
      </c>
      <c r="H35" s="885"/>
      <c r="I35" s="1073">
        <f>I32*1.5</f>
        <v>30.240000000000002</v>
      </c>
      <c r="J35" s="885"/>
      <c r="K35" s="632"/>
    </row>
    <row r="36" spans="1:11" ht="24.75" customHeight="1">
      <c r="A36" s="603"/>
      <c r="B36" s="630">
        <v>10</v>
      </c>
      <c r="C36" s="953" t="s">
        <v>853</v>
      </c>
      <c r="D36" s="884"/>
      <c r="E36" s="884"/>
      <c r="F36" s="884"/>
      <c r="G36" s="884"/>
      <c r="H36" s="885"/>
      <c r="I36" s="961">
        <f>I32*1.25</f>
        <v>25.2</v>
      </c>
      <c r="J36" s="885"/>
      <c r="K36" s="631"/>
    </row>
    <row r="37" spans="1:11" ht="24.75" customHeight="1">
      <c r="A37" s="603"/>
      <c r="B37" s="630">
        <v>11</v>
      </c>
      <c r="C37" s="953" t="s">
        <v>854</v>
      </c>
      <c r="D37" s="884"/>
      <c r="E37" s="884"/>
      <c r="F37" s="884"/>
      <c r="G37" s="884"/>
      <c r="H37" s="885"/>
      <c r="I37" s="961">
        <f>I32*1.75</f>
        <v>35.28</v>
      </c>
      <c r="J37" s="885"/>
      <c r="K37" s="631"/>
    </row>
    <row r="38" spans="1:11" ht="14.25" customHeight="1">
      <c r="A38" s="603"/>
      <c r="B38" s="630">
        <v>12</v>
      </c>
      <c r="C38" s="953" t="s">
        <v>855</v>
      </c>
      <c r="D38" s="884"/>
      <c r="E38" s="884"/>
      <c r="F38" s="884"/>
      <c r="G38" s="884"/>
      <c r="H38" s="885"/>
      <c r="I38" s="961">
        <f>I32*2.5</f>
        <v>50.4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1067">
        <f>ROUND(I32/6,2)*1.3*0</f>
        <v>0</v>
      </c>
      <c r="J39" s="994"/>
      <c r="K39" s="631"/>
    </row>
    <row r="40" spans="1:11" ht="11.25" customHeight="1">
      <c r="A40" s="603"/>
      <c r="B40" s="630">
        <v>14</v>
      </c>
      <c r="C40" s="1068" t="s">
        <v>500</v>
      </c>
      <c r="D40" s="866"/>
      <c r="E40" s="866"/>
      <c r="F40" s="866"/>
      <c r="G40" s="866"/>
      <c r="H40" s="1069"/>
      <c r="I40" s="1070">
        <f>'1-ABA-DE-CARREGAMENTO'!G93</f>
        <v>2</v>
      </c>
      <c r="J40" s="867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4.75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'1-ABA-DE-CARREGAMENTO'!G52</f>
        <v>220</v>
      </c>
      <c r="I47" s="641"/>
      <c r="J47" s="644">
        <f>I29*I40</f>
        <v>4435.2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'1-ABA-DE-CARREGAMENTO'!G38</f>
        <v>SEM ADICIONAL DE FUNÇÃO</v>
      </c>
      <c r="G48" s="884"/>
      <c r="H48" s="885"/>
      <c r="I48" s="786">
        <f>'1-ABA-DE-CARREGAMENTO'!G39</f>
        <v>0</v>
      </c>
      <c r="J48" s="644">
        <f>J47*I48</f>
        <v>0</v>
      </c>
      <c r="K48" s="645"/>
    </row>
    <row r="49" spans="1:11" ht="30" customHeight="1">
      <c r="A49" s="603"/>
      <c r="B49" s="611" t="s">
        <v>467</v>
      </c>
      <c r="C49" s="949" t="s">
        <v>856</v>
      </c>
      <c r="D49" s="884"/>
      <c r="E49" s="884"/>
      <c r="F49" s="884"/>
      <c r="G49" s="884"/>
      <c r="H49" s="885"/>
      <c r="I49" s="754">
        <f>'1-ABA-DE-CARREGAMENTO'!G44</f>
        <v>0</v>
      </c>
      <c r="J49" s="644">
        <f>ROUND(J47*I49,2)</f>
        <v>0</v>
      </c>
      <c r="K49" s="645"/>
    </row>
    <row r="50" spans="1:11" ht="11.25" customHeight="1">
      <c r="A50" s="603"/>
      <c r="B50" s="611" t="s">
        <v>469</v>
      </c>
      <c r="C50" s="949" t="s">
        <v>857</v>
      </c>
      <c r="D50" s="884"/>
      <c r="E50" s="884"/>
      <c r="F50" s="884"/>
      <c r="G50" s="981" t="str">
        <f>'1-ABA-DE-CARREGAMENTO'!G40</f>
        <v>SEM ADICIONAL DE RISCO</v>
      </c>
      <c r="H50" s="885"/>
      <c r="I50" s="787">
        <f>'1-ABA-DE-CARREGAMENTO'!G41</f>
        <v>0</v>
      </c>
      <c r="J50" s="644">
        <f>ROUND(I50*I41,2)</f>
        <v>0</v>
      </c>
      <c r="K50" s="645"/>
    </row>
    <row r="51" spans="1:11" ht="33.75" customHeight="1">
      <c r="A51" s="603"/>
      <c r="B51" s="611" t="s">
        <v>511</v>
      </c>
      <c r="C51" s="1066" t="s">
        <v>858</v>
      </c>
      <c r="D51" s="884"/>
      <c r="E51" s="884"/>
      <c r="F51" s="691" t="s">
        <v>794</v>
      </c>
      <c r="G51" s="791">
        <v>0</v>
      </c>
      <c r="H51" s="691" t="s">
        <v>795</v>
      </c>
      <c r="I51" s="792">
        <f>I36</f>
        <v>25.2</v>
      </c>
      <c r="J51" s="793">
        <f>G51*I51</f>
        <v>0</v>
      </c>
      <c r="K51" s="645"/>
    </row>
    <row r="52" spans="1:11" ht="45" customHeight="1">
      <c r="A52" s="603"/>
      <c r="B52" s="611" t="s">
        <v>513</v>
      </c>
      <c r="C52" s="969" t="s">
        <v>859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0" customHeight="1">
      <c r="A53" s="603"/>
      <c r="B53" s="611" t="s">
        <v>515</v>
      </c>
      <c r="C53" s="969" t="s">
        <v>860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4.75" customHeight="1">
      <c r="A54" s="603"/>
      <c r="B54" s="611" t="s">
        <v>517</v>
      </c>
      <c r="C54" s="969" t="s">
        <v>861</v>
      </c>
      <c r="D54" s="884"/>
      <c r="E54" s="884"/>
      <c r="F54" s="691" t="s">
        <v>799</v>
      </c>
      <c r="G54" s="791">
        <v>0</v>
      </c>
      <c r="H54" s="691" t="s">
        <v>862</v>
      </c>
      <c r="I54" s="792">
        <f t="shared" ref="I54:I55" si="0">I37</f>
        <v>35.28</v>
      </c>
      <c r="J54" s="644">
        <f t="shared" ref="J54:J55" si="1">G54*I54</f>
        <v>0</v>
      </c>
      <c r="K54" s="645"/>
    </row>
    <row r="55" spans="1:11" ht="24.75" customHeight="1">
      <c r="A55" s="603"/>
      <c r="B55" s="611" t="s">
        <v>520</v>
      </c>
      <c r="C55" s="969" t="s">
        <v>863</v>
      </c>
      <c r="D55" s="884"/>
      <c r="E55" s="884"/>
      <c r="F55" s="691" t="s">
        <v>802</v>
      </c>
      <c r="G55" s="791">
        <v>0</v>
      </c>
      <c r="H55" s="691" t="s">
        <v>864</v>
      </c>
      <c r="I55" s="792">
        <f t="shared" si="0"/>
        <v>50.4</v>
      </c>
      <c r="J55" s="644">
        <f t="shared" si="1"/>
        <v>0</v>
      </c>
      <c r="K55" s="645"/>
    </row>
    <row r="56" spans="1:11" ht="38.25" customHeight="1">
      <c r="A56" s="603"/>
      <c r="B56" s="611" t="s">
        <v>523</v>
      </c>
      <c r="C56" s="949" t="s">
        <v>865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4435.2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866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867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868</v>
      </c>
      <c r="C63" s="884"/>
      <c r="D63" s="884"/>
      <c r="E63" s="884"/>
      <c r="F63" s="884"/>
      <c r="G63" s="884"/>
      <c r="H63" s="884"/>
      <c r="I63" s="885"/>
      <c r="J63" s="657">
        <f>J58+J61</f>
        <v>4435.2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869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870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871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369.45</v>
      </c>
      <c r="K70" s="668"/>
    </row>
    <row r="71" spans="1:11" ht="14.25" customHeight="1">
      <c r="A71" s="603"/>
      <c r="B71" s="663" t="s">
        <v>465</v>
      </c>
      <c r="C71" s="970" t="s">
        <v>872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134.16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503.61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873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874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987.76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123.47</v>
      </c>
      <c r="K79" s="671"/>
    </row>
    <row r="80" spans="1:11" ht="11.25" customHeight="1">
      <c r="A80" s="603"/>
      <c r="B80" s="677" t="s">
        <v>467</v>
      </c>
      <c r="C80" s="949" t="s">
        <v>875</v>
      </c>
      <c r="D80" s="885"/>
      <c r="E80" s="794" t="s">
        <v>548</v>
      </c>
      <c r="F80" s="795">
        <f>'1-ABA-DE-CARREGAMENTO'!G57</f>
        <v>0.03</v>
      </c>
      <c r="G80" s="794" t="s">
        <v>549</v>
      </c>
      <c r="H80" s="796">
        <f>'1-ABA-DE-CARREGAMENTO'!G58</f>
        <v>1</v>
      </c>
      <c r="I80" s="682">
        <f>ROUND((F80*H80),6)</f>
        <v>0.03</v>
      </c>
      <c r="J80" s="679">
        <f>ROUND((J58+J72)*I80,2)</f>
        <v>148.16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74.08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49.39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29.63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9.8800000000000008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395.1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2">SUM(I78:I85)</f>
        <v>0.36800000000000005</v>
      </c>
      <c r="J86" s="670">
        <f t="shared" si="2"/>
        <v>1817.4700000000003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0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876</v>
      </c>
      <c r="D92" s="884"/>
      <c r="E92" s="884"/>
      <c r="F92" s="884"/>
      <c r="G92" s="884"/>
      <c r="H92" s="885"/>
      <c r="I92" s="691">
        <f>J47</f>
        <v>4435.2</v>
      </c>
      <c r="J92" s="692">
        <f>IF(ROUND((I93*I95*I94)-(J47*I96),2)&lt;0,0,ROUND((I93*I95*I94)-(J47*I96),2))</f>
        <v>24.29</v>
      </c>
      <c r="K92" s="671"/>
    </row>
    <row r="93" spans="1:11" ht="28.5" customHeight="1">
      <c r="A93" s="603"/>
      <c r="B93" s="690" t="s">
        <v>465</v>
      </c>
      <c r="C93" s="949" t="s">
        <v>877</v>
      </c>
      <c r="D93" s="884"/>
      <c r="E93" s="884"/>
      <c r="F93" s="884"/>
      <c r="G93" s="884"/>
      <c r="H93" s="884"/>
      <c r="I93" s="693">
        <f>'1-ABA-DE-CARREGAMENTO'!G72</f>
        <v>6.6</v>
      </c>
      <c r="J93" s="694" t="s">
        <v>476</v>
      </c>
      <c r="K93" s="652"/>
    </row>
    <row r="94" spans="1:11" ht="21" customHeight="1">
      <c r="A94" s="603"/>
      <c r="B94" s="690" t="s">
        <v>467</v>
      </c>
      <c r="C94" s="949" t="s">
        <v>878</v>
      </c>
      <c r="D94" s="884"/>
      <c r="E94" s="884"/>
      <c r="F94" s="884"/>
      <c r="G94" s="884"/>
      <c r="H94" s="885"/>
      <c r="I94" s="695">
        <f>'1-ABA-DE-CARREGAMENTO'!G73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'1-ABA-DE-CARREGAMENTO'!G74</f>
        <v>22</v>
      </c>
      <c r="J95" s="694" t="s">
        <v>476</v>
      </c>
      <c r="K95" s="652"/>
    </row>
    <row r="96" spans="1:11" ht="27" customHeight="1">
      <c r="A96" s="603"/>
      <c r="B96" s="690" t="s">
        <v>511</v>
      </c>
      <c r="C96" s="953" t="s">
        <v>879</v>
      </c>
      <c r="D96" s="884"/>
      <c r="E96" s="884"/>
      <c r="F96" s="884"/>
      <c r="G96" s="884"/>
      <c r="H96" s="885"/>
      <c r="I96" s="696">
        <f>'1-ABA-DE-CARREGAMENTO'!G75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880</v>
      </c>
      <c r="D97" s="884"/>
      <c r="E97" s="884"/>
      <c r="F97" s="884"/>
      <c r="G97" s="884"/>
      <c r="H97" s="884"/>
      <c r="I97" s="884"/>
      <c r="J97" s="692">
        <f>ROUND(I98*I99,2)-ROUND((I98*I99)*I100,2)</f>
        <v>408.64</v>
      </c>
      <c r="K97" s="671"/>
    </row>
    <row r="98" spans="1:11" ht="16.5" customHeight="1">
      <c r="A98" s="603"/>
      <c r="B98" s="690" t="s">
        <v>515</v>
      </c>
      <c r="C98" s="949" t="s">
        <v>881</v>
      </c>
      <c r="D98" s="884"/>
      <c r="E98" s="884"/>
      <c r="F98" s="884"/>
      <c r="G98" s="884"/>
      <c r="H98" s="884"/>
      <c r="I98" s="693">
        <f>IF('1-ABA-DE-CARREGAMENTO'!G60&gt;0,'1-ABA-DE-CARREGAMENTO'!G60,'1-ABA-DE-CARREGAMENTO'!G63)</f>
        <v>20.18</v>
      </c>
      <c r="J98" s="699"/>
      <c r="K98" s="652"/>
    </row>
    <row r="99" spans="1:11" ht="24" customHeight="1">
      <c r="A99" s="603"/>
      <c r="B99" s="690" t="s">
        <v>517</v>
      </c>
      <c r="C99" s="949" t="s">
        <v>882</v>
      </c>
      <c r="D99" s="884"/>
      <c r="E99" s="884"/>
      <c r="F99" s="884"/>
      <c r="G99" s="884"/>
      <c r="H99" s="884"/>
      <c r="I99" s="695">
        <f>'1-ABA-DE-CARREGAMENTO'!G62</f>
        <v>25</v>
      </c>
      <c r="J99" s="699"/>
      <c r="K99" s="652"/>
    </row>
    <row r="100" spans="1:11" ht="24" customHeight="1">
      <c r="A100" s="603"/>
      <c r="B100" s="690" t="s">
        <v>520</v>
      </c>
      <c r="C100" s="958" t="s">
        <v>883</v>
      </c>
      <c r="D100" s="884"/>
      <c r="E100" s="884"/>
      <c r="F100" s="884"/>
      <c r="G100" s="884"/>
      <c r="H100" s="885"/>
      <c r="I100" s="696">
        <f>'1-ABA-DE-CARREGAMENTO'!G61</f>
        <v>0.19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3.75" customHeight="1">
      <c r="A102" s="603"/>
      <c r="B102" s="690" t="s">
        <v>525</v>
      </c>
      <c r="C102" s="949" t="s">
        <v>884</v>
      </c>
      <c r="D102" s="884"/>
      <c r="E102" s="884"/>
      <c r="F102" s="884"/>
      <c r="G102" s="884"/>
      <c r="H102" s="884"/>
      <c r="I102" s="884"/>
      <c r="J102" s="679">
        <f>'1-ABA-DE-CARREGAMENTO'!G77</f>
        <v>0</v>
      </c>
      <c r="K102" s="671"/>
    </row>
    <row r="103" spans="1:11" ht="36" customHeight="1">
      <c r="A103" s="603"/>
      <c r="B103" s="690" t="s">
        <v>570</v>
      </c>
      <c r="C103" s="949" t="s">
        <v>885</v>
      </c>
      <c r="D103" s="884"/>
      <c r="E103" s="884"/>
      <c r="F103" s="884"/>
      <c r="G103" s="884"/>
      <c r="H103" s="884"/>
      <c r="I103" s="885"/>
      <c r="J103" s="679">
        <f>'1-ABA-DE-CARREGAMENTO'!G78</f>
        <v>0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'1-ABA-DE-CARREGAMENTO'!G76</f>
        <v>17.32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450.25</v>
      </c>
      <c r="K106" s="671"/>
    </row>
    <row r="107" spans="1:11" ht="17.2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22.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9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886</v>
      </c>
      <c r="D112" s="884"/>
      <c r="E112" s="884"/>
      <c r="F112" s="884"/>
      <c r="G112" s="884"/>
      <c r="H112" s="884"/>
      <c r="I112" s="885"/>
      <c r="J112" s="707">
        <f>J72</f>
        <v>503.61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1817.4700000000003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450.25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2771.3300000000004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1.25" customHeight="1">
      <c r="A119" s="603"/>
      <c r="B119" s="690" t="s">
        <v>463</v>
      </c>
      <c r="C119" s="949" t="s">
        <v>887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22.12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1.77</v>
      </c>
      <c r="K120" s="671"/>
    </row>
    <row r="121" spans="1:11" ht="26.25" customHeight="1">
      <c r="A121" s="603"/>
      <c r="B121" s="690" t="s">
        <v>467</v>
      </c>
      <c r="C121" s="949" t="s">
        <v>888</v>
      </c>
      <c r="D121" s="884"/>
      <c r="E121" s="884"/>
      <c r="F121" s="884"/>
      <c r="G121" s="884"/>
      <c r="H121" s="884"/>
      <c r="I121" s="885"/>
      <c r="J121" s="679">
        <f>ROUND(((7/30)/$I$11)*$J$58*1,2)</f>
        <v>51.74</v>
      </c>
      <c r="K121" s="671"/>
    </row>
    <row r="122" spans="1:11" ht="18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19.04</v>
      </c>
      <c r="K122" s="671"/>
    </row>
    <row r="123" spans="1:11" ht="36" customHeight="1">
      <c r="A123" s="603"/>
      <c r="B123" s="690" t="s">
        <v>511</v>
      </c>
      <c r="C123" s="949" t="s">
        <v>889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177.41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272.08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17.2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28.5" customHeight="1">
      <c r="A128" s="603"/>
      <c r="B128" s="974" t="s">
        <v>890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28.5" customHeight="1">
      <c r="A129" s="603"/>
      <c r="B129" s="716" t="s">
        <v>590</v>
      </c>
      <c r="C129" s="717">
        <f>J58</f>
        <v>4435.2</v>
      </c>
      <c r="D129" s="718" t="s">
        <v>591</v>
      </c>
      <c r="E129" s="716" t="s">
        <v>891</v>
      </c>
      <c r="F129" s="717">
        <f>J115-J92-J97</f>
        <v>2338.4000000000005</v>
      </c>
      <c r="G129" s="718" t="s">
        <v>591</v>
      </c>
      <c r="H129" s="716" t="s">
        <v>593</v>
      </c>
      <c r="I129" s="717">
        <f>J124</f>
        <v>272.08</v>
      </c>
      <c r="J129" s="719">
        <f>C129+F129+I129</f>
        <v>7045.68</v>
      </c>
      <c r="K129" s="720"/>
    </row>
    <row r="130" spans="1:11" ht="30.7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21.75" customHeight="1">
      <c r="A133" s="603"/>
      <c r="B133" s="690" t="s">
        <v>463</v>
      </c>
      <c r="C133" s="969" t="s">
        <v>892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550.6063200000001</v>
      </c>
      <c r="K133" s="671"/>
    </row>
    <row r="134" spans="1:11" ht="17.25" customHeight="1">
      <c r="A134" s="603"/>
      <c r="B134" s="690" t="s">
        <v>465</v>
      </c>
      <c r="C134" s="949" t="s">
        <v>893</v>
      </c>
      <c r="D134" s="884"/>
      <c r="E134" s="884"/>
      <c r="F134" s="884"/>
      <c r="G134" s="884"/>
      <c r="H134" s="884"/>
      <c r="I134" s="885"/>
      <c r="J134" s="679">
        <f>ROUND((1/30)/12*(J129),2)</f>
        <v>19.57</v>
      </c>
      <c r="K134" s="671"/>
    </row>
    <row r="135" spans="1:11" ht="27" customHeight="1">
      <c r="A135" s="603"/>
      <c r="B135" s="690" t="s">
        <v>467</v>
      </c>
      <c r="C135" s="949" t="s">
        <v>894</v>
      </c>
      <c r="D135" s="884"/>
      <c r="E135" s="884"/>
      <c r="F135" s="884"/>
      <c r="G135" s="884"/>
      <c r="H135" s="884"/>
      <c r="I135" s="885"/>
      <c r="J135" s="679">
        <f>ROUND((5/30)/12*0.015*(J129),2)</f>
        <v>1.47</v>
      </c>
      <c r="K135" s="671"/>
    </row>
    <row r="136" spans="1:11" ht="27" customHeight="1">
      <c r="A136" s="603"/>
      <c r="B136" s="690" t="s">
        <v>469</v>
      </c>
      <c r="C136" s="949" t="s">
        <v>895</v>
      </c>
      <c r="D136" s="884"/>
      <c r="E136" s="884"/>
      <c r="F136" s="884"/>
      <c r="G136" s="884"/>
      <c r="H136" s="884"/>
      <c r="I136" s="885"/>
      <c r="J136" s="679">
        <f>ROUND(((15/30)/12)*0.0078*(J129),2)</f>
        <v>2.29</v>
      </c>
      <c r="K136" s="671"/>
    </row>
    <row r="137" spans="1:11" ht="27" customHeight="1">
      <c r="A137" s="603"/>
      <c r="B137" s="727" t="s">
        <v>511</v>
      </c>
      <c r="C137" s="1019" t="s">
        <v>896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6.4193333333333333</v>
      </c>
      <c r="K137" s="729"/>
    </row>
    <row r="138" spans="1:11" ht="24.75" customHeight="1">
      <c r="A138" s="603"/>
      <c r="B138" s="690" t="s">
        <v>513</v>
      </c>
      <c r="C138" s="949" t="s">
        <v>897</v>
      </c>
      <c r="D138" s="884"/>
      <c r="E138" s="884"/>
      <c r="F138" s="884"/>
      <c r="G138" s="884"/>
      <c r="H138" s="884"/>
      <c r="I138" s="885"/>
      <c r="J138" s="679">
        <f>ROUND(((3/30)/12)*(J129),2)</f>
        <v>58.71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639.06565333333356</v>
      </c>
      <c r="K139" s="671"/>
    </row>
    <row r="140" spans="1:11" ht="19.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19.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639.06565333333356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14.25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639.06565333333356</v>
      </c>
      <c r="K150" s="735"/>
    </row>
    <row r="151" spans="1:11" ht="15.7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5.7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15.7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27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9.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30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4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3.2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'1-ABA-DE-CARREGAMENTO'!G85</f>
        <v>0.06</v>
      </c>
      <c r="J164" s="679" t="e">
        <f>ROUND(I164*J163,2)</f>
        <v>#REF!</v>
      </c>
      <c r="K164" s="671"/>
    </row>
    <row r="165" spans="1:11" ht="51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'1-ABA-DE-CARREGAMENTO'!G86</f>
        <v>0.06</v>
      </c>
      <c r="J166" s="679" t="e">
        <f>ROUND(I166*J165,2)</f>
        <v>#REF!</v>
      </c>
      <c r="K166" s="671"/>
    </row>
    <row r="167" spans="1:11" ht="54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30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30" customHeight="1">
      <c r="A170" s="603"/>
      <c r="B170" s="690"/>
      <c r="C170" s="1018" t="s">
        <v>898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3">ROUND(($J$167/(1-$I$179))*I170,2)</f>
        <v>#REF!</v>
      </c>
      <c r="K170" s="756"/>
    </row>
    <row r="171" spans="1:11" ht="19.5" customHeight="1">
      <c r="A171" s="603"/>
      <c r="B171" s="690"/>
      <c r="C171" s="1018" t="s">
        <v>899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3"/>
        <v>#REF!</v>
      </c>
      <c r="K171" s="756"/>
    </row>
    <row r="172" spans="1:11" ht="23.25" customHeight="1">
      <c r="A172" s="603"/>
      <c r="B172" s="690"/>
      <c r="C172" s="949" t="s">
        <v>900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3.25" customHeight="1">
      <c r="A173" s="603"/>
      <c r="B173" s="690"/>
      <c r="C173" s="949" t="s">
        <v>901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902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5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4">SUM(I170:I176)</f>
        <v>0.1225</v>
      </c>
      <c r="J179" s="750" t="e">
        <f t="shared" si="4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9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25.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8.2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903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4435.2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2771.3300000000004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272.08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639.06565333333356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4.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9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35.2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5.25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5">E201*F201</f>
        <v>0</v>
      </c>
      <c r="I201" s="1027">
        <f t="shared" ref="I201:I203" si="6">F201*H201</f>
        <v>0</v>
      </c>
      <c r="J201" s="885"/>
      <c r="K201" s="774"/>
    </row>
    <row r="202" spans="1:11" ht="35.2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5"/>
        <v>0</v>
      </c>
      <c r="I202" s="1027">
        <f t="shared" si="6"/>
        <v>0</v>
      </c>
      <c r="J202" s="885"/>
      <c r="K202" s="774"/>
    </row>
    <row r="203" spans="1:11" ht="35.25" customHeight="1" collapsed="1">
      <c r="A203" s="603"/>
      <c r="B203" s="1046" t="str">
        <f>B3</f>
        <v>A NÃO TEM MAIS POSTOS-22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6"/>
        <v>#REF!</v>
      </c>
      <c r="J203" s="885"/>
      <c r="K203" s="774"/>
    </row>
    <row r="204" spans="1:11" ht="35.2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7">E204*G204</f>
        <v>0</v>
      </c>
      <c r="I204" s="1027">
        <f t="shared" si="7"/>
        <v>0</v>
      </c>
      <c r="J204" s="885"/>
      <c r="K204" s="774"/>
    </row>
    <row r="205" spans="1:11" ht="35.25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8">E205*G205</f>
        <v>0</v>
      </c>
      <c r="I205" s="1027">
        <f t="shared" si="8"/>
        <v>0</v>
      </c>
      <c r="J205" s="885"/>
      <c r="K205" s="774"/>
    </row>
    <row r="206" spans="1:11" ht="15.75" hidden="1" customHeight="1" outlineLevel="1">
      <c r="A206" s="603"/>
      <c r="B206" s="1048" t="s">
        <v>904</v>
      </c>
      <c r="C206" s="884"/>
      <c r="D206" s="884"/>
      <c r="E206" s="885"/>
      <c r="F206" s="1027">
        <v>0</v>
      </c>
      <c r="G206" s="885"/>
      <c r="H206" s="773">
        <f t="shared" ref="H206:I206" si="9">E206*G206</f>
        <v>0</v>
      </c>
      <c r="I206" s="1027">
        <f t="shared" si="9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15.7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6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6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6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905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6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1">
    <mergeCell ref="B152:J152"/>
    <mergeCell ref="C153:I153"/>
    <mergeCell ref="C154:I154"/>
    <mergeCell ref="C155:I155"/>
    <mergeCell ref="C156:I156"/>
    <mergeCell ref="C98:H98"/>
    <mergeCell ref="C99:H99"/>
    <mergeCell ref="C100:H100"/>
    <mergeCell ref="C101:I101"/>
    <mergeCell ref="C102:I102"/>
    <mergeCell ref="C103:I103"/>
    <mergeCell ref="C104:I104"/>
    <mergeCell ref="C105:I105"/>
    <mergeCell ref="B144:I144"/>
    <mergeCell ref="B145:J145"/>
    <mergeCell ref="B146:J146"/>
    <mergeCell ref="C147:I147"/>
    <mergeCell ref="C148:I148"/>
    <mergeCell ref="C91:I91"/>
    <mergeCell ref="C92:H92"/>
    <mergeCell ref="C93:H93"/>
    <mergeCell ref="C94:H94"/>
    <mergeCell ref="C95:H95"/>
    <mergeCell ref="C96:H96"/>
    <mergeCell ref="C149:I149"/>
    <mergeCell ref="B150:I150"/>
    <mergeCell ref="B151:J151"/>
    <mergeCell ref="B158:J158"/>
    <mergeCell ref="B157:I157"/>
    <mergeCell ref="C164:H164"/>
    <mergeCell ref="B165:H165"/>
    <mergeCell ref="C166:H166"/>
    <mergeCell ref="B167:H16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59:J159"/>
    <mergeCell ref="B161:J161"/>
    <mergeCell ref="C162:H162"/>
    <mergeCell ref="B163:H163"/>
    <mergeCell ref="C168:H168"/>
    <mergeCell ref="C169:H169"/>
    <mergeCell ref="C170:H170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C41:H41"/>
    <mergeCell ref="I41:J41"/>
    <mergeCell ref="B42:J42"/>
    <mergeCell ref="B43:J43"/>
    <mergeCell ref="B44:J44"/>
    <mergeCell ref="B45:J45"/>
    <mergeCell ref="C46:H46"/>
    <mergeCell ref="C47:F47"/>
    <mergeCell ref="C48:E48"/>
    <mergeCell ref="F48:H48"/>
    <mergeCell ref="C49:H49"/>
    <mergeCell ref="C50:F50"/>
    <mergeCell ref="G50:H50"/>
    <mergeCell ref="C51:E51"/>
    <mergeCell ref="C52:I52"/>
    <mergeCell ref="C53:I53"/>
    <mergeCell ref="C54:E54"/>
    <mergeCell ref="C55:E55"/>
    <mergeCell ref="C56:I56"/>
    <mergeCell ref="C57:I57"/>
    <mergeCell ref="B58:I58"/>
    <mergeCell ref="C59:I59"/>
    <mergeCell ref="C60:I60"/>
    <mergeCell ref="B61:I61"/>
    <mergeCell ref="B62:J62"/>
    <mergeCell ref="B63:I63"/>
    <mergeCell ref="B64:J64"/>
    <mergeCell ref="B65:J65"/>
    <mergeCell ref="B66:J66"/>
    <mergeCell ref="C114:I114"/>
    <mergeCell ref="C97:I97"/>
    <mergeCell ref="B67:J67"/>
    <mergeCell ref="B68:J68"/>
    <mergeCell ref="C69:I69"/>
    <mergeCell ref="C70:H70"/>
    <mergeCell ref="C71:H71"/>
    <mergeCell ref="B72:I72"/>
    <mergeCell ref="B73:J73"/>
    <mergeCell ref="B74:J74"/>
    <mergeCell ref="B75:J75"/>
    <mergeCell ref="C77:H77"/>
    <mergeCell ref="C78:H78"/>
    <mergeCell ref="C79:H79"/>
    <mergeCell ref="C80:D80"/>
    <mergeCell ref="C81:H81"/>
    <mergeCell ref="C82:H82"/>
    <mergeCell ref="C83:H83"/>
    <mergeCell ref="C84:H84"/>
    <mergeCell ref="C85:H85"/>
    <mergeCell ref="B86:H86"/>
    <mergeCell ref="B88:J88"/>
    <mergeCell ref="B89:J89"/>
    <mergeCell ref="B90:J90"/>
    <mergeCell ref="C188:I188"/>
    <mergeCell ref="C189:I189"/>
    <mergeCell ref="B76:J76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15:I115"/>
    <mergeCell ref="B116:J116"/>
    <mergeCell ref="B117:J117"/>
    <mergeCell ref="C118:I118"/>
    <mergeCell ref="C119:I119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C171:H171"/>
    <mergeCell ref="C172:H172"/>
    <mergeCell ref="C173:H173"/>
    <mergeCell ref="C174:H174"/>
    <mergeCell ref="C175:H175"/>
    <mergeCell ref="C176:H176"/>
    <mergeCell ref="B177:I177"/>
    <mergeCell ref="B178:J178"/>
    <mergeCell ref="B179:H179"/>
    <mergeCell ref="B208:J208"/>
    <mergeCell ref="B209:J209"/>
    <mergeCell ref="B215:G215"/>
    <mergeCell ref="H215:J215"/>
    <mergeCell ref="B216:J216"/>
    <mergeCell ref="B210:J210"/>
    <mergeCell ref="B211:G211"/>
    <mergeCell ref="H211:J211"/>
    <mergeCell ref="B212:J212"/>
    <mergeCell ref="B213:G213"/>
    <mergeCell ref="H213:J213"/>
    <mergeCell ref="B214:J214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B201:E201"/>
    <mergeCell ref="F201:G201"/>
    <mergeCell ref="I201:J201"/>
    <mergeCell ref="I203:J203"/>
    <mergeCell ref="I204:J204"/>
    <mergeCell ref="I205:J205"/>
    <mergeCell ref="B205:E205"/>
    <mergeCell ref="F205:G205"/>
    <mergeCell ref="I206:J206"/>
    <mergeCell ref="I207:J207"/>
    <mergeCell ref="B202:E202"/>
    <mergeCell ref="F202:G202"/>
    <mergeCell ref="I202:J202"/>
    <mergeCell ref="B203:E203"/>
    <mergeCell ref="F203:G203"/>
    <mergeCell ref="B204:E204"/>
    <mergeCell ref="F204:G204"/>
    <mergeCell ref="B207:G207"/>
    <mergeCell ref="B206:E206"/>
    <mergeCell ref="F206:G206"/>
  </mergeCells>
  <conditionalFormatting sqref="I49:I50">
    <cfRule type="cellIs" dxfId="85" priority="1" operator="equal">
      <formula>0</formula>
    </cfRule>
  </conditionalFormatting>
  <conditionalFormatting sqref="I48">
    <cfRule type="cellIs" dxfId="8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6DDE8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8" width="14.28515625" customWidth="1"/>
    <col min="9" max="9" width="11.28515625" customWidth="1"/>
    <col min="10" max="10" width="15.8554687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'1-ABA-DE-CARREGAMENTO'!H33</f>
        <v>A NÃO TEM MAIS POSTOS-33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VLOOKUP('1-ABA-DE-CARREGAMENTO'!H35,'DADOS-CADASTRAIS'!C6:J16,1,0)</f>
        <v>RS005021/2021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'1-ABA-DE-CARREGAMENTO'!H94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26.2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POSTOS-33</v>
      </c>
      <c r="C17" s="884"/>
      <c r="D17" s="884"/>
      <c r="E17" s="884"/>
      <c r="F17" s="885"/>
      <c r="G17" s="987" t="s">
        <v>475</v>
      </c>
      <c r="H17" s="885"/>
      <c r="I17" s="988">
        <f>'1-ABA-DE-CARREGAMENTO'!H92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906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907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7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'1-ABA-DE-CARREGAMENTO'!H33</f>
        <v>A NÃO TEM MAIS POSTOS-33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4.5" customHeight="1">
      <c r="A29" s="603"/>
      <c r="B29" s="611">
        <v>3</v>
      </c>
      <c r="C29" s="1010" t="s">
        <v>665</v>
      </c>
      <c r="D29" s="866"/>
      <c r="E29" s="789">
        <v>220</v>
      </c>
      <c r="F29" s="625">
        <f>'1-ABA-DE-CARREGAMENTO'!H37</f>
        <v>1396.01</v>
      </c>
      <c r="G29" s="608" t="s">
        <v>488</v>
      </c>
      <c r="H29" s="626">
        <f>'1-ABA-DE-CARREGAMENTO'!H52</f>
        <v>220</v>
      </c>
      <c r="I29" s="1011">
        <f>F29/E29*H29</f>
        <v>1396.01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'1-ABA-DE-CARREGAMENTO'!H36</f>
        <v>01 de JANEIRO</v>
      </c>
      <c r="J31" s="885"/>
      <c r="K31" s="629"/>
    </row>
    <row r="32" spans="1:11" ht="12.75" customHeight="1">
      <c r="A32" s="603"/>
      <c r="B32" s="630">
        <v>6</v>
      </c>
      <c r="C32" s="953" t="s">
        <v>908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36.75" customHeight="1">
      <c r="A33" s="603"/>
      <c r="B33" s="630">
        <v>7</v>
      </c>
      <c r="C33" s="953" t="s">
        <v>909</v>
      </c>
      <c r="D33" s="884"/>
      <c r="E33" s="884"/>
      <c r="F33" s="885"/>
      <c r="G33" s="978"/>
      <c r="H33" s="885"/>
      <c r="I33" s="961">
        <f>SUM(J47:J50)/220</f>
        <v>6.3455000000000004</v>
      </c>
      <c r="J33" s="885"/>
      <c r="K33" s="631"/>
    </row>
    <row r="34" spans="1:11" ht="28.5" customHeight="1">
      <c r="A34" s="603"/>
      <c r="B34" s="630">
        <v>8</v>
      </c>
      <c r="C34" s="953" t="s">
        <v>910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8.5" customHeight="1">
      <c r="A35" s="603"/>
      <c r="B35" s="630">
        <v>9</v>
      </c>
      <c r="C35" s="953" t="s">
        <v>911</v>
      </c>
      <c r="D35" s="884"/>
      <c r="E35" s="884"/>
      <c r="F35" s="885"/>
      <c r="G35" s="978" t="s">
        <v>495</v>
      </c>
      <c r="H35" s="885"/>
      <c r="I35" s="1073">
        <f>I33*1.5</f>
        <v>9.5182500000000001</v>
      </c>
      <c r="J35" s="885"/>
      <c r="K35" s="632"/>
    </row>
    <row r="36" spans="1:11" ht="28.5" customHeight="1">
      <c r="A36" s="603"/>
      <c r="B36" s="630">
        <v>10</v>
      </c>
      <c r="C36" s="953" t="s">
        <v>912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28.5" customHeight="1">
      <c r="A37" s="603"/>
      <c r="B37" s="630">
        <v>11</v>
      </c>
      <c r="C37" s="953" t="s">
        <v>913</v>
      </c>
      <c r="D37" s="884"/>
      <c r="E37" s="884"/>
      <c r="F37" s="884"/>
      <c r="G37" s="884"/>
      <c r="H37" s="885"/>
      <c r="I37" s="961">
        <f>I33*2</f>
        <v>12.691000000000001</v>
      </c>
      <c r="J37" s="885"/>
      <c r="K37" s="631"/>
    </row>
    <row r="38" spans="1:11" ht="14.25" customHeight="1">
      <c r="A38" s="603"/>
      <c r="B38" s="630">
        <v>12</v>
      </c>
      <c r="C38" s="953" t="s">
        <v>914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'1-ABA-DE-CARREGAMENTO'!H93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8.5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'1-ABA-DE-CARREGAMENTO'!H52</f>
        <v>220</v>
      </c>
      <c r="I47" s="641"/>
      <c r="J47" s="644">
        <f>I29*I40</f>
        <v>1396.01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'1-ABA-DE-CARREGAMENTO'!H38</f>
        <v>SEM ADICIONAL DE FUNÇÃO</v>
      </c>
      <c r="G48" s="884"/>
      <c r="H48" s="885"/>
      <c r="I48" s="786">
        <f>'1-ABA-DE-CARREGAMENTO'!H39</f>
        <v>0</v>
      </c>
      <c r="J48" s="644">
        <f>J47*I48</f>
        <v>0</v>
      </c>
      <c r="K48" s="645"/>
    </row>
    <row r="49" spans="1:11" ht="27" customHeight="1">
      <c r="A49" s="603"/>
      <c r="B49" s="611" t="s">
        <v>467</v>
      </c>
      <c r="C49" s="949" t="s">
        <v>915</v>
      </c>
      <c r="D49" s="884"/>
      <c r="E49" s="884"/>
      <c r="F49" s="884"/>
      <c r="G49" s="884"/>
      <c r="H49" s="885"/>
      <c r="I49" s="754">
        <f>'1-ABA-DE-CARREGAMENTO'!H44</f>
        <v>0</v>
      </c>
      <c r="J49" s="644">
        <f>ROUND(J47*I49,2)</f>
        <v>0</v>
      </c>
      <c r="K49" s="645"/>
    </row>
    <row r="50" spans="1:11" ht="18" customHeight="1">
      <c r="A50" s="603"/>
      <c r="B50" s="611" t="s">
        <v>469</v>
      </c>
      <c r="C50" s="949" t="s">
        <v>916</v>
      </c>
      <c r="D50" s="884"/>
      <c r="E50" s="884"/>
      <c r="F50" s="884"/>
      <c r="G50" s="981" t="str">
        <f>'1-ABA-DE-CARREGAMENTO'!H40</f>
        <v>SEM ADICIONAL DE RISCO</v>
      </c>
      <c r="H50" s="885"/>
      <c r="I50" s="787">
        <f>'1-ABA-DE-CARREGAMENTO'!H41</f>
        <v>0</v>
      </c>
      <c r="J50" s="644">
        <f>ROUND(I50*I41,2)</f>
        <v>0</v>
      </c>
      <c r="K50" s="645"/>
    </row>
    <row r="51" spans="1:11" ht="31.5" customHeight="1">
      <c r="A51" s="603"/>
      <c r="B51" s="611" t="s">
        <v>511</v>
      </c>
      <c r="C51" s="949" t="s">
        <v>917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43.5" customHeight="1">
      <c r="A52" s="603"/>
      <c r="B52" s="611" t="s">
        <v>513</v>
      </c>
      <c r="C52" s="969" t="s">
        <v>918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1.5" customHeight="1">
      <c r="A53" s="603"/>
      <c r="B53" s="611" t="s">
        <v>515</v>
      </c>
      <c r="C53" s="969" t="s">
        <v>919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31.5" customHeight="1">
      <c r="A54" s="603"/>
      <c r="B54" s="611" t="s">
        <v>517</v>
      </c>
      <c r="C54" s="969" t="s">
        <v>518</v>
      </c>
      <c r="D54" s="884"/>
      <c r="E54" s="884"/>
      <c r="F54" s="982" t="s">
        <v>920</v>
      </c>
      <c r="G54" s="884"/>
      <c r="H54" s="884"/>
      <c r="I54" s="650">
        <f>'1-ABA-DE-CARREGAMENTO'!H65</f>
        <v>4.33</v>
      </c>
      <c r="J54" s="644">
        <f>ROUND((((SUM(J47:J50))/220)*1.5)*I54,2)</f>
        <v>41.21</v>
      </c>
      <c r="K54" s="645"/>
    </row>
    <row r="55" spans="1:11" ht="31.5" customHeight="1">
      <c r="A55" s="603"/>
      <c r="B55" s="611" t="s">
        <v>520</v>
      </c>
      <c r="C55" s="969" t="s">
        <v>521</v>
      </c>
      <c r="D55" s="884"/>
      <c r="E55" s="884"/>
      <c r="F55" s="982" t="s">
        <v>921</v>
      </c>
      <c r="G55" s="884"/>
      <c r="H55" s="884"/>
      <c r="I55" s="650">
        <f>'1-ABA-DE-CARREGAMENTO'!H68</f>
        <v>10.67</v>
      </c>
      <c r="J55" s="644">
        <f>ROUND((((SUM(J47:J50))/220)*2)*I55,2)</f>
        <v>135.41</v>
      </c>
      <c r="K55" s="645"/>
    </row>
    <row r="56" spans="1:11" ht="43.5" customHeight="1">
      <c r="A56" s="603"/>
      <c r="B56" s="611" t="s">
        <v>523</v>
      </c>
      <c r="C56" s="949" t="s">
        <v>922</v>
      </c>
      <c r="D56" s="884"/>
      <c r="E56" s="884"/>
      <c r="F56" s="884"/>
      <c r="G56" s="884"/>
      <c r="H56" s="884"/>
      <c r="I56" s="885"/>
      <c r="J56" s="644">
        <f>ROUND(((J54+J55)/25)*5,2)</f>
        <v>35.32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1607.95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923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924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925</v>
      </c>
      <c r="C63" s="884"/>
      <c r="D63" s="884"/>
      <c r="E63" s="884"/>
      <c r="F63" s="884"/>
      <c r="G63" s="884"/>
      <c r="H63" s="884"/>
      <c r="I63" s="885"/>
      <c r="J63" s="657">
        <f>J58+J61</f>
        <v>1607.95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926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927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928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133.94</v>
      </c>
      <c r="K70" s="668"/>
    </row>
    <row r="71" spans="1:11" ht="14.25" customHeight="1">
      <c r="A71" s="603"/>
      <c r="B71" s="663" t="s">
        <v>465</v>
      </c>
      <c r="C71" s="970" t="s">
        <v>929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48.64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182.57999999999998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930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931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358.11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44.76</v>
      </c>
      <c r="K79" s="671"/>
    </row>
    <row r="80" spans="1:11" ht="11.25" customHeight="1">
      <c r="A80" s="603"/>
      <c r="B80" s="677" t="s">
        <v>467</v>
      </c>
      <c r="C80" s="949" t="s">
        <v>932</v>
      </c>
      <c r="D80" s="885"/>
      <c r="E80" s="794" t="s">
        <v>548</v>
      </c>
      <c r="F80" s="795">
        <f>'1-ABA-DE-CARREGAMENTO'!H57</f>
        <v>0.03</v>
      </c>
      <c r="G80" s="794" t="s">
        <v>549</v>
      </c>
      <c r="H80" s="796">
        <f>'1-ABA-DE-CARREGAMENTO'!H58</f>
        <v>1</v>
      </c>
      <c r="I80" s="682">
        <f>ROUND((F80*H80),6)</f>
        <v>0.03</v>
      </c>
      <c r="J80" s="679">
        <f>ROUND((J58+J72)*I80,2)</f>
        <v>53.72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26.86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17.91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10.74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3.58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143.24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658.92000000000007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4.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797" t="s">
        <v>536</v>
      </c>
      <c r="K91" s="613"/>
    </row>
    <row r="92" spans="1:11" ht="15" customHeight="1">
      <c r="A92" s="603"/>
      <c r="B92" s="690" t="s">
        <v>463</v>
      </c>
      <c r="C92" s="949" t="s">
        <v>933</v>
      </c>
      <c r="D92" s="884"/>
      <c r="E92" s="884"/>
      <c r="F92" s="884"/>
      <c r="G92" s="884"/>
      <c r="H92" s="885"/>
      <c r="I92" s="691">
        <f>J47</f>
        <v>1396.01</v>
      </c>
      <c r="J92" s="692">
        <f>IF(ROUND((I93*I95*I94)-(J47*I96),2)&lt;0,0,ROUND((I93*I95*I94)-(J47*I96),2))</f>
        <v>206.64</v>
      </c>
      <c r="K92" s="671"/>
    </row>
    <row r="93" spans="1:11" ht="28.5" customHeight="1">
      <c r="A93" s="603"/>
      <c r="B93" s="690" t="s">
        <v>465</v>
      </c>
      <c r="C93" s="949" t="s">
        <v>934</v>
      </c>
      <c r="D93" s="884"/>
      <c r="E93" s="884"/>
      <c r="F93" s="884"/>
      <c r="G93" s="884"/>
      <c r="H93" s="884"/>
      <c r="I93" s="698">
        <f>'1-ABA-DE-CARREGAMENTO'!H72</f>
        <v>6.6</v>
      </c>
      <c r="J93" s="694" t="s">
        <v>476</v>
      </c>
      <c r="K93" s="652"/>
    </row>
    <row r="94" spans="1:11" ht="25.5" customHeight="1">
      <c r="A94" s="603"/>
      <c r="B94" s="690" t="s">
        <v>467</v>
      </c>
      <c r="C94" s="949" t="s">
        <v>935</v>
      </c>
      <c r="D94" s="884"/>
      <c r="E94" s="884"/>
      <c r="F94" s="884"/>
      <c r="G94" s="884"/>
      <c r="H94" s="885"/>
      <c r="I94" s="700">
        <f>'1-ABA-DE-CARREGAMENTO'!H73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700">
        <f>'1-ABA-DE-CARREGAMENTO'!H74</f>
        <v>22</v>
      </c>
      <c r="J95" s="694" t="s">
        <v>476</v>
      </c>
      <c r="K95" s="652"/>
    </row>
    <row r="96" spans="1:11" ht="25.5" customHeight="1">
      <c r="A96" s="603"/>
      <c r="B96" s="690" t="s">
        <v>511</v>
      </c>
      <c r="C96" s="953" t="s">
        <v>936</v>
      </c>
      <c r="D96" s="884"/>
      <c r="E96" s="884"/>
      <c r="F96" s="884"/>
      <c r="G96" s="884"/>
      <c r="H96" s="885"/>
      <c r="I96" s="696">
        <f>'1-ABA-DE-CARREGAMENTO'!H75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937</v>
      </c>
      <c r="D97" s="884"/>
      <c r="E97" s="884"/>
      <c r="F97" s="884"/>
      <c r="G97" s="884"/>
      <c r="H97" s="884"/>
      <c r="I97" s="884"/>
      <c r="J97" s="798">
        <f>ROUND(I98*I99,2)-ROUND((I98*I99)*I100,2)</f>
        <v>408.64</v>
      </c>
      <c r="K97" s="671"/>
    </row>
    <row r="98" spans="1:11" ht="15" customHeight="1">
      <c r="A98" s="603"/>
      <c r="B98" s="690" t="s">
        <v>515</v>
      </c>
      <c r="C98" s="949" t="s">
        <v>938</v>
      </c>
      <c r="D98" s="884"/>
      <c r="E98" s="884"/>
      <c r="F98" s="884"/>
      <c r="G98" s="884"/>
      <c r="H98" s="884"/>
      <c r="I98" s="693">
        <f>IF('1-ABA-DE-CARREGAMENTO'!H60&gt;0,'1-ABA-DE-CARREGAMENTO'!H60,'1-ABA-DE-CARREGAMENTO'!H63)</f>
        <v>20.18</v>
      </c>
      <c r="J98" s="699"/>
      <c r="K98" s="652"/>
    </row>
    <row r="99" spans="1:11" ht="22.5" customHeight="1">
      <c r="A99" s="603"/>
      <c r="B99" s="690" t="s">
        <v>517</v>
      </c>
      <c r="C99" s="949" t="s">
        <v>939</v>
      </c>
      <c r="D99" s="884"/>
      <c r="E99" s="884"/>
      <c r="F99" s="884"/>
      <c r="G99" s="884"/>
      <c r="H99" s="884"/>
      <c r="I99" s="695">
        <f>'1-ABA-DE-CARREGAMENTO'!H62</f>
        <v>25</v>
      </c>
      <c r="J99" s="699"/>
      <c r="K99" s="652"/>
    </row>
    <row r="100" spans="1:11" ht="25.5" customHeight="1">
      <c r="A100" s="603"/>
      <c r="B100" s="690" t="s">
        <v>520</v>
      </c>
      <c r="C100" s="958" t="s">
        <v>940</v>
      </c>
      <c r="D100" s="884"/>
      <c r="E100" s="884"/>
      <c r="F100" s="884"/>
      <c r="G100" s="884"/>
      <c r="H100" s="885"/>
      <c r="I100" s="696">
        <f>'1-ABA-DE-CARREGAMENTO'!H61</f>
        <v>0.19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24" customHeight="1">
      <c r="A102" s="603"/>
      <c r="B102" s="690" t="s">
        <v>525</v>
      </c>
      <c r="C102" s="949" t="s">
        <v>941</v>
      </c>
      <c r="D102" s="884"/>
      <c r="E102" s="884"/>
      <c r="F102" s="884"/>
      <c r="G102" s="884"/>
      <c r="H102" s="884"/>
      <c r="I102" s="884"/>
      <c r="J102" s="679">
        <f>'1-ABA-DE-CARREGAMENTO'!H77</f>
        <v>0</v>
      </c>
      <c r="K102" s="671"/>
    </row>
    <row r="103" spans="1:11" ht="39.75" customHeight="1">
      <c r="A103" s="603"/>
      <c r="B103" s="690" t="s">
        <v>570</v>
      </c>
      <c r="C103" s="949" t="s">
        <v>942</v>
      </c>
      <c r="D103" s="884"/>
      <c r="E103" s="884"/>
      <c r="F103" s="884"/>
      <c r="G103" s="884"/>
      <c r="H103" s="884"/>
      <c r="I103" s="885"/>
      <c r="J103" s="679">
        <f>'1-ABA-DE-CARREGAMENTO'!H78</f>
        <v>0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'1-ABA-DE-CARREGAMENTO'!H76</f>
        <v>17.32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632.6</v>
      </c>
      <c r="K106" s="671"/>
    </row>
    <row r="107" spans="1:11" ht="17.2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21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9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943</v>
      </c>
      <c r="D112" s="884"/>
      <c r="E112" s="884"/>
      <c r="F112" s="884"/>
      <c r="G112" s="884"/>
      <c r="H112" s="884"/>
      <c r="I112" s="885"/>
      <c r="J112" s="707">
        <f>J72</f>
        <v>182.57999999999998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658.92000000000007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632.6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1474.1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0.5" customHeight="1">
      <c r="A119" s="603"/>
      <c r="B119" s="690" t="s">
        <v>463</v>
      </c>
      <c r="C119" s="949" t="s">
        <v>944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8.02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0.64</v>
      </c>
      <c r="K120" s="671"/>
    </row>
    <row r="121" spans="1:11" ht="30.75" customHeight="1">
      <c r="A121" s="603"/>
      <c r="B121" s="690" t="s">
        <v>467</v>
      </c>
      <c r="C121" s="949" t="s">
        <v>945</v>
      </c>
      <c r="D121" s="884"/>
      <c r="E121" s="884"/>
      <c r="F121" s="884"/>
      <c r="G121" s="884"/>
      <c r="H121" s="884"/>
      <c r="I121" s="885"/>
      <c r="J121" s="679">
        <f>ROUND(((7/30)/$I$11)*$J$58*1,2)</f>
        <v>18.760000000000002</v>
      </c>
      <c r="K121" s="671"/>
    </row>
    <row r="122" spans="1:11" ht="18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6.9</v>
      </c>
      <c r="K122" s="671"/>
    </row>
    <row r="123" spans="1:11" ht="32.25" customHeight="1">
      <c r="A123" s="603"/>
      <c r="B123" s="690" t="s">
        <v>511</v>
      </c>
      <c r="C123" s="949" t="s">
        <v>946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64.319999999999993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98.639999999999986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17.2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28.5" customHeight="1">
      <c r="A128" s="603"/>
      <c r="B128" s="974" t="s">
        <v>947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30.75" customHeight="1">
      <c r="A129" s="603"/>
      <c r="B129" s="716" t="s">
        <v>590</v>
      </c>
      <c r="C129" s="717">
        <f>J58</f>
        <v>1607.95</v>
      </c>
      <c r="D129" s="718" t="s">
        <v>591</v>
      </c>
      <c r="E129" s="716" t="s">
        <v>948</v>
      </c>
      <c r="F129" s="717">
        <f>J115-J92-J97</f>
        <v>858.82</v>
      </c>
      <c r="G129" s="718" t="s">
        <v>591</v>
      </c>
      <c r="H129" s="716" t="s">
        <v>593</v>
      </c>
      <c r="I129" s="717">
        <f>J124</f>
        <v>98.639999999999986</v>
      </c>
      <c r="J129" s="719">
        <f>C129+F129+I129</f>
        <v>2565.41</v>
      </c>
      <c r="K129" s="720"/>
    </row>
    <row r="130" spans="1:11" ht="30.7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51" customHeight="1">
      <c r="A133" s="603"/>
      <c r="B133" s="690" t="s">
        <v>463</v>
      </c>
      <c r="C133" s="969" t="s">
        <v>949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199.61856</v>
      </c>
      <c r="K133" s="671"/>
    </row>
    <row r="134" spans="1:11" ht="17.25" customHeight="1">
      <c r="A134" s="603"/>
      <c r="B134" s="690" t="s">
        <v>465</v>
      </c>
      <c r="C134" s="949" t="s">
        <v>950</v>
      </c>
      <c r="D134" s="884"/>
      <c r="E134" s="884"/>
      <c r="F134" s="884"/>
      <c r="G134" s="884"/>
      <c r="H134" s="884"/>
      <c r="I134" s="885"/>
      <c r="J134" s="679">
        <f>ROUND((1/30)/12*(J129),2)</f>
        <v>7.13</v>
      </c>
      <c r="K134" s="671"/>
    </row>
    <row r="135" spans="1:11" ht="29.25" customHeight="1">
      <c r="A135" s="603"/>
      <c r="B135" s="690" t="s">
        <v>467</v>
      </c>
      <c r="C135" s="949" t="s">
        <v>951</v>
      </c>
      <c r="D135" s="884"/>
      <c r="E135" s="884"/>
      <c r="F135" s="884"/>
      <c r="G135" s="884"/>
      <c r="H135" s="884"/>
      <c r="I135" s="885"/>
      <c r="J135" s="679">
        <f>ROUND((5/30)/12*0.015*(J129),2)</f>
        <v>0.53</v>
      </c>
      <c r="K135" s="671"/>
    </row>
    <row r="136" spans="1:11" ht="28.5" customHeight="1">
      <c r="A136" s="603"/>
      <c r="B136" s="690" t="s">
        <v>469</v>
      </c>
      <c r="C136" s="949" t="s">
        <v>952</v>
      </c>
      <c r="D136" s="884"/>
      <c r="E136" s="884"/>
      <c r="F136" s="884"/>
      <c r="G136" s="884"/>
      <c r="H136" s="884"/>
      <c r="I136" s="885"/>
      <c r="J136" s="679">
        <f>ROUND(((15/30)/12)*0.0078*(J129),2)</f>
        <v>0.83</v>
      </c>
      <c r="K136" s="671"/>
    </row>
    <row r="137" spans="1:11" ht="30.75" customHeight="1">
      <c r="A137" s="603"/>
      <c r="B137" s="727" t="s">
        <v>511</v>
      </c>
      <c r="C137" s="1019" t="s">
        <v>953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2.4030666666666667</v>
      </c>
      <c r="K137" s="729"/>
    </row>
    <row r="138" spans="1:11" ht="36" customHeight="1">
      <c r="A138" s="603"/>
      <c r="B138" s="690" t="s">
        <v>513</v>
      </c>
      <c r="C138" s="949" t="s">
        <v>954</v>
      </c>
      <c r="D138" s="884"/>
      <c r="E138" s="884"/>
      <c r="F138" s="884"/>
      <c r="G138" s="884"/>
      <c r="H138" s="884"/>
      <c r="I138" s="885"/>
      <c r="J138" s="679">
        <f>ROUND(((3/30)/12)*(J129),2)</f>
        <v>21.38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231.89162666666667</v>
      </c>
      <c r="K139" s="671"/>
    </row>
    <row r="140" spans="1:11" ht="19.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19.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231.89162666666667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231.89162666666667</v>
      </c>
      <c r="K150" s="735"/>
    </row>
    <row r="151" spans="1:11" ht="15.7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7.2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15.7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27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9.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18.7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4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7.7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'1-ABA-DE-CARREGAMENTO'!H85</f>
        <v>0.06</v>
      </c>
      <c r="J164" s="679" t="e">
        <f>ROUND(I164*J163,2)</f>
        <v>#REF!</v>
      </c>
      <c r="K164" s="671"/>
    </row>
    <row r="165" spans="1:11" ht="54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'1-ABA-DE-CARREGAMENTO'!H86</f>
        <v>0.06</v>
      </c>
      <c r="J166" s="679" t="e">
        <f>ROUND(I166*J165,2)</f>
        <v>#REF!</v>
      </c>
      <c r="K166" s="671"/>
    </row>
    <row r="167" spans="1:11" ht="54.7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30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1.75" customHeight="1">
      <c r="A170" s="603"/>
      <c r="B170" s="690"/>
      <c r="C170" s="1018" t="s">
        <v>955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21.75" customHeight="1">
      <c r="A171" s="603"/>
      <c r="B171" s="690"/>
      <c r="C171" s="1018" t="s">
        <v>956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7" customHeight="1">
      <c r="A172" s="603"/>
      <c r="B172" s="690"/>
      <c r="C172" s="949" t="s">
        <v>957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7" customHeight="1">
      <c r="A173" s="603"/>
      <c r="B173" s="690"/>
      <c r="C173" s="949" t="s">
        <v>958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959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5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10.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24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9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960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1607.95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1474.1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98.639999999999986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231.89162666666667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6.7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9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22.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6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6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6" customHeight="1" collapsed="1">
      <c r="A203" s="603"/>
      <c r="B203" s="1046" t="str">
        <f>B3</f>
        <v>A NÃO TEM MAIS POSTOS-33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36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6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15.75" hidden="1" customHeight="1" outlineLevel="1">
      <c r="A206" s="603"/>
      <c r="B206" s="1048" t="s">
        <v>961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15.7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6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6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6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962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6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83" priority="1" operator="equal">
      <formula>0</formula>
    </cfRule>
  </conditionalFormatting>
  <conditionalFormatting sqref="I48">
    <cfRule type="cellIs" dxfId="8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BD4B4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6.710937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'1-ABA-DE-CARREGAMENTO'!I33</f>
        <v>A NÃO TEM MAIS POSTOS-44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VLOOKUP('1-ABA-DE-CARREGAMENTO'!I35,'DADOS-CADASTRAIS'!C6:J16,1,0)</f>
        <v>RS005021/2021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'1-ABA-DE-CARREGAMENTO'!I94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25.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POSTOS-44</v>
      </c>
      <c r="C17" s="884"/>
      <c r="D17" s="884"/>
      <c r="E17" s="884"/>
      <c r="F17" s="885"/>
      <c r="G17" s="987" t="s">
        <v>475</v>
      </c>
      <c r="H17" s="885"/>
      <c r="I17" s="988">
        <f>'1-ABA-DE-CARREGAMENTO'!I92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963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964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5.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'1-ABA-DE-CARREGAMENTO'!I33</f>
        <v>A NÃO TEM MAIS POSTOS-44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5.25" customHeight="1">
      <c r="A29" s="603"/>
      <c r="B29" s="611">
        <v>3</v>
      </c>
      <c r="C29" s="1010" t="s">
        <v>665</v>
      </c>
      <c r="D29" s="866"/>
      <c r="E29" s="789">
        <v>220</v>
      </c>
      <c r="F29" s="625">
        <f>'1-ABA-DE-CARREGAMENTO'!I37</f>
        <v>1396.01</v>
      </c>
      <c r="G29" s="608" t="s">
        <v>488</v>
      </c>
      <c r="H29" s="626">
        <f>'1-ABA-DE-CARREGAMENTO'!I52</f>
        <v>220</v>
      </c>
      <c r="I29" s="1011">
        <f>F29/E29*H29</f>
        <v>1396.01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'1-ABA-DE-CARREGAMENTO'!I36</f>
        <v>01 de JANEIRO</v>
      </c>
      <c r="J31" s="885"/>
      <c r="K31" s="629"/>
    </row>
    <row r="32" spans="1:11" ht="12.75" customHeight="1">
      <c r="A32" s="603"/>
      <c r="B32" s="630">
        <v>6</v>
      </c>
      <c r="C32" s="953" t="s">
        <v>965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42.75" customHeight="1">
      <c r="A33" s="603"/>
      <c r="B33" s="630">
        <v>7</v>
      </c>
      <c r="C33" s="953" t="s">
        <v>966</v>
      </c>
      <c r="D33" s="884"/>
      <c r="E33" s="884"/>
      <c r="F33" s="885"/>
      <c r="G33" s="978"/>
      <c r="H33" s="885"/>
      <c r="I33" s="961">
        <f>SUM(J47:J50)/220</f>
        <v>6.3455000000000004</v>
      </c>
      <c r="J33" s="885"/>
      <c r="K33" s="631"/>
    </row>
    <row r="34" spans="1:11" ht="33" customHeight="1">
      <c r="A34" s="603"/>
      <c r="B34" s="630">
        <v>8</v>
      </c>
      <c r="C34" s="953" t="s">
        <v>967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33" customHeight="1">
      <c r="A35" s="603"/>
      <c r="B35" s="630">
        <v>9</v>
      </c>
      <c r="C35" s="953" t="s">
        <v>968</v>
      </c>
      <c r="D35" s="884"/>
      <c r="E35" s="884"/>
      <c r="F35" s="885"/>
      <c r="G35" s="978" t="s">
        <v>495</v>
      </c>
      <c r="H35" s="885"/>
      <c r="I35" s="1073">
        <f>I33*1.5</f>
        <v>9.5182500000000001</v>
      </c>
      <c r="J35" s="885"/>
      <c r="K35" s="632"/>
    </row>
    <row r="36" spans="1:11" ht="33" customHeight="1">
      <c r="A36" s="603"/>
      <c r="B36" s="630">
        <v>10</v>
      </c>
      <c r="C36" s="953" t="s">
        <v>969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33" customHeight="1">
      <c r="A37" s="603"/>
      <c r="B37" s="630">
        <v>11</v>
      </c>
      <c r="C37" s="953" t="s">
        <v>970</v>
      </c>
      <c r="D37" s="884"/>
      <c r="E37" s="884"/>
      <c r="F37" s="884"/>
      <c r="G37" s="884"/>
      <c r="H37" s="885"/>
      <c r="I37" s="961">
        <f>I33*2</f>
        <v>12.691000000000001</v>
      </c>
      <c r="J37" s="885"/>
      <c r="K37" s="631"/>
    </row>
    <row r="38" spans="1:11" ht="33" customHeight="1">
      <c r="A38" s="603"/>
      <c r="B38" s="630">
        <v>12</v>
      </c>
      <c r="C38" s="953" t="s">
        <v>971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'1-ABA-DE-CARREGAMENTO'!I93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4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'1-ABA-DE-CARREGAMENTO'!I52</f>
        <v>220</v>
      </c>
      <c r="I47" s="641"/>
      <c r="J47" s="644">
        <f>I29*I40</f>
        <v>1396.01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'1-ABA-DE-CARREGAMENTO'!I38</f>
        <v>SEM ADICIONAL DE FUNÇÃO</v>
      </c>
      <c r="G48" s="884"/>
      <c r="H48" s="885"/>
      <c r="I48" s="786">
        <f>'1-ABA-DE-CARREGAMENTO'!I39</f>
        <v>0</v>
      </c>
      <c r="J48" s="644">
        <f>J47*I48</f>
        <v>0</v>
      </c>
      <c r="K48" s="645"/>
    </row>
    <row r="49" spans="1:11" ht="27.75" customHeight="1">
      <c r="A49" s="603"/>
      <c r="B49" s="611" t="s">
        <v>467</v>
      </c>
      <c r="C49" s="949" t="s">
        <v>972</v>
      </c>
      <c r="D49" s="884"/>
      <c r="E49" s="884"/>
      <c r="F49" s="884"/>
      <c r="G49" s="884"/>
      <c r="H49" s="885"/>
      <c r="I49" s="754">
        <f>'1-ABA-DE-CARREGAMENTO'!I44</f>
        <v>0</v>
      </c>
      <c r="J49" s="644">
        <f>ROUND(J47*I49,2)</f>
        <v>0</v>
      </c>
      <c r="K49" s="645"/>
    </row>
    <row r="50" spans="1:11" ht="26.25" customHeight="1">
      <c r="A50" s="603"/>
      <c r="B50" s="611" t="s">
        <v>469</v>
      </c>
      <c r="C50" s="949" t="s">
        <v>973</v>
      </c>
      <c r="D50" s="884"/>
      <c r="E50" s="884"/>
      <c r="F50" s="884"/>
      <c r="G50" s="981" t="str">
        <f>'1-ABA-DE-CARREGAMENTO'!I40</f>
        <v>SEM ADICIONAL DE RISCO</v>
      </c>
      <c r="H50" s="885"/>
      <c r="I50" s="787">
        <f>'1-ABA-DE-CARREGAMENTO'!I41</f>
        <v>0</v>
      </c>
      <c r="J50" s="644">
        <f>ROUND(I50*I41,2)</f>
        <v>0</v>
      </c>
      <c r="K50" s="645"/>
    </row>
    <row r="51" spans="1:11" ht="39.75" customHeight="1">
      <c r="A51" s="603"/>
      <c r="B51" s="611" t="s">
        <v>511</v>
      </c>
      <c r="C51" s="949" t="s">
        <v>974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39.75" customHeight="1">
      <c r="A52" s="603"/>
      <c r="B52" s="611" t="s">
        <v>513</v>
      </c>
      <c r="C52" s="969" t="s">
        <v>975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0.75" customHeight="1">
      <c r="A53" s="603"/>
      <c r="B53" s="611" t="s">
        <v>515</v>
      </c>
      <c r="C53" s="969" t="s">
        <v>976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6.25" customHeight="1">
      <c r="A54" s="603"/>
      <c r="B54" s="611" t="s">
        <v>517</v>
      </c>
      <c r="C54" s="969" t="s">
        <v>518</v>
      </c>
      <c r="D54" s="884"/>
      <c r="E54" s="884"/>
      <c r="F54" s="982" t="s">
        <v>977</v>
      </c>
      <c r="G54" s="884"/>
      <c r="H54" s="884"/>
      <c r="I54" s="650">
        <f>'1-ABA-DE-CARREGAMENTO'!I65</f>
        <v>4.33</v>
      </c>
      <c r="J54" s="644">
        <f>ROUND((((SUM(J47:J50))/220)*1.5)*I54,2)</f>
        <v>41.21</v>
      </c>
      <c r="K54" s="645"/>
    </row>
    <row r="55" spans="1:11" ht="26.25" customHeight="1">
      <c r="A55" s="603"/>
      <c r="B55" s="611" t="s">
        <v>520</v>
      </c>
      <c r="C55" s="969" t="s">
        <v>521</v>
      </c>
      <c r="D55" s="884"/>
      <c r="E55" s="884"/>
      <c r="F55" s="982" t="s">
        <v>978</v>
      </c>
      <c r="G55" s="884"/>
      <c r="H55" s="884"/>
      <c r="I55" s="650">
        <f>'1-ABA-DE-CARREGAMENTO'!I68</f>
        <v>10.67</v>
      </c>
      <c r="J55" s="644">
        <f>ROUND((((SUM(J47:J50))/220)*2)*I55,2)</f>
        <v>135.41</v>
      </c>
      <c r="K55" s="645"/>
    </row>
    <row r="56" spans="1:11" ht="39" customHeight="1">
      <c r="A56" s="603"/>
      <c r="B56" s="611" t="s">
        <v>523</v>
      </c>
      <c r="C56" s="949" t="s">
        <v>979</v>
      </c>
      <c r="D56" s="884"/>
      <c r="E56" s="884"/>
      <c r="F56" s="884"/>
      <c r="G56" s="884"/>
      <c r="H56" s="884"/>
      <c r="I56" s="885"/>
      <c r="J56" s="644">
        <f>ROUND(((J54+J55)/25)*5,2)</f>
        <v>35.32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1607.95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980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981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982</v>
      </c>
      <c r="C63" s="884"/>
      <c r="D63" s="884"/>
      <c r="E63" s="884"/>
      <c r="F63" s="884"/>
      <c r="G63" s="884"/>
      <c r="H63" s="884"/>
      <c r="I63" s="885"/>
      <c r="J63" s="657">
        <f>J58+J61</f>
        <v>1607.95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983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984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985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133.94</v>
      </c>
      <c r="K70" s="668"/>
    </row>
    <row r="71" spans="1:11" ht="14.25" customHeight="1">
      <c r="A71" s="603"/>
      <c r="B71" s="663" t="s">
        <v>465</v>
      </c>
      <c r="C71" s="970" t="s">
        <v>986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48.64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182.57999999999998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987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988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358.11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44.76</v>
      </c>
      <c r="K79" s="671"/>
    </row>
    <row r="80" spans="1:11" ht="11.25" customHeight="1">
      <c r="A80" s="603"/>
      <c r="B80" s="677" t="s">
        <v>467</v>
      </c>
      <c r="C80" s="949" t="s">
        <v>989</v>
      </c>
      <c r="D80" s="885"/>
      <c r="E80" s="794" t="s">
        <v>548</v>
      </c>
      <c r="F80" s="795">
        <f>'1-ABA-DE-CARREGAMENTO'!I57</f>
        <v>0.03</v>
      </c>
      <c r="G80" s="794" t="s">
        <v>549</v>
      </c>
      <c r="H80" s="796">
        <f>'1-ABA-DE-CARREGAMENTO'!I58</f>
        <v>1</v>
      </c>
      <c r="I80" s="682">
        <f>ROUND((F80*H80),6)</f>
        <v>0.03</v>
      </c>
      <c r="J80" s="679">
        <f>ROUND((J58+J72)*I80,2)</f>
        <v>53.72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26.86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17.91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10.74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3.58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143.24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658.92000000000007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7.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990</v>
      </c>
      <c r="D92" s="884"/>
      <c r="E92" s="884"/>
      <c r="F92" s="884"/>
      <c r="G92" s="884"/>
      <c r="H92" s="885"/>
      <c r="I92" s="691">
        <f>J47</f>
        <v>1396.01</v>
      </c>
      <c r="J92" s="692">
        <f>IF(ROUND((I93*I95*I94)-(J47*I96),2)&lt;0,0,ROUND((I93*I95*I94)-(J47*I96),2))</f>
        <v>206.64</v>
      </c>
      <c r="K92" s="671"/>
    </row>
    <row r="93" spans="1:11" ht="28.5" customHeight="1">
      <c r="A93" s="603"/>
      <c r="B93" s="690" t="s">
        <v>465</v>
      </c>
      <c r="C93" s="949" t="s">
        <v>991</v>
      </c>
      <c r="D93" s="884"/>
      <c r="E93" s="884"/>
      <c r="F93" s="884"/>
      <c r="G93" s="884"/>
      <c r="H93" s="884"/>
      <c r="I93" s="693">
        <f>'1-ABA-DE-CARREGAMENTO'!I72</f>
        <v>6.6</v>
      </c>
      <c r="J93" s="694" t="s">
        <v>476</v>
      </c>
      <c r="K93" s="652"/>
    </row>
    <row r="94" spans="1:11" ht="19.5" customHeight="1">
      <c r="A94" s="603"/>
      <c r="B94" s="690" t="s">
        <v>467</v>
      </c>
      <c r="C94" s="949" t="s">
        <v>992</v>
      </c>
      <c r="D94" s="884"/>
      <c r="E94" s="884"/>
      <c r="F94" s="884"/>
      <c r="G94" s="884"/>
      <c r="H94" s="885"/>
      <c r="I94" s="695">
        <f>'1-ABA-DE-CARREGAMENTO'!I73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'1-ABA-DE-CARREGAMENTO'!I74</f>
        <v>22</v>
      </c>
      <c r="J95" s="694" t="s">
        <v>476</v>
      </c>
      <c r="K95" s="652"/>
    </row>
    <row r="96" spans="1:11" ht="24" customHeight="1">
      <c r="A96" s="603"/>
      <c r="B96" s="690" t="s">
        <v>511</v>
      </c>
      <c r="C96" s="953" t="s">
        <v>993</v>
      </c>
      <c r="D96" s="884"/>
      <c r="E96" s="884"/>
      <c r="F96" s="884"/>
      <c r="G96" s="884"/>
      <c r="H96" s="885"/>
      <c r="I96" s="696">
        <f>'1-ABA-DE-CARREGAMENTO'!I75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994</v>
      </c>
      <c r="D97" s="884"/>
      <c r="E97" s="884"/>
      <c r="F97" s="884"/>
      <c r="G97" s="884"/>
      <c r="H97" s="884"/>
      <c r="I97" s="884"/>
      <c r="J97" s="692">
        <f>ROUND(I98*I99,2)-ROUND((I98*I99)*I100,2)</f>
        <v>408.64</v>
      </c>
      <c r="K97" s="671"/>
    </row>
    <row r="98" spans="1:11" ht="15" customHeight="1">
      <c r="A98" s="603"/>
      <c r="B98" s="690" t="s">
        <v>515</v>
      </c>
      <c r="C98" s="949" t="s">
        <v>995</v>
      </c>
      <c r="D98" s="884"/>
      <c r="E98" s="884"/>
      <c r="F98" s="884"/>
      <c r="G98" s="884"/>
      <c r="H98" s="884"/>
      <c r="I98" s="693">
        <f>IF('1-ABA-DE-CARREGAMENTO'!I60&gt;0,'1-ABA-DE-CARREGAMENTO'!I60,'1-ABA-DE-CARREGAMENTO'!I63)</f>
        <v>20.18</v>
      </c>
      <c r="J98" s="699"/>
      <c r="K98" s="652"/>
    </row>
    <row r="99" spans="1:11" ht="15" customHeight="1">
      <c r="A99" s="603"/>
      <c r="B99" s="690" t="s">
        <v>517</v>
      </c>
      <c r="C99" s="949" t="s">
        <v>996</v>
      </c>
      <c r="D99" s="884"/>
      <c r="E99" s="884"/>
      <c r="F99" s="884"/>
      <c r="G99" s="884"/>
      <c r="H99" s="884"/>
      <c r="I99" s="695">
        <f>'1-ABA-DE-CARREGAMENTO'!I62</f>
        <v>25</v>
      </c>
      <c r="J99" s="699"/>
      <c r="K99" s="652"/>
    </row>
    <row r="100" spans="1:11" ht="30" customHeight="1">
      <c r="A100" s="603"/>
      <c r="B100" s="690" t="s">
        <v>520</v>
      </c>
      <c r="C100" s="958" t="s">
        <v>997</v>
      </c>
      <c r="D100" s="884"/>
      <c r="E100" s="884"/>
      <c r="F100" s="884"/>
      <c r="G100" s="884"/>
      <c r="H100" s="885"/>
      <c r="I100" s="696">
        <f>'1-ABA-DE-CARREGAMENTO'!I61</f>
        <v>0.19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3.75" customHeight="1">
      <c r="A102" s="603"/>
      <c r="B102" s="690" t="s">
        <v>525</v>
      </c>
      <c r="C102" s="949" t="s">
        <v>998</v>
      </c>
      <c r="D102" s="884"/>
      <c r="E102" s="884"/>
      <c r="F102" s="884"/>
      <c r="G102" s="884"/>
      <c r="H102" s="884"/>
      <c r="I102" s="884"/>
      <c r="J102" s="679">
        <f>'1-ABA-DE-CARREGAMENTO'!I77</f>
        <v>0</v>
      </c>
      <c r="K102" s="671"/>
    </row>
    <row r="103" spans="1:11" ht="33.75" customHeight="1">
      <c r="A103" s="603"/>
      <c r="B103" s="690" t="s">
        <v>570</v>
      </c>
      <c r="C103" s="949" t="s">
        <v>999</v>
      </c>
      <c r="D103" s="884"/>
      <c r="E103" s="884"/>
      <c r="F103" s="884"/>
      <c r="G103" s="884"/>
      <c r="H103" s="884"/>
      <c r="I103" s="885"/>
      <c r="J103" s="679">
        <f>'1-ABA-DE-CARREGAMENTO'!I78</f>
        <v>0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'1-ABA-DE-CARREGAMENTO'!I76</f>
        <v>17.32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632.6</v>
      </c>
      <c r="K106" s="671"/>
    </row>
    <row r="107" spans="1:11" ht="17.2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0.7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9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1000</v>
      </c>
      <c r="D112" s="884"/>
      <c r="E112" s="884"/>
      <c r="F112" s="884"/>
      <c r="G112" s="884"/>
      <c r="H112" s="884"/>
      <c r="I112" s="885"/>
      <c r="J112" s="707">
        <f>J72</f>
        <v>182.57999999999998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658.92000000000007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632.6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1474.1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2" customHeight="1">
      <c r="A119" s="603"/>
      <c r="B119" s="690" t="s">
        <v>463</v>
      </c>
      <c r="C119" s="949" t="s">
        <v>1001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8.02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0.64</v>
      </c>
      <c r="K120" s="671"/>
    </row>
    <row r="121" spans="1:11" ht="31.5" customHeight="1">
      <c r="A121" s="603"/>
      <c r="B121" s="690" t="s">
        <v>467</v>
      </c>
      <c r="C121" s="949" t="s">
        <v>1002</v>
      </c>
      <c r="D121" s="884"/>
      <c r="E121" s="884"/>
      <c r="F121" s="884"/>
      <c r="G121" s="884"/>
      <c r="H121" s="884"/>
      <c r="I121" s="885"/>
      <c r="J121" s="679">
        <f>ROUND(((7/30)/$I$11)*$J$58*1,2)</f>
        <v>18.760000000000002</v>
      </c>
      <c r="K121" s="671"/>
    </row>
    <row r="122" spans="1:11" ht="18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6.9</v>
      </c>
      <c r="K122" s="671"/>
    </row>
    <row r="123" spans="1:11" ht="34.5" customHeight="1">
      <c r="A123" s="603"/>
      <c r="B123" s="690" t="s">
        <v>511</v>
      </c>
      <c r="C123" s="949" t="s">
        <v>1003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64.319999999999993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98.639999999999986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24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28.5" customHeight="1">
      <c r="A128" s="603"/>
      <c r="B128" s="974" t="s">
        <v>1004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28.5" customHeight="1">
      <c r="A129" s="603"/>
      <c r="B129" s="716" t="s">
        <v>590</v>
      </c>
      <c r="C129" s="717">
        <f>J58</f>
        <v>1607.95</v>
      </c>
      <c r="D129" s="718" t="s">
        <v>591</v>
      </c>
      <c r="E129" s="716" t="s">
        <v>1005</v>
      </c>
      <c r="F129" s="717">
        <f>J115-J92-J97</f>
        <v>858.82</v>
      </c>
      <c r="G129" s="718" t="s">
        <v>591</v>
      </c>
      <c r="H129" s="716" t="s">
        <v>593</v>
      </c>
      <c r="I129" s="717">
        <f>J124</f>
        <v>98.639999999999986</v>
      </c>
      <c r="J129" s="719">
        <f>C129+F129+I129</f>
        <v>2565.41</v>
      </c>
      <c r="K129" s="720"/>
    </row>
    <row r="130" spans="1:11" ht="1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48" customHeight="1">
      <c r="A133" s="603"/>
      <c r="B133" s="690" t="s">
        <v>463</v>
      </c>
      <c r="C133" s="969" t="s">
        <v>1006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199.61856</v>
      </c>
      <c r="K133" s="671"/>
    </row>
    <row r="134" spans="1:11" ht="18.75" customHeight="1">
      <c r="A134" s="603"/>
      <c r="B134" s="690" t="s">
        <v>465</v>
      </c>
      <c r="C134" s="949" t="s">
        <v>1007</v>
      </c>
      <c r="D134" s="884"/>
      <c r="E134" s="884"/>
      <c r="F134" s="884"/>
      <c r="G134" s="884"/>
      <c r="H134" s="884"/>
      <c r="I134" s="885"/>
      <c r="J134" s="679">
        <f>ROUND((1/30)/12*(J129),2)</f>
        <v>7.13</v>
      </c>
      <c r="K134" s="671"/>
    </row>
    <row r="135" spans="1:11" ht="31.5" customHeight="1">
      <c r="A135" s="603"/>
      <c r="B135" s="690" t="s">
        <v>467</v>
      </c>
      <c r="C135" s="949" t="s">
        <v>1008</v>
      </c>
      <c r="D135" s="884"/>
      <c r="E135" s="884"/>
      <c r="F135" s="884"/>
      <c r="G135" s="884"/>
      <c r="H135" s="884"/>
      <c r="I135" s="885"/>
      <c r="J135" s="679">
        <f>ROUND((5/30)/12*0.015*(J129),2)</f>
        <v>0.53</v>
      </c>
      <c r="K135" s="671"/>
    </row>
    <row r="136" spans="1:11" ht="31.5" customHeight="1">
      <c r="A136" s="603"/>
      <c r="B136" s="690" t="s">
        <v>469</v>
      </c>
      <c r="C136" s="949" t="s">
        <v>1009</v>
      </c>
      <c r="D136" s="884"/>
      <c r="E136" s="884"/>
      <c r="F136" s="884"/>
      <c r="G136" s="884"/>
      <c r="H136" s="884"/>
      <c r="I136" s="885"/>
      <c r="J136" s="679">
        <f>ROUND(((15/30)/12)*0.0078*(J129),2)</f>
        <v>0.83</v>
      </c>
      <c r="K136" s="671"/>
    </row>
    <row r="137" spans="1:11" ht="31.5" customHeight="1">
      <c r="A137" s="603"/>
      <c r="B137" s="727" t="s">
        <v>511</v>
      </c>
      <c r="C137" s="1019" t="s">
        <v>1010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2.4030666666666667</v>
      </c>
      <c r="K137" s="729"/>
    </row>
    <row r="138" spans="1:11" ht="51.75" customHeight="1">
      <c r="A138" s="603"/>
      <c r="B138" s="690" t="s">
        <v>513</v>
      </c>
      <c r="C138" s="949" t="s">
        <v>1011</v>
      </c>
      <c r="D138" s="884"/>
      <c r="E138" s="884"/>
      <c r="F138" s="884"/>
      <c r="G138" s="884"/>
      <c r="H138" s="884"/>
      <c r="I138" s="885"/>
      <c r="J138" s="679">
        <f>ROUND(((3/30)/12)*(J129),2)</f>
        <v>21.38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231.89162666666667</v>
      </c>
      <c r="K139" s="671"/>
    </row>
    <row r="140" spans="1:11" ht="12.7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9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231.89162666666667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231.89162666666667</v>
      </c>
      <c r="K150" s="735"/>
    </row>
    <row r="151" spans="1:11" ht="7.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9.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15.7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27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9.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35.2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7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6.2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'1-ABA-DE-CARREGAMENTO'!I85</f>
        <v>0.06</v>
      </c>
      <c r="J164" s="679" t="e">
        <f>ROUND(I164*J163,2)</f>
        <v>#REF!</v>
      </c>
      <c r="K164" s="671"/>
    </row>
    <row r="165" spans="1:11" ht="51.7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'1-ABA-DE-CARREGAMENTO'!I86</f>
        <v>0.06</v>
      </c>
      <c r="J166" s="679" t="e">
        <f>ROUND(I166*J165,2)</f>
        <v>#REF!</v>
      </c>
      <c r="K166" s="671"/>
    </row>
    <row r="167" spans="1:11" ht="49.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30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4" customHeight="1">
      <c r="A170" s="603"/>
      <c r="B170" s="690"/>
      <c r="C170" s="1018" t="s">
        <v>1012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24" customHeight="1">
      <c r="A171" s="603"/>
      <c r="B171" s="690"/>
      <c r="C171" s="1018" t="s">
        <v>1013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7.75" customHeight="1">
      <c r="A172" s="603"/>
      <c r="B172" s="690"/>
      <c r="C172" s="949" t="s">
        <v>1014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7.75" customHeight="1">
      <c r="A173" s="603"/>
      <c r="B173" s="690"/>
      <c r="C173" s="949" t="s">
        <v>1015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1016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6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9.7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23.2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9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1017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1607.95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1474.1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98.639999999999986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231.89162666666667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3.7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10.5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38.2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9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9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9" customHeight="1" collapsed="1">
      <c r="A203" s="603"/>
      <c r="B203" s="1046" t="str">
        <f>B3</f>
        <v>A NÃO TEM MAIS POSTOS-44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39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9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15.75" hidden="1" customHeight="1" outlineLevel="1">
      <c r="A206" s="603"/>
      <c r="B206" s="1048" t="s">
        <v>1018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6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6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6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6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1019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6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81" priority="1" operator="equal">
      <formula>0</formula>
    </cfRule>
  </conditionalFormatting>
  <conditionalFormatting sqref="I48">
    <cfRule type="cellIs" dxfId="8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FB25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85546875" customWidth="1"/>
    <col min="8" max="8" width="14.42578125" customWidth="1"/>
    <col min="9" max="9" width="11.28515625" customWidth="1"/>
    <col min="10" max="10" width="18.57031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'1-ABA-DE-CARREGAMENTO'!J33</f>
        <v>A NÃO TEM MAIS POSTOS-55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VLOOKUP('1-ABA-DE-CARREGAMENTO'!J35,'DADOS-CADASTRAIS'!C6:J16,1,0)</f>
        <v>RS001505/2021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'1-ABA-DE-CARREGAMENTO'!J94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33.7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POSTOS-55</v>
      </c>
      <c r="C17" s="884"/>
      <c r="D17" s="884"/>
      <c r="E17" s="884"/>
      <c r="F17" s="885"/>
      <c r="G17" s="987" t="s">
        <v>475</v>
      </c>
      <c r="H17" s="885"/>
      <c r="I17" s="988">
        <f>'1-ABA-DE-CARREGAMENTO'!J92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1020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1021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8.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'1-ABA-DE-CARREGAMENTO'!J33</f>
        <v>A NÃO TEM MAIS POSTOS-55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0" customHeight="1">
      <c r="A29" s="603"/>
      <c r="B29" s="611">
        <v>3</v>
      </c>
      <c r="C29" s="1010" t="s">
        <v>665</v>
      </c>
      <c r="D29" s="866"/>
      <c r="E29" s="789">
        <v>220</v>
      </c>
      <c r="F29" s="625">
        <f>'1-ABA-DE-CARREGAMENTO'!J37</f>
        <v>4128.0200000000004</v>
      </c>
      <c r="G29" s="608" t="s">
        <v>488</v>
      </c>
      <c r="H29" s="626">
        <f>'1-ABA-DE-CARREGAMENTO'!J52</f>
        <v>220</v>
      </c>
      <c r="I29" s="1011">
        <f>F29/E29*H29</f>
        <v>4128.0200000000004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'1-ABA-DE-CARREGAMENTO'!J36</f>
        <v>01 de ABRIL</v>
      </c>
      <c r="J31" s="885"/>
      <c r="K31" s="629"/>
    </row>
    <row r="32" spans="1:11" ht="12.75" customHeight="1">
      <c r="A32" s="603"/>
      <c r="B32" s="630">
        <v>6</v>
      </c>
      <c r="C32" s="953" t="s">
        <v>1022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26.25" customHeight="1">
      <c r="A33" s="603"/>
      <c r="B33" s="630">
        <v>7</v>
      </c>
      <c r="C33" s="953" t="s">
        <v>1023</v>
      </c>
      <c r="D33" s="884"/>
      <c r="E33" s="884"/>
      <c r="F33" s="885"/>
      <c r="G33" s="978"/>
      <c r="H33" s="885"/>
      <c r="I33" s="961">
        <f>SUM(J47:J50)/220</f>
        <v>18.763727272727273</v>
      </c>
      <c r="J33" s="885"/>
      <c r="K33" s="631"/>
    </row>
    <row r="34" spans="1:11" ht="26.25" customHeight="1">
      <c r="A34" s="603"/>
      <c r="B34" s="630">
        <v>8</v>
      </c>
      <c r="C34" s="953" t="s">
        <v>1024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6.25" customHeight="1">
      <c r="A35" s="603"/>
      <c r="B35" s="630">
        <v>9</v>
      </c>
      <c r="C35" s="953" t="s">
        <v>1025</v>
      </c>
      <c r="D35" s="884"/>
      <c r="E35" s="884"/>
      <c r="F35" s="885"/>
      <c r="G35" s="978" t="s">
        <v>495</v>
      </c>
      <c r="H35" s="885"/>
      <c r="I35" s="1073">
        <f>I33*1.5</f>
        <v>28.14559090909091</v>
      </c>
      <c r="J35" s="885"/>
      <c r="K35" s="632"/>
    </row>
    <row r="36" spans="1:11" ht="26.25" customHeight="1">
      <c r="A36" s="603"/>
      <c r="B36" s="630">
        <v>10</v>
      </c>
      <c r="C36" s="953" t="s">
        <v>1026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26.25" customHeight="1">
      <c r="A37" s="603"/>
      <c r="B37" s="630">
        <v>11</v>
      </c>
      <c r="C37" s="953" t="s">
        <v>1027</v>
      </c>
      <c r="D37" s="884"/>
      <c r="E37" s="884"/>
      <c r="F37" s="884"/>
      <c r="G37" s="884"/>
      <c r="H37" s="885"/>
      <c r="I37" s="961">
        <f>I33*2</f>
        <v>37.527454545454546</v>
      </c>
      <c r="J37" s="885"/>
      <c r="K37" s="631"/>
    </row>
    <row r="38" spans="1:11" ht="14.25" customHeight="1">
      <c r="A38" s="603"/>
      <c r="B38" s="630">
        <v>12</v>
      </c>
      <c r="C38" s="953" t="s">
        <v>1028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'1-ABA-DE-CARREGAMENTO'!J93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4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'1-ABA-DE-CARREGAMENTO'!J52</f>
        <v>220</v>
      </c>
      <c r="I47" s="641"/>
      <c r="J47" s="644">
        <f>I29*I40</f>
        <v>4128.0200000000004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'1-ABA-DE-CARREGAMENTO'!J38</f>
        <v>SEM ADICIONAL DE FUNÇÃO</v>
      </c>
      <c r="G48" s="884"/>
      <c r="H48" s="885"/>
      <c r="I48" s="786">
        <f>'1-ABA-DE-CARREGAMENTO'!J39</f>
        <v>0</v>
      </c>
      <c r="J48" s="644">
        <f>J47*I48</f>
        <v>0</v>
      </c>
      <c r="K48" s="645"/>
    </row>
    <row r="49" spans="1:11" ht="25.5" customHeight="1">
      <c r="A49" s="603"/>
      <c r="B49" s="611" t="s">
        <v>467</v>
      </c>
      <c r="C49" s="949" t="s">
        <v>1029</v>
      </c>
      <c r="D49" s="884"/>
      <c r="E49" s="884"/>
      <c r="F49" s="884"/>
      <c r="G49" s="884"/>
      <c r="H49" s="885"/>
      <c r="I49" s="754">
        <f>'1-ABA-DE-CARREGAMENTO'!J44</f>
        <v>0</v>
      </c>
      <c r="J49" s="644">
        <f>ROUND(J47*I49,2)</f>
        <v>0</v>
      </c>
      <c r="K49" s="645"/>
    </row>
    <row r="50" spans="1:11" ht="18.75" customHeight="1">
      <c r="A50" s="603"/>
      <c r="B50" s="611" t="s">
        <v>469</v>
      </c>
      <c r="C50" s="949" t="s">
        <v>1030</v>
      </c>
      <c r="D50" s="884"/>
      <c r="E50" s="884"/>
      <c r="F50" s="884"/>
      <c r="G50" s="981" t="str">
        <f>'1-ABA-DE-CARREGAMENTO'!J40</f>
        <v>SEM ADICIONAL DE RISCO</v>
      </c>
      <c r="H50" s="885"/>
      <c r="I50" s="787">
        <f>'1-ABA-DE-CARREGAMENTO'!J41</f>
        <v>0</v>
      </c>
      <c r="J50" s="644">
        <f>ROUND(I50*I41,2)</f>
        <v>0</v>
      </c>
      <c r="K50" s="645"/>
    </row>
    <row r="51" spans="1:11" ht="29.25" customHeight="1">
      <c r="A51" s="603"/>
      <c r="B51" s="611" t="s">
        <v>511</v>
      </c>
      <c r="C51" s="949" t="s">
        <v>1031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42.75" customHeight="1">
      <c r="A52" s="603"/>
      <c r="B52" s="611" t="s">
        <v>513</v>
      </c>
      <c r="C52" s="969" t="s">
        <v>1032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2.25" customHeight="1">
      <c r="A53" s="603"/>
      <c r="B53" s="611" t="s">
        <v>515</v>
      </c>
      <c r="C53" s="969" t="s">
        <v>1033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7.75" customHeight="1">
      <c r="A54" s="603"/>
      <c r="B54" s="611" t="s">
        <v>517</v>
      </c>
      <c r="C54" s="969" t="s">
        <v>518</v>
      </c>
      <c r="D54" s="884"/>
      <c r="E54" s="884"/>
      <c r="F54" s="982" t="s">
        <v>1034</v>
      </c>
      <c r="G54" s="884"/>
      <c r="H54" s="884"/>
      <c r="I54" s="650">
        <f>'1-ABA-DE-CARREGAMENTO'!J65</f>
        <v>0</v>
      </c>
      <c r="J54" s="644">
        <f>ROUND((((SUM(J47:J50))/220)*1.5)*I54,2)</f>
        <v>0</v>
      </c>
      <c r="K54" s="645"/>
    </row>
    <row r="55" spans="1:11" ht="27.75" customHeight="1">
      <c r="A55" s="603"/>
      <c r="B55" s="611" t="s">
        <v>520</v>
      </c>
      <c r="C55" s="969" t="s">
        <v>521</v>
      </c>
      <c r="D55" s="884"/>
      <c r="E55" s="884"/>
      <c r="F55" s="982" t="s">
        <v>1035</v>
      </c>
      <c r="G55" s="884"/>
      <c r="H55" s="884"/>
      <c r="I55" s="650">
        <f>'1-ABA-DE-CARREGAMENTO'!J68</f>
        <v>0</v>
      </c>
      <c r="J55" s="644">
        <f>ROUND((((SUM(J47:J50))/220)*2)*I55,2)</f>
        <v>0</v>
      </c>
      <c r="K55" s="645"/>
    </row>
    <row r="56" spans="1:11" ht="39.75" customHeight="1">
      <c r="A56" s="603"/>
      <c r="B56" s="611" t="s">
        <v>523</v>
      </c>
      <c r="C56" s="949" t="s">
        <v>1036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4128.0200000000004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1037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1038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1039</v>
      </c>
      <c r="C63" s="884"/>
      <c r="D63" s="884"/>
      <c r="E63" s="884"/>
      <c r="F63" s="884"/>
      <c r="G63" s="884"/>
      <c r="H63" s="884"/>
      <c r="I63" s="885"/>
      <c r="J63" s="657">
        <f>J58+J61</f>
        <v>4128.0200000000004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1040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1041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1042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343.86</v>
      </c>
      <c r="K70" s="668"/>
    </row>
    <row r="71" spans="1:11" ht="14.25" customHeight="1">
      <c r="A71" s="603"/>
      <c r="B71" s="663" t="s">
        <v>465</v>
      </c>
      <c r="C71" s="970" t="s">
        <v>1043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124.87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468.73</v>
      </c>
      <c r="K72" s="671"/>
    </row>
    <row r="73" spans="1:11" ht="11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33.75" customHeight="1">
      <c r="A74" s="603"/>
      <c r="B74" s="960" t="s">
        <v>1044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0.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1045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919.35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114.92</v>
      </c>
      <c r="K79" s="671"/>
    </row>
    <row r="80" spans="1:11" ht="11.25" customHeight="1">
      <c r="A80" s="603"/>
      <c r="B80" s="677" t="s">
        <v>467</v>
      </c>
      <c r="C80" s="949" t="s">
        <v>1046</v>
      </c>
      <c r="D80" s="885"/>
      <c r="E80" s="794" t="s">
        <v>548</v>
      </c>
      <c r="F80" s="795">
        <f>'1-ABA-DE-CARREGAMENTO'!J57</f>
        <v>0.03</v>
      </c>
      <c r="G80" s="794" t="s">
        <v>549</v>
      </c>
      <c r="H80" s="796">
        <f>'1-ABA-DE-CARREGAMENTO'!J58</f>
        <v>1</v>
      </c>
      <c r="I80" s="682">
        <f>ROUND((F80*H80),6)</f>
        <v>0.03</v>
      </c>
      <c r="J80" s="679">
        <f>ROUND((J58+J72)*I80,2)</f>
        <v>137.9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68.95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45.97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27.58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9.19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367.74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1691.6000000000001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8.2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1047</v>
      </c>
      <c r="D92" s="884"/>
      <c r="E92" s="884"/>
      <c r="F92" s="884"/>
      <c r="G92" s="884"/>
      <c r="H92" s="885"/>
      <c r="I92" s="691">
        <f>J47</f>
        <v>4128.0200000000004</v>
      </c>
      <c r="J92" s="692">
        <f>IF(ROUND((I93*I95*I94)-(J47*I96),2)&lt;0,0,ROUND((I93*I95*I94)-(J47*I96),2))</f>
        <v>42.72</v>
      </c>
      <c r="K92" s="671"/>
    </row>
    <row r="93" spans="1:11" ht="28.5" customHeight="1">
      <c r="A93" s="603"/>
      <c r="B93" s="690" t="s">
        <v>465</v>
      </c>
      <c r="C93" s="949" t="s">
        <v>1048</v>
      </c>
      <c r="D93" s="884"/>
      <c r="E93" s="884"/>
      <c r="F93" s="884"/>
      <c r="G93" s="884"/>
      <c r="H93" s="884"/>
      <c r="I93" s="693">
        <f>'1-ABA-DE-CARREGAMENTO'!J72</f>
        <v>6.6</v>
      </c>
      <c r="J93" s="694" t="s">
        <v>476</v>
      </c>
      <c r="K93" s="652"/>
    </row>
    <row r="94" spans="1:11" ht="22.5" customHeight="1">
      <c r="A94" s="603"/>
      <c r="B94" s="690" t="s">
        <v>467</v>
      </c>
      <c r="C94" s="949" t="s">
        <v>1049</v>
      </c>
      <c r="D94" s="884"/>
      <c r="E94" s="884"/>
      <c r="F94" s="884"/>
      <c r="G94" s="884"/>
      <c r="H94" s="885"/>
      <c r="I94" s="695">
        <f>'1-ABA-DE-CARREGAMENTO'!J73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'1-ABA-DE-CARREGAMENTO'!J74</f>
        <v>22</v>
      </c>
      <c r="J95" s="694" t="s">
        <v>476</v>
      </c>
      <c r="K95" s="652"/>
    </row>
    <row r="96" spans="1:11" ht="27.75" customHeight="1">
      <c r="A96" s="603"/>
      <c r="B96" s="690" t="s">
        <v>511</v>
      </c>
      <c r="C96" s="953" t="s">
        <v>1050</v>
      </c>
      <c r="D96" s="884"/>
      <c r="E96" s="884"/>
      <c r="F96" s="884"/>
      <c r="G96" s="884"/>
      <c r="H96" s="885"/>
      <c r="I96" s="696">
        <f>'1-ABA-DE-CARREGAMENTO'!J75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1051</v>
      </c>
      <c r="D97" s="884"/>
      <c r="E97" s="884"/>
      <c r="F97" s="884"/>
      <c r="G97" s="884"/>
      <c r="H97" s="884"/>
      <c r="I97" s="884"/>
      <c r="J97" s="692">
        <f>ROUND(I98*I99,2)-ROUND((I98*I99)*I100,2)</f>
        <v>278</v>
      </c>
      <c r="K97" s="671"/>
    </row>
    <row r="98" spans="1:11" ht="15" customHeight="1">
      <c r="A98" s="603"/>
      <c r="B98" s="690" t="s">
        <v>515</v>
      </c>
      <c r="C98" s="949" t="s">
        <v>1052</v>
      </c>
      <c r="D98" s="884"/>
      <c r="E98" s="884"/>
      <c r="F98" s="884"/>
      <c r="G98" s="884"/>
      <c r="H98" s="884"/>
      <c r="I98" s="693">
        <f>IF('1-ABA-DE-CARREGAMENTO'!J60&gt;0,'1-ABA-DE-CARREGAMENTO'!J60,'1-ABA-DE-CARREGAMENTO'!J63)</f>
        <v>13.9</v>
      </c>
      <c r="J98" s="699"/>
      <c r="K98" s="652"/>
    </row>
    <row r="99" spans="1:11" ht="15" customHeight="1">
      <c r="A99" s="603"/>
      <c r="B99" s="690" t="s">
        <v>517</v>
      </c>
      <c r="C99" s="949" t="s">
        <v>1053</v>
      </c>
      <c r="D99" s="884"/>
      <c r="E99" s="884"/>
      <c r="F99" s="884"/>
      <c r="G99" s="884"/>
      <c r="H99" s="884"/>
      <c r="I99" s="695">
        <f>'1-ABA-DE-CARREGAMENTO'!J62</f>
        <v>25</v>
      </c>
      <c r="J99" s="699"/>
      <c r="K99" s="652"/>
    </row>
    <row r="100" spans="1:11" ht="25.5" customHeight="1">
      <c r="A100" s="603"/>
      <c r="B100" s="690" t="s">
        <v>520</v>
      </c>
      <c r="C100" s="958" t="s">
        <v>1054</v>
      </c>
      <c r="D100" s="884"/>
      <c r="E100" s="884"/>
      <c r="F100" s="884"/>
      <c r="G100" s="884"/>
      <c r="H100" s="885"/>
      <c r="I100" s="696">
        <f>'1-ABA-DE-CARREGAMENTO'!J61</f>
        <v>0.2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4.5" customHeight="1">
      <c r="A102" s="603"/>
      <c r="B102" s="690" t="s">
        <v>525</v>
      </c>
      <c r="C102" s="949" t="s">
        <v>1055</v>
      </c>
      <c r="D102" s="884"/>
      <c r="E102" s="884"/>
      <c r="F102" s="884"/>
      <c r="G102" s="884"/>
      <c r="H102" s="884"/>
      <c r="I102" s="884"/>
      <c r="J102" s="679">
        <f>'1-ABA-DE-CARREGAMENTO'!J77</f>
        <v>0</v>
      </c>
      <c r="K102" s="671"/>
    </row>
    <row r="103" spans="1:11" ht="34.5" customHeight="1">
      <c r="A103" s="603"/>
      <c r="B103" s="690" t="s">
        <v>570</v>
      </c>
      <c r="C103" s="949" t="s">
        <v>1056</v>
      </c>
      <c r="D103" s="884"/>
      <c r="E103" s="884"/>
      <c r="F103" s="884"/>
      <c r="G103" s="884"/>
      <c r="H103" s="884"/>
      <c r="I103" s="885"/>
      <c r="J103" s="679">
        <f>'1-ABA-DE-CARREGAMENTO'!J78</f>
        <v>0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'1-ABA-DE-CARREGAMENTO'!J76</f>
        <v>0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320.72000000000003</v>
      </c>
      <c r="K106" s="671"/>
    </row>
    <row r="107" spans="1:11" ht="12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4.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0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1057</v>
      </c>
      <c r="D112" s="884"/>
      <c r="E112" s="884"/>
      <c r="F112" s="884"/>
      <c r="G112" s="884"/>
      <c r="H112" s="884"/>
      <c r="I112" s="885"/>
      <c r="J112" s="707">
        <f>J72</f>
        <v>468.73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1691.6000000000001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320.72000000000003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2481.0500000000002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5" customHeight="1">
      <c r="A119" s="603"/>
      <c r="B119" s="690" t="s">
        <v>463</v>
      </c>
      <c r="C119" s="949" t="s">
        <v>1058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20.59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1.65</v>
      </c>
      <c r="K120" s="671"/>
    </row>
    <row r="121" spans="1:11" ht="25.5" customHeight="1">
      <c r="A121" s="603"/>
      <c r="B121" s="690" t="s">
        <v>467</v>
      </c>
      <c r="C121" s="949" t="s">
        <v>1059</v>
      </c>
      <c r="D121" s="884"/>
      <c r="E121" s="884"/>
      <c r="F121" s="884"/>
      <c r="G121" s="884"/>
      <c r="H121" s="884"/>
      <c r="I121" s="885"/>
      <c r="J121" s="679">
        <f>ROUND(((7/30)/$I$11)*$J$58*1,2)</f>
        <v>48.16</v>
      </c>
      <c r="K121" s="671"/>
    </row>
    <row r="122" spans="1:11" ht="18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17.72</v>
      </c>
      <c r="K122" s="671"/>
    </row>
    <row r="123" spans="1:11" ht="36.75" customHeight="1">
      <c r="A123" s="603"/>
      <c r="B123" s="690" t="s">
        <v>511</v>
      </c>
      <c r="C123" s="949" t="s">
        <v>1060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165.12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253.24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24.7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28.5" customHeight="1">
      <c r="A128" s="603"/>
      <c r="B128" s="974" t="s">
        <v>1061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35.25" customHeight="1">
      <c r="A129" s="603"/>
      <c r="B129" s="716" t="s">
        <v>590</v>
      </c>
      <c r="C129" s="717">
        <f>J58</f>
        <v>4128.0200000000004</v>
      </c>
      <c r="D129" s="718" t="s">
        <v>591</v>
      </c>
      <c r="E129" s="716" t="s">
        <v>1062</v>
      </c>
      <c r="F129" s="717">
        <f>J115-J92-J97</f>
        <v>2160.3300000000004</v>
      </c>
      <c r="G129" s="718" t="s">
        <v>591</v>
      </c>
      <c r="H129" s="716" t="s">
        <v>593</v>
      </c>
      <c r="I129" s="717">
        <f>J124</f>
        <v>253.24</v>
      </c>
      <c r="J129" s="719">
        <f>C129+F129+I129</f>
        <v>6541.59</v>
      </c>
      <c r="K129" s="720"/>
    </row>
    <row r="130" spans="1:11" ht="30.7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45" customHeight="1">
      <c r="A133" s="603"/>
      <c r="B133" s="690" t="s">
        <v>463</v>
      </c>
      <c r="C133" s="969" t="s">
        <v>1063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512.48016000000007</v>
      </c>
      <c r="K133" s="671"/>
    </row>
    <row r="134" spans="1:11" ht="17.25" customHeight="1">
      <c r="A134" s="603"/>
      <c r="B134" s="690" t="s">
        <v>465</v>
      </c>
      <c r="C134" s="949" t="s">
        <v>1064</v>
      </c>
      <c r="D134" s="884"/>
      <c r="E134" s="884"/>
      <c r="F134" s="884"/>
      <c r="G134" s="884"/>
      <c r="H134" s="884"/>
      <c r="I134" s="885"/>
      <c r="J134" s="679">
        <f>ROUND((1/30)/12*(J129),2)</f>
        <v>18.170000000000002</v>
      </c>
      <c r="K134" s="671"/>
    </row>
    <row r="135" spans="1:11" ht="28.5" customHeight="1">
      <c r="A135" s="603"/>
      <c r="B135" s="690" t="s">
        <v>467</v>
      </c>
      <c r="C135" s="949" t="s">
        <v>1065</v>
      </c>
      <c r="D135" s="884"/>
      <c r="E135" s="884"/>
      <c r="F135" s="884"/>
      <c r="G135" s="884"/>
      <c r="H135" s="884"/>
      <c r="I135" s="885"/>
      <c r="J135" s="679">
        <f>ROUND((5/30)/12*0.015*(J129),2)</f>
        <v>1.36</v>
      </c>
      <c r="K135" s="671"/>
    </row>
    <row r="136" spans="1:11" ht="33.75" customHeight="1">
      <c r="A136" s="603"/>
      <c r="B136" s="690" t="s">
        <v>469</v>
      </c>
      <c r="C136" s="949" t="s">
        <v>1066</v>
      </c>
      <c r="D136" s="884"/>
      <c r="E136" s="884"/>
      <c r="F136" s="884"/>
      <c r="G136" s="884"/>
      <c r="H136" s="884"/>
      <c r="I136" s="885"/>
      <c r="J136" s="679">
        <f>ROUND(((15/30)/12)*0.0078*(J129),2)</f>
        <v>2.13</v>
      </c>
      <c r="K136" s="671"/>
    </row>
    <row r="137" spans="1:11" ht="30.75" customHeight="1">
      <c r="A137" s="603"/>
      <c r="B137" s="727" t="s">
        <v>511</v>
      </c>
      <c r="C137" s="1019" t="s">
        <v>1067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5.868266666666667</v>
      </c>
      <c r="K137" s="729"/>
    </row>
    <row r="138" spans="1:11" ht="53.25" customHeight="1">
      <c r="A138" s="603"/>
      <c r="B138" s="690" t="s">
        <v>513</v>
      </c>
      <c r="C138" s="949" t="s">
        <v>1068</v>
      </c>
      <c r="D138" s="884"/>
      <c r="E138" s="884"/>
      <c r="F138" s="884"/>
      <c r="G138" s="884"/>
      <c r="H138" s="884"/>
      <c r="I138" s="885"/>
      <c r="J138" s="679">
        <f>ROUND(((3/30)/12)*(J129),2)</f>
        <v>54.51</v>
      </c>
      <c r="K138" s="671"/>
    </row>
    <row r="139" spans="1:11" ht="12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594.51842666666664</v>
      </c>
      <c r="K139" s="671"/>
    </row>
    <row r="140" spans="1:11" ht="7.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6.7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594.51842666666664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594.51842666666664</v>
      </c>
      <c r="K150" s="735"/>
    </row>
    <row r="151" spans="1:11" ht="9.7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24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#REF!+#REF!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7.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18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0.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18.7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60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4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'1-ABA-DE-CARREGAMENTO'!J85</f>
        <v>0.06</v>
      </c>
      <c r="J164" s="679" t="e">
        <f>ROUND(I164*J163,2)</f>
        <v>#REF!</v>
      </c>
      <c r="K164" s="671"/>
    </row>
    <row r="165" spans="1:11" ht="50.2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'1-ABA-DE-CARREGAMENTO'!J86</f>
        <v>0.06</v>
      </c>
      <c r="J166" s="679" t="e">
        <f>ROUND(I166*J165,2)</f>
        <v>#REF!</v>
      </c>
      <c r="K166" s="671"/>
    </row>
    <row r="167" spans="1:11" ht="54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30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3.25" customHeight="1">
      <c r="A170" s="603"/>
      <c r="B170" s="690"/>
      <c r="C170" s="1018" t="s">
        <v>1069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23.25" customHeight="1">
      <c r="A171" s="603"/>
      <c r="B171" s="690"/>
      <c r="C171" s="1018" t="s">
        <v>1070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3.25" customHeight="1">
      <c r="A172" s="603"/>
      <c r="B172" s="690"/>
      <c r="C172" s="949" t="s">
        <v>1071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3.25" customHeight="1">
      <c r="A173" s="603"/>
      <c r="B173" s="690"/>
      <c r="C173" s="949" t="s">
        <v>1072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1073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5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9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25.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12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1074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4128.0200000000004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2481.0500000000002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253.24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594.51842666666664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4.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8.25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37.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6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6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6" customHeight="1" collapsed="1">
      <c r="A203" s="603"/>
      <c r="B203" s="1046" t="str">
        <f>B3</f>
        <v>A NÃO TEM MAIS POSTOS-55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36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6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15.75" hidden="1" customHeight="1" outlineLevel="1">
      <c r="A206" s="603"/>
      <c r="B206" s="1048" t="s">
        <v>1075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7.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7.5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7.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7.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1076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7.5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9" priority="1" operator="equal">
      <formula>0</formula>
    </cfRule>
  </conditionalFormatting>
  <conditionalFormatting sqref="I48">
    <cfRule type="cellIs" dxfId="78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A5A5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57031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'1-ABA-DE-CARREGAMENTO'!K33</f>
        <v>A NÃO TEM MAIS POSTOS-66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VLOOKUP('1-ABA-DE-CARREGAMENTO'!K35,'DADOS-CADASTRAIS'!C6:J16,1,0)</f>
        <v>RS001505/2021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'1-ABA-DE-CARREGAMENTO'!K94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42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POSTOS-66</v>
      </c>
      <c r="C17" s="884"/>
      <c r="D17" s="884"/>
      <c r="E17" s="884"/>
      <c r="F17" s="885"/>
      <c r="G17" s="987" t="s">
        <v>475</v>
      </c>
      <c r="H17" s="885"/>
      <c r="I17" s="988">
        <f>'1-ABA-DE-CARREGAMENTO'!K92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1077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1078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9.2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'1-ABA-DE-CARREGAMENTO'!K33</f>
        <v>A NÃO TEM MAIS POSTOS-66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28.5" customHeight="1">
      <c r="A29" s="603"/>
      <c r="B29" s="611">
        <v>3</v>
      </c>
      <c r="C29" s="1010" t="s">
        <v>665</v>
      </c>
      <c r="D29" s="866"/>
      <c r="E29" s="789">
        <v>220</v>
      </c>
      <c r="F29" s="625">
        <f>'1-ABA-DE-CARREGAMENTO'!K37</f>
        <v>4128.0200000000004</v>
      </c>
      <c r="G29" s="608" t="s">
        <v>488</v>
      </c>
      <c r="H29" s="626">
        <f>'1-ABA-DE-CARREGAMENTO'!K52</f>
        <v>220</v>
      </c>
      <c r="I29" s="1011">
        <f>F29/E29*H29</f>
        <v>4128.0200000000004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'1-ABA-DE-CARREGAMENTO'!K36</f>
        <v>01 de ABRIL</v>
      </c>
      <c r="J31" s="885"/>
      <c r="K31" s="629"/>
    </row>
    <row r="32" spans="1:11" ht="27" customHeight="1">
      <c r="A32" s="603"/>
      <c r="B32" s="630">
        <v>6</v>
      </c>
      <c r="C32" s="953" t="s">
        <v>1079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27" customHeight="1">
      <c r="A33" s="603"/>
      <c r="B33" s="630">
        <v>7</v>
      </c>
      <c r="C33" s="953" t="s">
        <v>1080</v>
      </c>
      <c r="D33" s="884"/>
      <c r="E33" s="884"/>
      <c r="F33" s="885"/>
      <c r="G33" s="978"/>
      <c r="H33" s="885"/>
      <c r="I33" s="961">
        <f>SUM(J47:J50)/220</f>
        <v>18.763727272727273</v>
      </c>
      <c r="J33" s="885"/>
      <c r="K33" s="631"/>
    </row>
    <row r="34" spans="1:11" ht="27" customHeight="1">
      <c r="A34" s="603"/>
      <c r="B34" s="630">
        <v>8</v>
      </c>
      <c r="C34" s="953" t="s">
        <v>1081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7" customHeight="1">
      <c r="A35" s="603"/>
      <c r="B35" s="630">
        <v>9</v>
      </c>
      <c r="C35" s="953" t="s">
        <v>1082</v>
      </c>
      <c r="D35" s="884"/>
      <c r="E35" s="884"/>
      <c r="F35" s="885"/>
      <c r="G35" s="978" t="s">
        <v>495</v>
      </c>
      <c r="H35" s="885"/>
      <c r="I35" s="1073">
        <f>I33*1.5</f>
        <v>28.14559090909091</v>
      </c>
      <c r="J35" s="885"/>
      <c r="K35" s="632"/>
    </row>
    <row r="36" spans="1:11" ht="27" customHeight="1">
      <c r="A36" s="603"/>
      <c r="B36" s="630">
        <v>10</v>
      </c>
      <c r="C36" s="953" t="s">
        <v>1083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27" customHeight="1">
      <c r="A37" s="603"/>
      <c r="B37" s="630">
        <v>11</v>
      </c>
      <c r="C37" s="953" t="s">
        <v>1084</v>
      </c>
      <c r="D37" s="884"/>
      <c r="E37" s="884"/>
      <c r="F37" s="884"/>
      <c r="G37" s="884"/>
      <c r="H37" s="885"/>
      <c r="I37" s="961">
        <f>I33*2</f>
        <v>37.527454545454546</v>
      </c>
      <c r="J37" s="885"/>
      <c r="K37" s="631"/>
    </row>
    <row r="38" spans="1:11" ht="14.25" customHeight="1">
      <c r="A38" s="603"/>
      <c r="B38" s="630">
        <v>12</v>
      </c>
      <c r="C38" s="953" t="s">
        <v>1085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'1-ABA-DE-CARREGAMENTO'!K93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4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'1-ABA-DE-CARREGAMENTO'!K52</f>
        <v>220</v>
      </c>
      <c r="I47" s="641"/>
      <c r="J47" s="644">
        <f>I29*I40</f>
        <v>4128.0200000000004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'1-ABA-DE-CARREGAMENTO'!K38</f>
        <v>SEM ADICIONAL DE FUNÇÃO</v>
      </c>
      <c r="G48" s="884"/>
      <c r="H48" s="885"/>
      <c r="I48" s="786">
        <f>'1-ABA-DE-CARREGAMENTO'!K39</f>
        <v>0</v>
      </c>
      <c r="J48" s="644">
        <f>J47*I48</f>
        <v>0</v>
      </c>
      <c r="K48" s="645"/>
    </row>
    <row r="49" spans="1:11" ht="11.25" customHeight="1">
      <c r="A49" s="603"/>
      <c r="B49" s="611" t="s">
        <v>467</v>
      </c>
      <c r="C49" s="949" t="s">
        <v>1086</v>
      </c>
      <c r="D49" s="884"/>
      <c r="E49" s="884"/>
      <c r="F49" s="884"/>
      <c r="G49" s="884"/>
      <c r="H49" s="885"/>
      <c r="I49" s="754">
        <f>'1-ABA-DE-CARREGAMENTO'!K44</f>
        <v>0</v>
      </c>
      <c r="J49" s="644">
        <f>ROUND(J47*I49,2)</f>
        <v>0</v>
      </c>
      <c r="K49" s="645"/>
    </row>
    <row r="50" spans="1:11" ht="11.25" customHeight="1">
      <c r="A50" s="603"/>
      <c r="B50" s="611" t="s">
        <v>469</v>
      </c>
      <c r="C50" s="949" t="s">
        <v>1087</v>
      </c>
      <c r="D50" s="884"/>
      <c r="E50" s="884"/>
      <c r="F50" s="884"/>
      <c r="G50" s="981" t="str">
        <f>'1-ABA-DE-CARREGAMENTO'!K40</f>
        <v>SEM ADICIONAL DE RISCO</v>
      </c>
      <c r="H50" s="885"/>
      <c r="I50" s="787">
        <f>'1-ABA-DE-CARREGAMENTO'!K41</f>
        <v>0</v>
      </c>
      <c r="J50" s="644">
        <f>ROUND(I50*I41,2)</f>
        <v>0</v>
      </c>
      <c r="K50" s="645"/>
    </row>
    <row r="51" spans="1:11" ht="24.75" customHeight="1">
      <c r="A51" s="603"/>
      <c r="B51" s="611" t="s">
        <v>511</v>
      </c>
      <c r="C51" s="949" t="s">
        <v>1088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39" customHeight="1">
      <c r="A52" s="603"/>
      <c r="B52" s="611" t="s">
        <v>513</v>
      </c>
      <c r="C52" s="969" t="s">
        <v>1089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9" customHeight="1">
      <c r="A53" s="603"/>
      <c r="B53" s="611" t="s">
        <v>515</v>
      </c>
      <c r="C53" s="969" t="s">
        <v>1090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30" customHeight="1">
      <c r="A54" s="603"/>
      <c r="B54" s="611" t="s">
        <v>517</v>
      </c>
      <c r="C54" s="969" t="s">
        <v>518</v>
      </c>
      <c r="D54" s="884"/>
      <c r="E54" s="884"/>
      <c r="F54" s="982" t="s">
        <v>1091</v>
      </c>
      <c r="G54" s="884"/>
      <c r="H54" s="884"/>
      <c r="I54" s="650">
        <f>'1-ABA-DE-CARREGAMENTO'!K65</f>
        <v>0</v>
      </c>
      <c r="J54" s="644">
        <f>ROUND((((SUM(J47:J50))/220)*1.5)*I54,2)</f>
        <v>0</v>
      </c>
      <c r="K54" s="645"/>
    </row>
    <row r="55" spans="1:11" ht="30" customHeight="1">
      <c r="A55" s="603"/>
      <c r="B55" s="611" t="s">
        <v>520</v>
      </c>
      <c r="C55" s="969" t="s">
        <v>521</v>
      </c>
      <c r="D55" s="884"/>
      <c r="E55" s="884"/>
      <c r="F55" s="982" t="s">
        <v>1092</v>
      </c>
      <c r="G55" s="884"/>
      <c r="H55" s="884"/>
      <c r="I55" s="650">
        <f>'1-ABA-DE-CARREGAMENTO'!K68</f>
        <v>0</v>
      </c>
      <c r="J55" s="644">
        <f>ROUND((((SUM(J47:J50))/220)*2)*I55,2)</f>
        <v>0</v>
      </c>
      <c r="K55" s="645"/>
    </row>
    <row r="56" spans="1:11" ht="39" customHeight="1">
      <c r="A56" s="603"/>
      <c r="B56" s="611" t="s">
        <v>523</v>
      </c>
      <c r="C56" s="949" t="s">
        <v>1093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4128.0200000000004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1094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1095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1096</v>
      </c>
      <c r="C63" s="884"/>
      <c r="D63" s="884"/>
      <c r="E63" s="884"/>
      <c r="F63" s="884"/>
      <c r="G63" s="884"/>
      <c r="H63" s="884"/>
      <c r="I63" s="885"/>
      <c r="J63" s="657">
        <f>J58+J61</f>
        <v>4128.0200000000004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1097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1098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1099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343.86</v>
      </c>
      <c r="K70" s="668"/>
    </row>
    <row r="71" spans="1:11" ht="14.25" customHeight="1">
      <c r="A71" s="603"/>
      <c r="B71" s="663" t="s">
        <v>465</v>
      </c>
      <c r="C71" s="970" t="s">
        <v>1100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124.87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468.73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1101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1102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919.35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114.92</v>
      </c>
      <c r="K79" s="671"/>
    </row>
    <row r="80" spans="1:11" ht="11.25" customHeight="1">
      <c r="A80" s="603"/>
      <c r="B80" s="677" t="s">
        <v>467</v>
      </c>
      <c r="C80" s="949" t="s">
        <v>1103</v>
      </c>
      <c r="D80" s="885"/>
      <c r="E80" s="794" t="s">
        <v>548</v>
      </c>
      <c r="F80" s="795">
        <f>'1-ABA-DE-CARREGAMENTO'!K57</f>
        <v>0.03</v>
      </c>
      <c r="G80" s="794" t="s">
        <v>549</v>
      </c>
      <c r="H80" s="796">
        <f>'1-ABA-DE-CARREGAMENTO'!K58</f>
        <v>1</v>
      </c>
      <c r="I80" s="682">
        <f>ROUND((F80*H80),6)</f>
        <v>0.03</v>
      </c>
      <c r="J80" s="679">
        <f>ROUND((J58+J72)*I80,2)</f>
        <v>137.9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68.95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45.97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27.58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9.19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367.74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1691.6000000000001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3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1104</v>
      </c>
      <c r="D92" s="884"/>
      <c r="E92" s="884"/>
      <c r="F92" s="884"/>
      <c r="G92" s="884"/>
      <c r="H92" s="885"/>
      <c r="I92" s="691">
        <f>J47</f>
        <v>4128.0200000000004</v>
      </c>
      <c r="J92" s="692">
        <f>IF(ROUND((I93*I95*I94)-(J47*I96),2)&lt;0,0,ROUND((I93*I95*I94)-(J47*I96),2))</f>
        <v>42.72</v>
      </c>
      <c r="K92" s="671"/>
    </row>
    <row r="93" spans="1:11" ht="28.5" customHeight="1">
      <c r="A93" s="603"/>
      <c r="B93" s="690" t="s">
        <v>465</v>
      </c>
      <c r="C93" s="949" t="s">
        <v>1105</v>
      </c>
      <c r="D93" s="884"/>
      <c r="E93" s="884"/>
      <c r="F93" s="884"/>
      <c r="G93" s="884"/>
      <c r="H93" s="884"/>
      <c r="I93" s="693">
        <f>'1-ABA-DE-CARREGAMENTO'!K72</f>
        <v>6.6</v>
      </c>
      <c r="J93" s="694" t="s">
        <v>476</v>
      </c>
      <c r="K93" s="652"/>
    </row>
    <row r="94" spans="1:11" ht="24" customHeight="1">
      <c r="A94" s="603"/>
      <c r="B94" s="690" t="s">
        <v>467</v>
      </c>
      <c r="C94" s="949" t="s">
        <v>1106</v>
      </c>
      <c r="D94" s="884"/>
      <c r="E94" s="884"/>
      <c r="F94" s="884"/>
      <c r="G94" s="884"/>
      <c r="H94" s="885"/>
      <c r="I94" s="695">
        <f>'1-ABA-DE-CARREGAMENTO'!K73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'1-ABA-DE-CARREGAMENTO'!K74</f>
        <v>22</v>
      </c>
      <c r="J95" s="694" t="s">
        <v>476</v>
      </c>
      <c r="K95" s="652"/>
    </row>
    <row r="96" spans="1:11" ht="25.5" customHeight="1">
      <c r="A96" s="603"/>
      <c r="B96" s="690" t="s">
        <v>511</v>
      </c>
      <c r="C96" s="953" t="s">
        <v>1107</v>
      </c>
      <c r="D96" s="884"/>
      <c r="E96" s="884"/>
      <c r="F96" s="884"/>
      <c r="G96" s="884"/>
      <c r="H96" s="885"/>
      <c r="I96" s="696">
        <f>'1-ABA-DE-CARREGAMENTO'!K75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1108</v>
      </c>
      <c r="D97" s="884"/>
      <c r="E97" s="884"/>
      <c r="F97" s="884"/>
      <c r="G97" s="884"/>
      <c r="H97" s="884"/>
      <c r="I97" s="884"/>
      <c r="J97" s="692">
        <f>ROUND(I98*I99,2)-ROUND((I98*I99)*I100,2)</f>
        <v>278</v>
      </c>
      <c r="K97" s="671"/>
    </row>
    <row r="98" spans="1:11" ht="15" customHeight="1">
      <c r="A98" s="603"/>
      <c r="B98" s="690" t="s">
        <v>515</v>
      </c>
      <c r="C98" s="949" t="s">
        <v>1109</v>
      </c>
      <c r="D98" s="884"/>
      <c r="E98" s="884"/>
      <c r="F98" s="884"/>
      <c r="G98" s="884"/>
      <c r="H98" s="884"/>
      <c r="I98" s="693">
        <f>IF('1-ABA-DE-CARREGAMENTO'!K60&gt;0,'1-ABA-DE-CARREGAMENTO'!K60,'1-ABA-DE-CARREGAMENTO'!K63)</f>
        <v>13.9</v>
      </c>
      <c r="J98" s="699"/>
      <c r="K98" s="652"/>
    </row>
    <row r="99" spans="1:11" ht="15" customHeight="1">
      <c r="A99" s="603"/>
      <c r="B99" s="690" t="s">
        <v>517</v>
      </c>
      <c r="C99" s="949" t="s">
        <v>1110</v>
      </c>
      <c r="D99" s="884"/>
      <c r="E99" s="884"/>
      <c r="F99" s="884"/>
      <c r="G99" s="884"/>
      <c r="H99" s="884"/>
      <c r="I99" s="695">
        <f>'1-ABA-DE-CARREGAMENTO'!K62</f>
        <v>25</v>
      </c>
      <c r="J99" s="699"/>
      <c r="K99" s="652"/>
    </row>
    <row r="100" spans="1:11" ht="27" customHeight="1">
      <c r="A100" s="603"/>
      <c r="B100" s="690" t="s">
        <v>520</v>
      </c>
      <c r="C100" s="958" t="s">
        <v>1111</v>
      </c>
      <c r="D100" s="884"/>
      <c r="E100" s="884"/>
      <c r="F100" s="884"/>
      <c r="G100" s="884"/>
      <c r="H100" s="885"/>
      <c r="I100" s="696">
        <f>'1-ABA-DE-CARREGAMENTO'!K61</f>
        <v>0.2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6" customHeight="1">
      <c r="A102" s="603"/>
      <c r="B102" s="690" t="s">
        <v>525</v>
      </c>
      <c r="C102" s="949" t="s">
        <v>1112</v>
      </c>
      <c r="D102" s="884"/>
      <c r="E102" s="884"/>
      <c r="F102" s="884"/>
      <c r="G102" s="884"/>
      <c r="H102" s="884"/>
      <c r="I102" s="884"/>
      <c r="J102" s="679">
        <f>'1-ABA-DE-CARREGAMENTO'!K77</f>
        <v>0</v>
      </c>
      <c r="K102" s="671"/>
    </row>
    <row r="103" spans="1:11" ht="36" customHeight="1">
      <c r="A103" s="603"/>
      <c r="B103" s="690" t="s">
        <v>570</v>
      </c>
      <c r="C103" s="949" t="s">
        <v>1113</v>
      </c>
      <c r="D103" s="884"/>
      <c r="E103" s="884"/>
      <c r="F103" s="884"/>
      <c r="G103" s="884"/>
      <c r="H103" s="884"/>
      <c r="I103" s="885"/>
      <c r="J103" s="679">
        <f>'1-ABA-DE-CARREGAMENTO'!K78</f>
        <v>0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'1-ABA-DE-CARREGAMENTO'!K76</f>
        <v>0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320.72000000000003</v>
      </c>
      <c r="K106" s="671"/>
    </row>
    <row r="107" spans="1:11" ht="12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3.7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0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1114</v>
      </c>
      <c r="D112" s="884"/>
      <c r="E112" s="884"/>
      <c r="F112" s="884"/>
      <c r="G112" s="884"/>
      <c r="H112" s="884"/>
      <c r="I112" s="885"/>
      <c r="J112" s="707">
        <f>J72</f>
        <v>468.73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1691.6000000000001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320.72000000000003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2481.0500000000002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2" customHeight="1">
      <c r="A119" s="603"/>
      <c r="B119" s="690" t="s">
        <v>463</v>
      </c>
      <c r="C119" s="949" t="s">
        <v>1115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20.59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1.65</v>
      </c>
      <c r="K120" s="671"/>
    </row>
    <row r="121" spans="1:11" ht="30" customHeight="1">
      <c r="A121" s="603"/>
      <c r="B121" s="690" t="s">
        <v>467</v>
      </c>
      <c r="C121" s="949" t="s">
        <v>1116</v>
      </c>
      <c r="D121" s="884"/>
      <c r="E121" s="884"/>
      <c r="F121" s="884"/>
      <c r="G121" s="884"/>
      <c r="H121" s="884"/>
      <c r="I121" s="885"/>
      <c r="J121" s="679">
        <f>ROUND(((7/30)/$I$11)*$J$58*1,2)</f>
        <v>48.16</v>
      </c>
      <c r="K121" s="671"/>
    </row>
    <row r="122" spans="1:11" ht="18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17.72</v>
      </c>
      <c r="K122" s="671"/>
    </row>
    <row r="123" spans="1:11" ht="33.75" customHeight="1">
      <c r="A123" s="603"/>
      <c r="B123" s="690" t="s">
        <v>511</v>
      </c>
      <c r="C123" s="949" t="s">
        <v>1117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165.12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253.24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30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28.5" customHeight="1">
      <c r="A128" s="603"/>
      <c r="B128" s="974" t="s">
        <v>1118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27.75" customHeight="1">
      <c r="A129" s="603"/>
      <c r="B129" s="716" t="s">
        <v>590</v>
      </c>
      <c r="C129" s="717">
        <f>J58</f>
        <v>4128.0200000000004</v>
      </c>
      <c r="D129" s="718" t="s">
        <v>591</v>
      </c>
      <c r="E129" s="716" t="s">
        <v>1119</v>
      </c>
      <c r="F129" s="717">
        <f>J115-J92-J97</f>
        <v>2160.3300000000004</v>
      </c>
      <c r="G129" s="718" t="s">
        <v>591</v>
      </c>
      <c r="H129" s="716" t="s">
        <v>593</v>
      </c>
      <c r="I129" s="717">
        <f>J124</f>
        <v>253.24</v>
      </c>
      <c r="J129" s="719">
        <f>C129+F129+I129</f>
        <v>6541.59</v>
      </c>
      <c r="K129" s="720"/>
    </row>
    <row r="130" spans="1:11" ht="9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45" customHeight="1">
      <c r="A133" s="603"/>
      <c r="B133" s="690" t="s">
        <v>463</v>
      </c>
      <c r="C133" s="969" t="s">
        <v>1120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512.48016000000007</v>
      </c>
      <c r="K133" s="671"/>
    </row>
    <row r="134" spans="1:11" ht="17.25" customHeight="1">
      <c r="A134" s="603"/>
      <c r="B134" s="690" t="s">
        <v>465</v>
      </c>
      <c r="C134" s="949" t="s">
        <v>1121</v>
      </c>
      <c r="D134" s="884"/>
      <c r="E134" s="884"/>
      <c r="F134" s="884"/>
      <c r="G134" s="884"/>
      <c r="H134" s="884"/>
      <c r="I134" s="885"/>
      <c r="J134" s="679">
        <f>ROUND((1/30)/12*(J129),2)</f>
        <v>18.170000000000002</v>
      </c>
      <c r="K134" s="671"/>
    </row>
    <row r="135" spans="1:11" ht="26.25" customHeight="1">
      <c r="A135" s="603"/>
      <c r="B135" s="690" t="s">
        <v>467</v>
      </c>
      <c r="C135" s="949" t="s">
        <v>1122</v>
      </c>
      <c r="D135" s="884"/>
      <c r="E135" s="884"/>
      <c r="F135" s="884"/>
      <c r="G135" s="884"/>
      <c r="H135" s="884"/>
      <c r="I135" s="885"/>
      <c r="J135" s="679">
        <f>ROUND((5/30)/12*0.015*(J129),2)</f>
        <v>1.36</v>
      </c>
      <c r="K135" s="671"/>
    </row>
    <row r="136" spans="1:11" ht="28.5" customHeight="1">
      <c r="A136" s="603"/>
      <c r="B136" s="690" t="s">
        <v>469</v>
      </c>
      <c r="C136" s="949" t="s">
        <v>1123</v>
      </c>
      <c r="D136" s="884"/>
      <c r="E136" s="884"/>
      <c r="F136" s="884"/>
      <c r="G136" s="884"/>
      <c r="H136" s="884"/>
      <c r="I136" s="885"/>
      <c r="J136" s="679">
        <f>ROUND(((15/30)/12)*0.0078*(J129),2)</f>
        <v>2.13</v>
      </c>
      <c r="K136" s="671"/>
    </row>
    <row r="137" spans="1:11" ht="30.75" customHeight="1">
      <c r="A137" s="603"/>
      <c r="B137" s="727" t="s">
        <v>511</v>
      </c>
      <c r="C137" s="1019" t="s">
        <v>1124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5.868266666666667</v>
      </c>
      <c r="K137" s="729"/>
    </row>
    <row r="138" spans="1:11" ht="38.25" customHeight="1">
      <c r="A138" s="603"/>
      <c r="B138" s="690" t="s">
        <v>513</v>
      </c>
      <c r="C138" s="949" t="s">
        <v>1125</v>
      </c>
      <c r="D138" s="884"/>
      <c r="E138" s="884"/>
      <c r="F138" s="884"/>
      <c r="G138" s="884"/>
      <c r="H138" s="884"/>
      <c r="I138" s="885"/>
      <c r="J138" s="679">
        <f>ROUND(((3/30)/12)*(J129),2)</f>
        <v>54.51</v>
      </c>
      <c r="K138" s="671"/>
    </row>
    <row r="139" spans="1:11" ht="18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594.51842666666664</v>
      </c>
      <c r="K139" s="671"/>
    </row>
    <row r="140" spans="1:11" ht="10.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9.7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594.51842666666664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594.51842666666664</v>
      </c>
      <c r="K150" s="735"/>
    </row>
    <row r="151" spans="1:11" ht="9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9.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#REF!+#REF!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12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18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2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24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4.75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0.2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'1-ABA-DE-CARREGAMENTO'!K85</f>
        <v>0.06</v>
      </c>
      <c r="J164" s="679" t="e">
        <f>ROUND(I164*J163,2)</f>
        <v>#REF!</v>
      </c>
      <c r="K164" s="671"/>
    </row>
    <row r="165" spans="1:11" ht="51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'1-ABA-DE-CARREGAMENTO'!K86</f>
        <v>0.06</v>
      </c>
      <c r="J166" s="679" t="e">
        <f>ROUND(I166*J165,2)</f>
        <v>#REF!</v>
      </c>
      <c r="K166" s="671"/>
    </row>
    <row r="167" spans="1:11" ht="54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8.75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19.5" customHeight="1">
      <c r="A170" s="603"/>
      <c r="B170" s="690"/>
      <c r="C170" s="1018" t="s">
        <v>1126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19.5" customHeight="1">
      <c r="A171" s="603"/>
      <c r="B171" s="690"/>
      <c r="C171" s="1018" t="s">
        <v>1127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4.75" customHeight="1">
      <c r="A172" s="603"/>
      <c r="B172" s="690"/>
      <c r="C172" s="949" t="s">
        <v>1128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7" customHeight="1">
      <c r="A173" s="603"/>
      <c r="B173" s="690"/>
      <c r="C173" s="949" t="s">
        <v>1129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1130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5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15.7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15.7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15.7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1131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4128.0200000000004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2481.0500000000002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253.24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594.51842666666664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4.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9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40.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3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3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3" customHeight="1" collapsed="1">
      <c r="A203" s="603"/>
      <c r="B203" s="1046" t="str">
        <f>B3</f>
        <v>A NÃO TEM MAIS POSTOS-66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33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3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15.75" hidden="1" customHeight="1" outlineLevel="1">
      <c r="A206" s="603"/>
      <c r="B206" s="1048" t="s">
        <v>1132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7.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7.5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7.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7.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1133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7.5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7" priority="1" operator="equal">
      <formula>0</formula>
    </cfRule>
  </conditionalFormatting>
  <conditionalFormatting sqref="I48">
    <cfRule type="cellIs" dxfId="76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66"/>
  </sheetPr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3.5703125" customWidth="1"/>
    <col min="8" max="8" width="14.42578125" customWidth="1"/>
    <col min="9" max="9" width="11.28515625" customWidth="1"/>
    <col min="10" max="10" width="19.425781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'1-ABA-DE-CARREGAMENTO'!L33</f>
        <v>A NÃO TEM MAIS POSTOS-77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VLOOKUP('1-ABA-DE-CARREGAMENTO'!L35,'DADOS-CADASTRAIS'!C6:J16,1,0)</f>
        <v>RS000690/2022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'1-ABA-DE-CARREGAMENTO'!L94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24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POSTOS-77</v>
      </c>
      <c r="C17" s="884"/>
      <c r="D17" s="884"/>
      <c r="E17" s="884"/>
      <c r="F17" s="885"/>
      <c r="G17" s="987" t="s">
        <v>475</v>
      </c>
      <c r="H17" s="885"/>
      <c r="I17" s="988">
        <f>'1-ABA-DE-CARREGAMENTO'!L92</f>
        <v>0</v>
      </c>
      <c r="J17" s="885"/>
      <c r="K17" s="615"/>
    </row>
    <row r="18" spans="1:11" ht="16.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1134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1135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30.7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'1-ABA-DE-CARREGAMENTO'!L33</f>
        <v>A NÃO TEM MAIS POSTOS-77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0" customHeight="1">
      <c r="A29" s="603"/>
      <c r="B29" s="611">
        <v>3</v>
      </c>
      <c r="C29" s="1010" t="s">
        <v>665</v>
      </c>
      <c r="D29" s="866"/>
      <c r="E29" s="789">
        <v>200</v>
      </c>
      <c r="F29" s="625">
        <f>'1-ABA-DE-CARREGAMENTO'!L37</f>
        <v>1741.45</v>
      </c>
      <c r="G29" s="608" t="s">
        <v>488</v>
      </c>
      <c r="H29" s="626">
        <f>'1-ABA-DE-CARREGAMENTO'!L52</f>
        <v>220</v>
      </c>
      <c r="I29" s="1011">
        <f>F29/E29*H29</f>
        <v>1915.595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'1-ABA-DE-CARREGAMENTO'!L36</f>
        <v>2 de ABRIL</v>
      </c>
      <c r="J31" s="885"/>
      <c r="K31" s="629"/>
    </row>
    <row r="32" spans="1:11" ht="12.75" customHeight="1">
      <c r="A32" s="603"/>
      <c r="B32" s="630">
        <v>6</v>
      </c>
      <c r="C32" s="953" t="s">
        <v>1136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24.75" customHeight="1">
      <c r="A33" s="603"/>
      <c r="B33" s="630">
        <v>7</v>
      </c>
      <c r="C33" s="953" t="s">
        <v>1137</v>
      </c>
      <c r="D33" s="884"/>
      <c r="E33" s="884"/>
      <c r="F33" s="885"/>
      <c r="G33" s="978"/>
      <c r="H33" s="885"/>
      <c r="I33" s="961">
        <f>SUM(J47:J50)/220</f>
        <v>9.8090681818181817</v>
      </c>
      <c r="J33" s="885"/>
      <c r="K33" s="631"/>
    </row>
    <row r="34" spans="1:11" ht="24.75" customHeight="1">
      <c r="A34" s="603"/>
      <c r="B34" s="630">
        <v>8</v>
      </c>
      <c r="C34" s="953" t="s">
        <v>1138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4.75" customHeight="1">
      <c r="A35" s="603"/>
      <c r="B35" s="630">
        <v>9</v>
      </c>
      <c r="C35" s="953" t="s">
        <v>1139</v>
      </c>
      <c r="D35" s="884"/>
      <c r="E35" s="884"/>
      <c r="F35" s="885"/>
      <c r="G35" s="978" t="s">
        <v>495</v>
      </c>
      <c r="H35" s="885"/>
      <c r="I35" s="1073">
        <f>I33*1.5</f>
        <v>14.713602272727272</v>
      </c>
      <c r="J35" s="885"/>
      <c r="K35" s="632"/>
    </row>
    <row r="36" spans="1:11" ht="24.75" customHeight="1">
      <c r="A36" s="603"/>
      <c r="B36" s="630">
        <v>10</v>
      </c>
      <c r="C36" s="953" t="s">
        <v>1140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24.75" customHeight="1">
      <c r="A37" s="603"/>
      <c r="B37" s="630">
        <v>11</v>
      </c>
      <c r="C37" s="953" t="s">
        <v>1141</v>
      </c>
      <c r="D37" s="884"/>
      <c r="E37" s="884"/>
      <c r="F37" s="884"/>
      <c r="G37" s="884"/>
      <c r="H37" s="885"/>
      <c r="I37" s="961">
        <f>I33*2</f>
        <v>19.618136363636363</v>
      </c>
      <c r="J37" s="885"/>
      <c r="K37" s="631"/>
    </row>
    <row r="38" spans="1:11" ht="14.25" customHeight="1">
      <c r="A38" s="603"/>
      <c r="B38" s="630">
        <v>12</v>
      </c>
      <c r="C38" s="953" t="s">
        <v>1142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'1-ABA-DE-CARREGAMENTO'!L93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4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'1-ABA-DE-CARREGAMENTO'!L52</f>
        <v>220</v>
      </c>
      <c r="I47" s="641"/>
      <c r="J47" s="644">
        <f>I29*I40</f>
        <v>1915.595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'1-ABA-DE-CARREGAMENTO'!L38</f>
        <v>SEM ADICIONAL DE FUNÇÃO</v>
      </c>
      <c r="G48" s="884"/>
      <c r="H48" s="885"/>
      <c r="I48" s="786">
        <f>'1-ABA-DE-CARREGAMENTO'!L39</f>
        <v>0</v>
      </c>
      <c r="J48" s="644">
        <f>J47*I48</f>
        <v>0</v>
      </c>
      <c r="K48" s="645"/>
    </row>
    <row r="49" spans="1:11" ht="11.25" customHeight="1">
      <c r="A49" s="603"/>
      <c r="B49" s="611" t="s">
        <v>467</v>
      </c>
      <c r="C49" s="949" t="s">
        <v>1143</v>
      </c>
      <c r="D49" s="884"/>
      <c r="E49" s="884"/>
      <c r="F49" s="884"/>
      <c r="G49" s="884"/>
      <c r="H49" s="885"/>
      <c r="I49" s="754">
        <f>'1-ABA-DE-CARREGAMENTO'!L44</f>
        <v>0</v>
      </c>
      <c r="J49" s="644">
        <f>ROUND(J47*I49,2)</f>
        <v>0</v>
      </c>
      <c r="K49" s="645"/>
    </row>
    <row r="50" spans="1:11" ht="11.25" customHeight="1">
      <c r="A50" s="603"/>
      <c r="B50" s="611" t="s">
        <v>469</v>
      </c>
      <c r="C50" s="949" t="s">
        <v>1144</v>
      </c>
      <c r="D50" s="884"/>
      <c r="E50" s="884"/>
      <c r="F50" s="884"/>
      <c r="G50" s="981" t="str">
        <f>'1-ABA-DE-CARREGAMENTO'!L40</f>
        <v>INSALUB S/MINIMO</v>
      </c>
      <c r="H50" s="885"/>
      <c r="I50" s="787">
        <f>'1-ABA-DE-CARREGAMENTO'!L41</f>
        <v>0.2</v>
      </c>
      <c r="J50" s="644">
        <f>ROUND(I50*I41,2)</f>
        <v>242.4</v>
      </c>
      <c r="K50" s="645"/>
    </row>
    <row r="51" spans="1:11" ht="30.75" customHeight="1">
      <c r="A51" s="603"/>
      <c r="B51" s="611" t="s">
        <v>511</v>
      </c>
      <c r="C51" s="949" t="s">
        <v>1145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39" customHeight="1">
      <c r="A52" s="603"/>
      <c r="B52" s="611" t="s">
        <v>513</v>
      </c>
      <c r="C52" s="969" t="s">
        <v>1146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7.5" customHeight="1">
      <c r="A53" s="603"/>
      <c r="B53" s="611" t="s">
        <v>515</v>
      </c>
      <c r="C53" s="969" t="s">
        <v>1147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4" customHeight="1">
      <c r="A54" s="603"/>
      <c r="B54" s="611" t="s">
        <v>517</v>
      </c>
      <c r="C54" s="969" t="s">
        <v>518</v>
      </c>
      <c r="D54" s="884"/>
      <c r="E54" s="884"/>
      <c r="F54" s="982" t="s">
        <v>1148</v>
      </c>
      <c r="G54" s="884"/>
      <c r="H54" s="884"/>
      <c r="I54" s="650">
        <f>'1-ABA-DE-CARREGAMENTO'!L65</f>
        <v>0</v>
      </c>
      <c r="J54" s="644">
        <f>ROUND((((SUM(J47:J50))/220)*1.5)*I54,2)</f>
        <v>0</v>
      </c>
      <c r="K54" s="645"/>
    </row>
    <row r="55" spans="1:11" ht="24" customHeight="1">
      <c r="A55" s="603"/>
      <c r="B55" s="611" t="s">
        <v>520</v>
      </c>
      <c r="C55" s="969" t="s">
        <v>521</v>
      </c>
      <c r="D55" s="884"/>
      <c r="E55" s="884"/>
      <c r="F55" s="982" t="s">
        <v>1149</v>
      </c>
      <c r="G55" s="884"/>
      <c r="H55" s="884"/>
      <c r="I55" s="650">
        <f>'1-ABA-DE-CARREGAMENTO'!L68</f>
        <v>0</v>
      </c>
      <c r="J55" s="644">
        <f>ROUND((((SUM(J47:J50))/220)*2)*I55,2)</f>
        <v>0</v>
      </c>
      <c r="K55" s="645"/>
    </row>
    <row r="56" spans="1:11" ht="11.25" customHeight="1">
      <c r="A56" s="603"/>
      <c r="B56" s="611" t="s">
        <v>523</v>
      </c>
      <c r="C56" s="949" t="s">
        <v>1150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2157.9949999999999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1151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1152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1153</v>
      </c>
      <c r="C63" s="884"/>
      <c r="D63" s="884"/>
      <c r="E63" s="884"/>
      <c r="F63" s="884"/>
      <c r="G63" s="884"/>
      <c r="H63" s="884"/>
      <c r="I63" s="885"/>
      <c r="J63" s="657">
        <f>J58+J61</f>
        <v>2157.9949999999999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1154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1155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1156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179.76</v>
      </c>
      <c r="K70" s="668"/>
    </row>
    <row r="71" spans="1:11" ht="14.25" customHeight="1">
      <c r="A71" s="603"/>
      <c r="B71" s="663" t="s">
        <v>465</v>
      </c>
      <c r="C71" s="970" t="s">
        <v>1157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65.28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245.04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1158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1159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480.61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60.08</v>
      </c>
      <c r="K79" s="671"/>
    </row>
    <row r="80" spans="1:11" ht="11.25" customHeight="1">
      <c r="A80" s="603"/>
      <c r="B80" s="677" t="s">
        <v>467</v>
      </c>
      <c r="C80" s="949" t="s">
        <v>1160</v>
      </c>
      <c r="D80" s="885"/>
      <c r="E80" s="794" t="s">
        <v>548</v>
      </c>
      <c r="F80" s="795">
        <f>'1-ABA-DE-CARREGAMENTO'!L57</f>
        <v>0.03</v>
      </c>
      <c r="G80" s="794" t="s">
        <v>549</v>
      </c>
      <c r="H80" s="796">
        <f>'1-ABA-DE-CARREGAMENTO'!L58</f>
        <v>1</v>
      </c>
      <c r="I80" s="682">
        <f>ROUND((F80*H80),6)</f>
        <v>0.03</v>
      </c>
      <c r="J80" s="679">
        <f>ROUND((J58+J72)*I80,2)</f>
        <v>72.09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36.049999999999997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24.03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14.42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4.8099999999999996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192.24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884.32999999999993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2.2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1161</v>
      </c>
      <c r="D92" s="884"/>
      <c r="E92" s="884"/>
      <c r="F92" s="884"/>
      <c r="G92" s="884"/>
      <c r="H92" s="885"/>
      <c r="I92" s="691">
        <f>J47</f>
        <v>1915.595</v>
      </c>
      <c r="J92" s="692">
        <f>IF(ROUND((I93*I95*I94)-(J47*I96),2)&lt;0,0,ROUND((I93*I95*I94)-(J47*I96),2))</f>
        <v>3.86</v>
      </c>
      <c r="K92" s="671"/>
    </row>
    <row r="93" spans="1:11" ht="28.5" customHeight="1">
      <c r="A93" s="603"/>
      <c r="B93" s="690" t="s">
        <v>465</v>
      </c>
      <c r="C93" s="949" t="s">
        <v>1162</v>
      </c>
      <c r="D93" s="884"/>
      <c r="E93" s="884"/>
      <c r="F93" s="884"/>
      <c r="G93" s="884"/>
      <c r="H93" s="884"/>
      <c r="I93" s="693">
        <f>'1-ABA-DE-CARREGAMENTO'!L72</f>
        <v>6.6</v>
      </c>
      <c r="J93" s="694" t="s">
        <v>476</v>
      </c>
      <c r="K93" s="652"/>
    </row>
    <row r="94" spans="1:11" ht="25.5" customHeight="1">
      <c r="A94" s="603"/>
      <c r="B94" s="690" t="s">
        <v>467</v>
      </c>
      <c r="C94" s="949" t="s">
        <v>1163</v>
      </c>
      <c r="D94" s="884"/>
      <c r="E94" s="884"/>
      <c r="F94" s="884"/>
      <c r="G94" s="884"/>
      <c r="H94" s="885"/>
      <c r="I94" s="695">
        <f>'1-ABA-DE-CARREGAMENTO'!L73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'1-ABA-DE-CARREGAMENTO'!L74</f>
        <v>9</v>
      </c>
      <c r="J95" s="694" t="s">
        <v>476</v>
      </c>
      <c r="K95" s="652"/>
    </row>
    <row r="96" spans="1:11" ht="25.5" customHeight="1">
      <c r="A96" s="603"/>
      <c r="B96" s="690" t="s">
        <v>511</v>
      </c>
      <c r="C96" s="953" t="s">
        <v>1164</v>
      </c>
      <c r="D96" s="884"/>
      <c r="E96" s="884"/>
      <c r="F96" s="884"/>
      <c r="G96" s="884"/>
      <c r="H96" s="885"/>
      <c r="I96" s="696">
        <f>'1-ABA-DE-CARREGAMENTO'!L75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1165</v>
      </c>
      <c r="D97" s="884"/>
      <c r="E97" s="884"/>
      <c r="F97" s="884"/>
      <c r="G97" s="884"/>
      <c r="H97" s="884"/>
      <c r="I97" s="884"/>
      <c r="J97" s="692">
        <f>ROUND(I98*I99,2)-ROUND((I98*I99)*I100,2)</f>
        <v>0</v>
      </c>
      <c r="K97" s="671"/>
    </row>
    <row r="98" spans="1:11" ht="15" customHeight="1">
      <c r="A98" s="603"/>
      <c r="B98" s="690" t="s">
        <v>515</v>
      </c>
      <c r="C98" s="949" t="s">
        <v>1166</v>
      </c>
      <c r="D98" s="884"/>
      <c r="E98" s="884"/>
      <c r="F98" s="884"/>
      <c r="G98" s="884"/>
      <c r="H98" s="884"/>
      <c r="I98" s="693">
        <f>IF('1-ABA-DE-CARREGAMENTO'!L60&gt;0,'1-ABA-DE-CARREGAMENTO'!L60,'1-ABA-DE-CARREGAMENTO'!L63)</f>
        <v>0</v>
      </c>
      <c r="J98" s="699"/>
      <c r="K98" s="652"/>
    </row>
    <row r="99" spans="1:11" ht="15" customHeight="1">
      <c r="A99" s="603"/>
      <c r="B99" s="690" t="s">
        <v>517</v>
      </c>
      <c r="C99" s="949" t="s">
        <v>1167</v>
      </c>
      <c r="D99" s="884"/>
      <c r="E99" s="884"/>
      <c r="F99" s="884"/>
      <c r="G99" s="884"/>
      <c r="H99" s="884"/>
      <c r="I99" s="695">
        <f>'1-ABA-DE-CARREGAMENTO'!L62</f>
        <v>25</v>
      </c>
      <c r="J99" s="699"/>
      <c r="K99" s="652"/>
    </row>
    <row r="100" spans="1:11" ht="28.5" customHeight="1">
      <c r="A100" s="603"/>
      <c r="B100" s="690" t="s">
        <v>520</v>
      </c>
      <c r="C100" s="958" t="s">
        <v>1168</v>
      </c>
      <c r="D100" s="884"/>
      <c r="E100" s="884"/>
      <c r="F100" s="884"/>
      <c r="G100" s="884"/>
      <c r="H100" s="885"/>
      <c r="I100" s="696">
        <f>'1-ABA-DE-CARREGAMENTO'!L61</f>
        <v>0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6.75" customHeight="1">
      <c r="A102" s="603"/>
      <c r="B102" s="690" t="s">
        <v>525</v>
      </c>
      <c r="C102" s="949" t="s">
        <v>1169</v>
      </c>
      <c r="D102" s="884"/>
      <c r="E102" s="884"/>
      <c r="F102" s="884"/>
      <c r="G102" s="884"/>
      <c r="H102" s="884"/>
      <c r="I102" s="884"/>
      <c r="J102" s="679">
        <f>'1-ABA-DE-CARREGAMENTO'!L77</f>
        <v>0</v>
      </c>
      <c r="K102" s="671"/>
    </row>
    <row r="103" spans="1:11" ht="36.75" customHeight="1">
      <c r="A103" s="603"/>
      <c r="B103" s="690" t="s">
        <v>570</v>
      </c>
      <c r="C103" s="949" t="s">
        <v>1170</v>
      </c>
      <c r="D103" s="884"/>
      <c r="E103" s="884"/>
      <c r="F103" s="884"/>
      <c r="G103" s="884"/>
      <c r="H103" s="884"/>
      <c r="I103" s="885"/>
      <c r="J103" s="679">
        <f>'1-ABA-DE-CARREGAMENTO'!L78</f>
        <v>0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'1-ABA-DE-CARREGAMENTO'!L76</f>
        <v>0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3.86</v>
      </c>
      <c r="K106" s="671"/>
    </row>
    <row r="107" spans="1:11" ht="17.2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3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9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1171</v>
      </c>
      <c r="D112" s="884"/>
      <c r="E112" s="884"/>
      <c r="F112" s="884"/>
      <c r="G112" s="884"/>
      <c r="H112" s="884"/>
      <c r="I112" s="885"/>
      <c r="J112" s="707">
        <f>J72</f>
        <v>245.04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884.32999999999993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3.86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1133.2299999999998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3.5" customHeight="1">
      <c r="A119" s="603"/>
      <c r="B119" s="690" t="s">
        <v>463</v>
      </c>
      <c r="C119" s="949" t="s">
        <v>1172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10.76</v>
      </c>
      <c r="K119" s="671"/>
    </row>
    <row r="120" spans="1:11" ht="21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0.86</v>
      </c>
      <c r="K120" s="671"/>
    </row>
    <row r="121" spans="1:11" ht="26.25" customHeight="1">
      <c r="A121" s="603"/>
      <c r="B121" s="690" t="s">
        <v>467</v>
      </c>
      <c r="C121" s="949" t="s">
        <v>1173</v>
      </c>
      <c r="D121" s="884"/>
      <c r="E121" s="884"/>
      <c r="F121" s="884"/>
      <c r="G121" s="884"/>
      <c r="H121" s="884"/>
      <c r="I121" s="885"/>
      <c r="J121" s="679">
        <f>ROUND(((7/30)/$I$11)*$J$58*1,2)</f>
        <v>25.18</v>
      </c>
      <c r="K121" s="671"/>
    </row>
    <row r="122" spans="1:11" ht="18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9.27</v>
      </c>
      <c r="K122" s="671"/>
    </row>
    <row r="123" spans="1:11" ht="40.5" customHeight="1">
      <c r="A123" s="603"/>
      <c r="B123" s="690" t="s">
        <v>511</v>
      </c>
      <c r="C123" s="949" t="s">
        <v>1174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86.32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132.38999999999999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24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54.75" customHeight="1">
      <c r="A128" s="603"/>
      <c r="B128" s="974" t="s">
        <v>1175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26.25" customHeight="1">
      <c r="A129" s="603"/>
      <c r="B129" s="716" t="s">
        <v>590</v>
      </c>
      <c r="C129" s="717">
        <f>J58</f>
        <v>2157.9949999999999</v>
      </c>
      <c r="D129" s="718" t="s">
        <v>591</v>
      </c>
      <c r="E129" s="716" t="s">
        <v>1176</v>
      </c>
      <c r="F129" s="717">
        <f>J115-J92-J97</f>
        <v>1129.3699999999999</v>
      </c>
      <c r="G129" s="718" t="s">
        <v>591</v>
      </c>
      <c r="H129" s="716" t="s">
        <v>593</v>
      </c>
      <c r="I129" s="717">
        <f>J124</f>
        <v>132.38999999999999</v>
      </c>
      <c r="J129" s="719">
        <f>C129+F129+I129</f>
        <v>3419.7549999999997</v>
      </c>
      <c r="K129" s="720"/>
    </row>
    <row r="130" spans="1:11" ht="30.7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50.25" customHeight="1">
      <c r="A133" s="603"/>
      <c r="B133" s="690" t="s">
        <v>463</v>
      </c>
      <c r="C133" s="969" t="s">
        <v>1177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267.90912000000003</v>
      </c>
      <c r="K133" s="671"/>
    </row>
    <row r="134" spans="1:11" ht="17.25" customHeight="1">
      <c r="A134" s="603"/>
      <c r="B134" s="690" t="s">
        <v>465</v>
      </c>
      <c r="C134" s="949" t="s">
        <v>1178</v>
      </c>
      <c r="D134" s="884"/>
      <c r="E134" s="884"/>
      <c r="F134" s="884"/>
      <c r="G134" s="884"/>
      <c r="H134" s="884"/>
      <c r="I134" s="885"/>
      <c r="J134" s="679">
        <f>ROUND((1/30)/12*(J129),2)</f>
        <v>9.5</v>
      </c>
      <c r="K134" s="671"/>
    </row>
    <row r="135" spans="1:11" ht="28.5" customHeight="1">
      <c r="A135" s="603"/>
      <c r="B135" s="690" t="s">
        <v>467</v>
      </c>
      <c r="C135" s="949" t="s">
        <v>1179</v>
      </c>
      <c r="D135" s="884"/>
      <c r="E135" s="884"/>
      <c r="F135" s="884"/>
      <c r="G135" s="884"/>
      <c r="H135" s="884"/>
      <c r="I135" s="885"/>
      <c r="J135" s="679">
        <f>ROUND((5/30)/12*0.015*(J129),2)</f>
        <v>0.71</v>
      </c>
      <c r="K135" s="671"/>
    </row>
    <row r="136" spans="1:11" ht="27.75" customHeight="1">
      <c r="A136" s="603"/>
      <c r="B136" s="690" t="s">
        <v>469</v>
      </c>
      <c r="C136" s="949" t="s">
        <v>1180</v>
      </c>
      <c r="D136" s="884"/>
      <c r="E136" s="884"/>
      <c r="F136" s="884"/>
      <c r="G136" s="884"/>
      <c r="H136" s="884"/>
      <c r="I136" s="885"/>
      <c r="J136" s="679">
        <f>ROUND(((15/30)/12)*0.0078*(J129),2)</f>
        <v>1.1100000000000001</v>
      </c>
      <c r="K136" s="671"/>
    </row>
    <row r="137" spans="1:11" ht="30.75" customHeight="1">
      <c r="A137" s="603"/>
      <c r="B137" s="727" t="s">
        <v>511</v>
      </c>
      <c r="C137" s="1019" t="s">
        <v>1181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3.0726</v>
      </c>
      <c r="K137" s="729"/>
    </row>
    <row r="138" spans="1:11" ht="39" customHeight="1">
      <c r="A138" s="603"/>
      <c r="B138" s="690" t="s">
        <v>513</v>
      </c>
      <c r="C138" s="949" t="s">
        <v>1182</v>
      </c>
      <c r="D138" s="884"/>
      <c r="E138" s="884"/>
      <c r="F138" s="884"/>
      <c r="G138" s="884"/>
      <c r="H138" s="884"/>
      <c r="I138" s="885"/>
      <c r="J138" s="679">
        <f>ROUND(((3/30)/12)*(J129),2)</f>
        <v>28.5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310.80172000000005</v>
      </c>
      <c r="K139" s="671"/>
    </row>
    <row r="140" spans="1:11" ht="9.7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12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310.80172000000005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310.80172000000005</v>
      </c>
      <c r="K150" s="735"/>
    </row>
    <row r="151" spans="1:11" ht="10.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8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#REF!+#REF!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15.7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27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9.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18.7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7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7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'1-ABA-DE-CARREGAMENTO'!L85</f>
        <v>0.06</v>
      </c>
      <c r="J164" s="679" t="e">
        <f>ROUND(I164*J163,2)</f>
        <v>#REF!</v>
      </c>
      <c r="K164" s="671"/>
    </row>
    <row r="165" spans="1:11" ht="51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'1-ABA-DE-CARREGAMENTO'!L86</f>
        <v>0.06</v>
      </c>
      <c r="J166" s="679" t="e">
        <f>ROUND(I166*J165,2)</f>
        <v>#REF!</v>
      </c>
      <c r="K166" s="671"/>
    </row>
    <row r="167" spans="1:11" ht="57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2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4" customHeight="1">
      <c r="A170" s="603"/>
      <c r="B170" s="690"/>
      <c r="C170" s="1018" t="s">
        <v>1183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24" customHeight="1">
      <c r="A171" s="603"/>
      <c r="B171" s="690"/>
      <c r="C171" s="1018" t="s">
        <v>1184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8.5" customHeight="1">
      <c r="A172" s="603"/>
      <c r="B172" s="690"/>
      <c r="C172" s="949" t="s">
        <v>1185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8.5" customHeight="1">
      <c r="A173" s="603"/>
      <c r="B173" s="690"/>
      <c r="C173" s="949" t="s">
        <v>1186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1187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5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7.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22.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10.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1188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2157.9949999999999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1133.2299999999998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132.38999999999999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310.80172000000005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5.2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10.5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42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9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9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9" customHeight="1" collapsed="1">
      <c r="A203" s="603"/>
      <c r="B203" s="1046" t="str">
        <f>B3</f>
        <v>A NÃO TEM MAIS POSTOS-77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39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9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39" hidden="1" customHeight="1" outlineLevel="1">
      <c r="A206" s="603"/>
      <c r="B206" s="1048" t="s">
        <v>1189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9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9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9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9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1190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9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5" priority="1" operator="equal">
      <formula>0</formula>
    </cfRule>
  </conditionalFormatting>
  <conditionalFormatting sqref="I48">
    <cfRule type="cellIs" dxfId="74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14062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'1-ABA-DE-CARREGAMENTO'!M33</f>
        <v>A NÃO TEM MAIS POSTOS-88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VLOOKUP('1-ABA-DE-CARREGAMENTO'!M35,'DADOS-CADASTRAIS'!C6:O102,1,0)</f>
        <v>RS005021/2021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'1-ABA-DE-CARREGAMENTO'!M94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40.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POSTOS-88</v>
      </c>
      <c r="C17" s="884"/>
      <c r="D17" s="884"/>
      <c r="E17" s="884"/>
      <c r="F17" s="885"/>
      <c r="G17" s="987" t="s">
        <v>475</v>
      </c>
      <c r="H17" s="885"/>
      <c r="I17" s="988">
        <f>'1-ABA-DE-CARREGAMENTO'!M92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1191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1192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31.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'1-ABA-DE-CARREGAMENTO'!M33</f>
        <v>A NÃO TEM MAIS POSTOS-88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0" customHeight="1">
      <c r="A29" s="603"/>
      <c r="B29" s="611">
        <v>3</v>
      </c>
      <c r="C29" s="1010" t="s">
        <v>665</v>
      </c>
      <c r="D29" s="866"/>
      <c r="E29" s="789">
        <v>220</v>
      </c>
      <c r="F29" s="625">
        <f>'1-ABA-DE-CARREGAMENTO'!M37</f>
        <v>0</v>
      </c>
      <c r="G29" s="608" t="s">
        <v>488</v>
      </c>
      <c r="H29" s="626">
        <f>'1-ABA-DE-CARREGAMENTO'!M52</f>
        <v>220</v>
      </c>
      <c r="I29" s="1011">
        <f>F29/E29*H29</f>
        <v>0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'1-ABA-DE-CARREGAMENTO'!M36</f>
        <v>01 de JANEIRO</v>
      </c>
      <c r="J31" s="885"/>
      <c r="K31" s="629"/>
    </row>
    <row r="32" spans="1:11" ht="12.75" customHeight="1">
      <c r="A32" s="603"/>
      <c r="B32" s="630">
        <v>6</v>
      </c>
      <c r="C32" s="953" t="s">
        <v>1193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24.75" customHeight="1">
      <c r="A33" s="603"/>
      <c r="B33" s="630">
        <v>7</v>
      </c>
      <c r="C33" s="953" t="s">
        <v>1194</v>
      </c>
      <c r="D33" s="884"/>
      <c r="E33" s="884"/>
      <c r="F33" s="885"/>
      <c r="G33" s="978"/>
      <c r="H33" s="885"/>
      <c r="I33" s="961">
        <f>SUM(J47:J50)/220</f>
        <v>0</v>
      </c>
      <c r="J33" s="885"/>
      <c r="K33" s="631"/>
    </row>
    <row r="34" spans="1:11" ht="24.75" customHeight="1">
      <c r="A34" s="603"/>
      <c r="B34" s="630">
        <v>8</v>
      </c>
      <c r="C34" s="953" t="s">
        <v>1195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4.75" customHeight="1">
      <c r="A35" s="603"/>
      <c r="B35" s="630">
        <v>9</v>
      </c>
      <c r="C35" s="953" t="s">
        <v>1196</v>
      </c>
      <c r="D35" s="884"/>
      <c r="E35" s="884"/>
      <c r="F35" s="885"/>
      <c r="G35" s="978" t="s">
        <v>495</v>
      </c>
      <c r="H35" s="885"/>
      <c r="I35" s="1073">
        <f>I33*1.5</f>
        <v>0</v>
      </c>
      <c r="J35" s="885"/>
      <c r="K35" s="632"/>
    </row>
    <row r="36" spans="1:11" ht="24.75" customHeight="1">
      <c r="A36" s="603"/>
      <c r="B36" s="630">
        <v>10</v>
      </c>
      <c r="C36" s="953" t="s">
        <v>1197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24.75" customHeight="1">
      <c r="A37" s="603"/>
      <c r="B37" s="630">
        <v>11</v>
      </c>
      <c r="C37" s="953" t="s">
        <v>1198</v>
      </c>
      <c r="D37" s="884"/>
      <c r="E37" s="884"/>
      <c r="F37" s="884"/>
      <c r="G37" s="884"/>
      <c r="H37" s="885"/>
      <c r="I37" s="961">
        <f>I33*2</f>
        <v>0</v>
      </c>
      <c r="J37" s="885"/>
      <c r="K37" s="631"/>
    </row>
    <row r="38" spans="1:11" ht="14.25" customHeight="1">
      <c r="A38" s="603"/>
      <c r="B38" s="630">
        <v>12</v>
      </c>
      <c r="C38" s="953" t="s">
        <v>1199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'1-ABA-DE-CARREGAMENTO'!M93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5.5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'1-ABA-DE-CARREGAMENTO'!M52</f>
        <v>220</v>
      </c>
      <c r="I47" s="641"/>
      <c r="J47" s="644">
        <f>I29*I40</f>
        <v>0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'1-ABA-DE-CARREGAMENTO'!M38</f>
        <v>SEM ADICIONAL DE FUNÇÃO</v>
      </c>
      <c r="G48" s="884"/>
      <c r="H48" s="885"/>
      <c r="I48" s="786">
        <f>'1-ABA-DE-CARREGAMENTO'!M39</f>
        <v>0</v>
      </c>
      <c r="J48" s="644">
        <f>J47*I48</f>
        <v>0</v>
      </c>
      <c r="K48" s="645"/>
    </row>
    <row r="49" spans="1:11" ht="11.25" customHeight="1">
      <c r="A49" s="603"/>
      <c r="B49" s="611" t="s">
        <v>467</v>
      </c>
      <c r="C49" s="949" t="s">
        <v>1200</v>
      </c>
      <c r="D49" s="884"/>
      <c r="E49" s="884"/>
      <c r="F49" s="884"/>
      <c r="G49" s="884"/>
      <c r="H49" s="885"/>
      <c r="I49" s="754">
        <f>'1-ABA-DE-CARREGAMENTO'!M44</f>
        <v>0</v>
      </c>
      <c r="J49" s="644">
        <f>ROUND(J47*I49,2)</f>
        <v>0</v>
      </c>
      <c r="K49" s="645"/>
    </row>
    <row r="50" spans="1:11" ht="11.25" customHeight="1">
      <c r="A50" s="603"/>
      <c r="B50" s="611" t="s">
        <v>469</v>
      </c>
      <c r="C50" s="949" t="s">
        <v>1201</v>
      </c>
      <c r="D50" s="884"/>
      <c r="E50" s="884"/>
      <c r="F50" s="884"/>
      <c r="G50" s="981" t="str">
        <f>'1-ABA-DE-CARREGAMENTO'!M40</f>
        <v>SEM ADICIONAL DE RISCO</v>
      </c>
      <c r="H50" s="885"/>
      <c r="I50" s="787">
        <f>'1-ABA-DE-CARREGAMENTO'!M41</f>
        <v>0</v>
      </c>
      <c r="J50" s="644">
        <f>ROUND(I50*I41,2)</f>
        <v>0</v>
      </c>
      <c r="K50" s="645"/>
    </row>
    <row r="51" spans="1:11" ht="39" customHeight="1">
      <c r="A51" s="603"/>
      <c r="B51" s="611" t="s">
        <v>511</v>
      </c>
      <c r="C51" s="949" t="s">
        <v>1202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39" customHeight="1">
      <c r="A52" s="603"/>
      <c r="B52" s="611" t="s">
        <v>513</v>
      </c>
      <c r="C52" s="969" t="s">
        <v>1203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9" customHeight="1">
      <c r="A53" s="603"/>
      <c r="B53" s="611" t="s">
        <v>515</v>
      </c>
      <c r="C53" s="969" t="s">
        <v>1204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6.25" customHeight="1">
      <c r="A54" s="603"/>
      <c r="B54" s="611" t="s">
        <v>517</v>
      </c>
      <c r="C54" s="969" t="s">
        <v>518</v>
      </c>
      <c r="D54" s="884"/>
      <c r="E54" s="884"/>
      <c r="F54" s="982" t="s">
        <v>1205</v>
      </c>
      <c r="G54" s="884"/>
      <c r="H54" s="884"/>
      <c r="I54" s="650">
        <f>'1-ABA-DE-CARREGAMENTO'!M65</f>
        <v>0</v>
      </c>
      <c r="J54" s="644">
        <f>ROUND((((SUM(J47:J50))/220)*1.5)*I54,2)</f>
        <v>0</v>
      </c>
      <c r="K54" s="645"/>
    </row>
    <row r="55" spans="1:11" ht="26.25" customHeight="1">
      <c r="A55" s="603"/>
      <c r="B55" s="611" t="s">
        <v>520</v>
      </c>
      <c r="C55" s="969" t="s">
        <v>521</v>
      </c>
      <c r="D55" s="884"/>
      <c r="E55" s="884"/>
      <c r="F55" s="982" t="s">
        <v>1206</v>
      </c>
      <c r="G55" s="884"/>
      <c r="H55" s="884"/>
      <c r="I55" s="650">
        <f>'1-ABA-DE-CARREGAMENTO'!M68</f>
        <v>0</v>
      </c>
      <c r="J55" s="644">
        <f>ROUND((((SUM(J47:J50))/220)*2)*I55,2)</f>
        <v>0</v>
      </c>
      <c r="K55" s="645"/>
    </row>
    <row r="56" spans="1:11" ht="39" customHeight="1">
      <c r="A56" s="603"/>
      <c r="B56" s="611" t="s">
        <v>523</v>
      </c>
      <c r="C56" s="949" t="s">
        <v>1207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0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1208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1209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1210</v>
      </c>
      <c r="C63" s="884"/>
      <c r="D63" s="884"/>
      <c r="E63" s="884"/>
      <c r="F63" s="884"/>
      <c r="G63" s="884"/>
      <c r="H63" s="884"/>
      <c r="I63" s="885"/>
      <c r="J63" s="657">
        <f>J58+J61</f>
        <v>0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1211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1212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1213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0</v>
      </c>
      <c r="K70" s="668"/>
    </row>
    <row r="71" spans="1:11" ht="14.25" customHeight="1">
      <c r="A71" s="603"/>
      <c r="B71" s="663" t="s">
        <v>465</v>
      </c>
      <c r="C71" s="970" t="s">
        <v>1214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0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0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1215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1216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0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0</v>
      </c>
      <c r="K79" s="671"/>
    </row>
    <row r="80" spans="1:11" ht="11.25" customHeight="1">
      <c r="A80" s="603"/>
      <c r="B80" s="677" t="s">
        <v>467</v>
      </c>
      <c r="C80" s="949" t="s">
        <v>1217</v>
      </c>
      <c r="D80" s="885"/>
      <c r="E80" s="794" t="s">
        <v>548</v>
      </c>
      <c r="F80" s="795">
        <f>'1-ABA-DE-CARREGAMENTO'!M57</f>
        <v>0.03</v>
      </c>
      <c r="G80" s="794" t="s">
        <v>549</v>
      </c>
      <c r="H80" s="796">
        <f>'1-ABA-DE-CARREGAMENTO'!M58</f>
        <v>1</v>
      </c>
      <c r="I80" s="682">
        <f>ROUND((F80*H80),6)</f>
        <v>0.03</v>
      </c>
      <c r="J80" s="679">
        <f>ROUND((J58+J72)*I80,2)</f>
        <v>0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0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0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0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0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0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0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9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1218</v>
      </c>
      <c r="D92" s="884"/>
      <c r="E92" s="884"/>
      <c r="F92" s="884"/>
      <c r="G92" s="884"/>
      <c r="H92" s="885"/>
      <c r="I92" s="691">
        <f>J47</f>
        <v>0</v>
      </c>
      <c r="J92" s="692">
        <f>IF(ROUND((I93*I95*I94)-(J47*I96),2)&lt;0,0,ROUND((I93*I95*I94)-(J47*I96),2))</f>
        <v>0</v>
      </c>
      <c r="K92" s="671"/>
    </row>
    <row r="93" spans="1:11" ht="28.5" customHeight="1">
      <c r="A93" s="603"/>
      <c r="B93" s="690" t="s">
        <v>465</v>
      </c>
      <c r="C93" s="949" t="s">
        <v>1219</v>
      </c>
      <c r="D93" s="884"/>
      <c r="E93" s="884"/>
      <c r="F93" s="884"/>
      <c r="G93" s="884"/>
      <c r="H93" s="884"/>
      <c r="I93" s="693">
        <f>'1-ABA-DE-CARREGAMENTO'!M72</f>
        <v>6.6</v>
      </c>
      <c r="J93" s="694" t="s">
        <v>476</v>
      </c>
      <c r="K93" s="652"/>
    </row>
    <row r="94" spans="1:11" ht="17.25" customHeight="1">
      <c r="A94" s="603"/>
      <c r="B94" s="690" t="s">
        <v>467</v>
      </c>
      <c r="C94" s="949" t="s">
        <v>1220</v>
      </c>
      <c r="D94" s="884"/>
      <c r="E94" s="884"/>
      <c r="F94" s="884"/>
      <c r="G94" s="884"/>
      <c r="H94" s="885"/>
      <c r="I94" s="695">
        <f>'1-ABA-DE-CARREGAMENTO'!M73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'1-ABA-DE-CARREGAMENTO'!M74</f>
        <v>0</v>
      </c>
      <c r="J95" s="694" t="s">
        <v>476</v>
      </c>
      <c r="K95" s="652"/>
    </row>
    <row r="96" spans="1:11" ht="27" customHeight="1">
      <c r="A96" s="603"/>
      <c r="B96" s="690" t="s">
        <v>511</v>
      </c>
      <c r="C96" s="953" t="s">
        <v>1221</v>
      </c>
      <c r="D96" s="884"/>
      <c r="E96" s="884"/>
      <c r="F96" s="884"/>
      <c r="G96" s="884"/>
      <c r="H96" s="885"/>
      <c r="I96" s="696">
        <f>'1-ABA-DE-CARREGAMENTO'!M75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1222</v>
      </c>
      <c r="D97" s="884"/>
      <c r="E97" s="884"/>
      <c r="F97" s="884"/>
      <c r="G97" s="884"/>
      <c r="H97" s="884"/>
      <c r="I97" s="884"/>
      <c r="J97" s="692">
        <f>ROUND(I98*I99,2)-ROUND((I98*I99)*I100,2)</f>
        <v>0</v>
      </c>
      <c r="K97" s="671"/>
    </row>
    <row r="98" spans="1:11" ht="15" customHeight="1">
      <c r="A98" s="603"/>
      <c r="B98" s="690" t="s">
        <v>515</v>
      </c>
      <c r="C98" s="949" t="s">
        <v>1223</v>
      </c>
      <c r="D98" s="884"/>
      <c r="E98" s="884"/>
      <c r="F98" s="884"/>
      <c r="G98" s="884"/>
      <c r="H98" s="884"/>
      <c r="I98" s="693">
        <f>IF('1-ABA-DE-CARREGAMENTO'!M60&gt;0,'1-ABA-DE-CARREGAMENTO'!M60,'1-ABA-DE-CARREGAMENTO'!M63)</f>
        <v>0</v>
      </c>
      <c r="J98" s="699"/>
      <c r="K98" s="652"/>
    </row>
    <row r="99" spans="1:11" ht="15" customHeight="1">
      <c r="A99" s="603"/>
      <c r="B99" s="690" t="s">
        <v>517</v>
      </c>
      <c r="C99" s="949" t="s">
        <v>1224</v>
      </c>
      <c r="D99" s="884"/>
      <c r="E99" s="884"/>
      <c r="F99" s="884"/>
      <c r="G99" s="884"/>
      <c r="H99" s="884"/>
      <c r="I99" s="695">
        <f>'1-ABA-DE-CARREGAMENTO'!M62</f>
        <v>25</v>
      </c>
      <c r="J99" s="699"/>
      <c r="K99" s="652"/>
    </row>
    <row r="100" spans="1:11" ht="24" customHeight="1">
      <c r="A100" s="603"/>
      <c r="B100" s="690" t="s">
        <v>520</v>
      </c>
      <c r="C100" s="958" t="s">
        <v>1225</v>
      </c>
      <c r="D100" s="884"/>
      <c r="E100" s="884"/>
      <c r="F100" s="884"/>
      <c r="G100" s="884"/>
      <c r="H100" s="885"/>
      <c r="I100" s="696">
        <f>'1-ABA-DE-CARREGAMENTO'!M61</f>
        <v>0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6.75" customHeight="1">
      <c r="A102" s="603"/>
      <c r="B102" s="690" t="s">
        <v>525</v>
      </c>
      <c r="C102" s="949" t="s">
        <v>1226</v>
      </c>
      <c r="D102" s="884"/>
      <c r="E102" s="884"/>
      <c r="F102" s="884"/>
      <c r="G102" s="884"/>
      <c r="H102" s="884"/>
      <c r="I102" s="884"/>
      <c r="J102" s="679">
        <f>'1-ABA-DE-CARREGAMENTO'!M77</f>
        <v>0.06</v>
      </c>
      <c r="K102" s="671"/>
    </row>
    <row r="103" spans="1:11" ht="36.75" customHeight="1">
      <c r="A103" s="603"/>
      <c r="B103" s="690" t="s">
        <v>570</v>
      </c>
      <c r="C103" s="949" t="s">
        <v>1227</v>
      </c>
      <c r="D103" s="884"/>
      <c r="E103" s="884"/>
      <c r="F103" s="884"/>
      <c r="G103" s="884"/>
      <c r="H103" s="884"/>
      <c r="I103" s="885"/>
      <c r="J103" s="679">
        <f>'1-ABA-DE-CARREGAMENTO'!M78</f>
        <v>0.06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'1-ABA-DE-CARREGAMENTO'!M76</f>
        <v>0.06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33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0.18</v>
      </c>
      <c r="K106" s="671"/>
    </row>
    <row r="107" spans="1:11" ht="17.2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4.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19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1228</v>
      </c>
      <c r="D112" s="884"/>
      <c r="E112" s="884"/>
      <c r="F112" s="884"/>
      <c r="G112" s="884"/>
      <c r="H112" s="884"/>
      <c r="I112" s="885"/>
      <c r="J112" s="707">
        <f>J72</f>
        <v>0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0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0.18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0.18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2.75" customHeight="1">
      <c r="A119" s="603"/>
      <c r="B119" s="690" t="s">
        <v>463</v>
      </c>
      <c r="C119" s="949" t="s">
        <v>1229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0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</v>
      </c>
      <c r="K120" s="671"/>
    </row>
    <row r="121" spans="1:11" ht="30" customHeight="1">
      <c r="A121" s="603"/>
      <c r="B121" s="690" t="s">
        <v>467</v>
      </c>
      <c r="C121" s="949" t="s">
        <v>1230</v>
      </c>
      <c r="D121" s="884"/>
      <c r="E121" s="884"/>
      <c r="F121" s="884"/>
      <c r="G121" s="884"/>
      <c r="H121" s="884"/>
      <c r="I121" s="885"/>
      <c r="J121" s="679">
        <f>ROUND(((7/30)/$I$11)*$J$58*1,2)</f>
        <v>0</v>
      </c>
      <c r="K121" s="671"/>
    </row>
    <row r="122" spans="1:11" ht="24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0</v>
      </c>
      <c r="K122" s="671"/>
    </row>
    <row r="123" spans="1:11" ht="36" customHeight="1">
      <c r="A123" s="603"/>
      <c r="B123" s="690" t="s">
        <v>511</v>
      </c>
      <c r="C123" s="949" t="s">
        <v>1231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0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0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27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54" customHeight="1">
      <c r="A128" s="603"/>
      <c r="B128" s="974" t="s">
        <v>1232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33.75" customHeight="1">
      <c r="A129" s="603"/>
      <c r="B129" s="716" t="s">
        <v>590</v>
      </c>
      <c r="C129" s="717">
        <f>J58</f>
        <v>0</v>
      </c>
      <c r="D129" s="718" t="s">
        <v>591</v>
      </c>
      <c r="E129" s="716" t="s">
        <v>1233</v>
      </c>
      <c r="F129" s="717">
        <f>J115-J92-J97</f>
        <v>0.18</v>
      </c>
      <c r="G129" s="718" t="s">
        <v>591</v>
      </c>
      <c r="H129" s="716" t="s">
        <v>593</v>
      </c>
      <c r="I129" s="717">
        <f>J124</f>
        <v>0</v>
      </c>
      <c r="J129" s="719">
        <f>C129+F129+I129</f>
        <v>0.18</v>
      </c>
      <c r="K129" s="720"/>
    </row>
    <row r="130" spans="1:11" ht="13.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46.5" customHeight="1">
      <c r="A133" s="603"/>
      <c r="B133" s="690" t="s">
        <v>463</v>
      </c>
      <c r="C133" s="969" t="s">
        <v>1234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0</v>
      </c>
      <c r="K133" s="671"/>
    </row>
    <row r="134" spans="1:11" ht="17.25" customHeight="1">
      <c r="A134" s="603"/>
      <c r="B134" s="690" t="s">
        <v>465</v>
      </c>
      <c r="C134" s="949" t="s">
        <v>1235</v>
      </c>
      <c r="D134" s="884"/>
      <c r="E134" s="884"/>
      <c r="F134" s="884"/>
      <c r="G134" s="884"/>
      <c r="H134" s="884"/>
      <c r="I134" s="885"/>
      <c r="J134" s="679">
        <f>ROUND((1/30)/12*(J129),2)</f>
        <v>0</v>
      </c>
      <c r="K134" s="671"/>
    </row>
    <row r="135" spans="1:11" ht="31.5" customHeight="1">
      <c r="A135" s="603"/>
      <c r="B135" s="690" t="s">
        <v>467</v>
      </c>
      <c r="C135" s="949" t="s">
        <v>1236</v>
      </c>
      <c r="D135" s="884"/>
      <c r="E135" s="884"/>
      <c r="F135" s="884"/>
      <c r="G135" s="884"/>
      <c r="H135" s="884"/>
      <c r="I135" s="885"/>
      <c r="J135" s="679">
        <f>ROUND((5/30)/12*0.015*(J129),2)</f>
        <v>0</v>
      </c>
      <c r="K135" s="671"/>
    </row>
    <row r="136" spans="1:11" ht="24.75" customHeight="1">
      <c r="A136" s="603"/>
      <c r="B136" s="690" t="s">
        <v>469</v>
      </c>
      <c r="C136" s="949" t="s">
        <v>1237</v>
      </c>
      <c r="D136" s="884"/>
      <c r="E136" s="884"/>
      <c r="F136" s="884"/>
      <c r="G136" s="884"/>
      <c r="H136" s="884"/>
      <c r="I136" s="885"/>
      <c r="J136" s="679">
        <f>ROUND(((15/30)/12)*0.0078*(J129),2)</f>
        <v>0</v>
      </c>
      <c r="K136" s="671"/>
    </row>
    <row r="137" spans="1:11" ht="31.5" customHeight="1">
      <c r="A137" s="603"/>
      <c r="B137" s="727" t="s">
        <v>511</v>
      </c>
      <c r="C137" s="1019" t="s">
        <v>1238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1.1999999999999999E-3</v>
      </c>
      <c r="K137" s="729"/>
    </row>
    <row r="138" spans="1:11" ht="36" customHeight="1">
      <c r="A138" s="603"/>
      <c r="B138" s="690" t="s">
        <v>513</v>
      </c>
      <c r="C138" s="949" t="s">
        <v>1239</v>
      </c>
      <c r="D138" s="884"/>
      <c r="E138" s="884"/>
      <c r="F138" s="884"/>
      <c r="G138" s="884"/>
      <c r="H138" s="884"/>
      <c r="I138" s="885"/>
      <c r="J138" s="679">
        <f>ROUND(((3/30)/12)*(J129),2)</f>
        <v>0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1.1999999999999999E-3</v>
      </c>
      <c r="K139" s="671"/>
    </row>
    <row r="140" spans="1:11" ht="9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7.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17.2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1.1999999999999999E-3</v>
      </c>
      <c r="K148" s="735"/>
    </row>
    <row r="149" spans="1:11" ht="17.25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1.1999999999999999E-3</v>
      </c>
      <c r="K150" s="735"/>
    </row>
    <row r="151" spans="1:11" ht="9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9.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9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18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7.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24.7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7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2.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'1-ABA-DE-CARREGAMENTO'!M85</f>
        <v>0.06</v>
      </c>
      <c r="J164" s="679" t="e">
        <f>ROUND(I164*J163,2)</f>
        <v>#REF!</v>
      </c>
      <c r="K164" s="671"/>
    </row>
    <row r="165" spans="1:11" ht="56.2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'1-ABA-DE-CARREGAMENTO'!M86</f>
        <v>0.06</v>
      </c>
      <c r="J166" s="679" t="e">
        <f>ROUND(I166*J165,2)</f>
        <v>#REF!</v>
      </c>
      <c r="K166" s="671"/>
    </row>
    <row r="167" spans="1:11" ht="52.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4.25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4" customHeight="1">
      <c r="A170" s="603"/>
      <c r="B170" s="690"/>
      <c r="C170" s="1018" t="s">
        <v>1240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24" customHeight="1">
      <c r="A171" s="603"/>
      <c r="B171" s="690"/>
      <c r="C171" s="1018" t="s">
        <v>1241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4" customHeight="1">
      <c r="A172" s="603"/>
      <c r="B172" s="690"/>
      <c r="C172" s="949" t="s">
        <v>1242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4" customHeight="1">
      <c r="A173" s="603"/>
      <c r="B173" s="690"/>
      <c r="C173" s="949" t="s">
        <v>1243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1244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15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15.7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15.7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15.7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1245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0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0.18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0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1.1999999999999999E-3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33.7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15.75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4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45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4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45" customHeight="1" collapsed="1">
      <c r="A203" s="603"/>
      <c r="B203" s="1046" t="str">
        <f>B3</f>
        <v>A NÃO TEM MAIS POSTOS-88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4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45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15.75" hidden="1" customHeight="1" outlineLevel="1">
      <c r="A206" s="603"/>
      <c r="B206" s="1048" t="s">
        <v>1246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6.7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6.75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6.7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6.7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1247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6.75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3" priority="1" operator="equal">
      <formula>0</formula>
    </cfRule>
  </conditionalFormatting>
  <conditionalFormatting sqref="I48">
    <cfRule type="cellIs" dxfId="72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"/>
  <sheetViews>
    <sheetView workbookViewId="0"/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4.7109375" customWidth="1"/>
    <col min="8" max="8" width="14.42578125" customWidth="1"/>
    <col min="9" max="9" width="11.28515625" customWidth="1"/>
    <col min="10" max="10" width="14.570312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1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'1-ABA-DE-CARREGAMENTO'!N33</f>
        <v>A NÃO TEM MAIS POSTOS-99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1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VLOOKUP('1-ABA-DE-CARREGAMENTO'!N35,'DADOS-CADASTRAIS'!C6:O102,1,0)</f>
        <v>RS005021/2021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'1-ABA-DE-CARREGAMENTO'!N94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36.7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A NÃO TEM MAIS POSTOS-99</v>
      </c>
      <c r="C17" s="884"/>
      <c r="D17" s="884"/>
      <c r="E17" s="884"/>
      <c r="F17" s="885"/>
      <c r="G17" s="987" t="s">
        <v>475</v>
      </c>
      <c r="H17" s="885"/>
      <c r="I17" s="988">
        <f>'1-ABA-DE-CARREGAMENTO'!N92</f>
        <v>0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1248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0</v>
      </c>
      <c r="J20" s="885"/>
      <c r="K20" s="616"/>
    </row>
    <row r="21" spans="1:11" ht="11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1.2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5" customHeight="1">
      <c r="A24" s="603"/>
      <c r="B24" s="1005" t="s">
        <v>1249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30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'1-ABA-DE-CARREGAMENTO'!N33</f>
        <v>A NÃO TEM MAIS POSTOS-99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3" customHeight="1">
      <c r="A29" s="603"/>
      <c r="B29" s="611">
        <v>3</v>
      </c>
      <c r="C29" s="1010" t="s">
        <v>665</v>
      </c>
      <c r="D29" s="866"/>
      <c r="E29" s="789">
        <v>220</v>
      </c>
      <c r="F29" s="625">
        <f>'1-ABA-DE-CARREGAMENTO'!N37</f>
        <v>0</v>
      </c>
      <c r="G29" s="608" t="s">
        <v>488</v>
      </c>
      <c r="H29" s="626">
        <f>'1-ABA-DE-CARREGAMENTO'!N52</f>
        <v>220</v>
      </c>
      <c r="I29" s="1011">
        <f>F29/E29*H29</f>
        <v>0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'1-ABA-DE-CARREGAMENTO'!N36</f>
        <v>01 de JANEIRO</v>
      </c>
      <c r="J31" s="885"/>
      <c r="K31" s="629"/>
    </row>
    <row r="32" spans="1:11" ht="12.75" customHeight="1">
      <c r="A32" s="603"/>
      <c r="B32" s="630">
        <v>6</v>
      </c>
      <c r="C32" s="953" t="s">
        <v>1250</v>
      </c>
      <c r="D32" s="884"/>
      <c r="E32" s="884"/>
      <c r="F32" s="884"/>
      <c r="G32" s="884"/>
      <c r="H32" s="885"/>
      <c r="I32" s="961">
        <f>ROUND(I29/220,2)*0</f>
        <v>0</v>
      </c>
      <c r="J32" s="885"/>
      <c r="K32" s="631"/>
    </row>
    <row r="33" spans="1:11" ht="40.5" customHeight="1">
      <c r="A33" s="603"/>
      <c r="B33" s="630">
        <v>7</v>
      </c>
      <c r="C33" s="953" t="s">
        <v>1251</v>
      </c>
      <c r="D33" s="884"/>
      <c r="E33" s="884"/>
      <c r="F33" s="885"/>
      <c r="G33" s="978"/>
      <c r="H33" s="885"/>
      <c r="I33" s="961">
        <f>SUM(J47:J50)/220</f>
        <v>0</v>
      </c>
      <c r="J33" s="885"/>
      <c r="K33" s="631"/>
    </row>
    <row r="34" spans="1:11" ht="27" customHeight="1">
      <c r="A34" s="603"/>
      <c r="B34" s="630">
        <v>8</v>
      </c>
      <c r="C34" s="953" t="s">
        <v>1252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7" customHeight="1">
      <c r="A35" s="603"/>
      <c r="B35" s="630">
        <v>9</v>
      </c>
      <c r="C35" s="953" t="s">
        <v>1253</v>
      </c>
      <c r="D35" s="884"/>
      <c r="E35" s="884"/>
      <c r="F35" s="885"/>
      <c r="G35" s="978" t="s">
        <v>495</v>
      </c>
      <c r="H35" s="885"/>
      <c r="I35" s="1073">
        <f>I33*1.5</f>
        <v>0</v>
      </c>
      <c r="J35" s="885"/>
      <c r="K35" s="632"/>
    </row>
    <row r="36" spans="1:11" ht="27" customHeight="1">
      <c r="A36" s="603"/>
      <c r="B36" s="630">
        <v>10</v>
      </c>
      <c r="C36" s="953" t="s">
        <v>1254</v>
      </c>
      <c r="D36" s="884"/>
      <c r="E36" s="884"/>
      <c r="F36" s="884"/>
      <c r="G36" s="884"/>
      <c r="H36" s="885"/>
      <c r="I36" s="961">
        <f>TRUNC(1.3*I32*0.2,2)</f>
        <v>0</v>
      </c>
      <c r="J36" s="885"/>
      <c r="K36" s="631"/>
    </row>
    <row r="37" spans="1:11" ht="27" customHeight="1">
      <c r="A37" s="603"/>
      <c r="B37" s="630">
        <v>11</v>
      </c>
      <c r="C37" s="953" t="s">
        <v>1255</v>
      </c>
      <c r="D37" s="884"/>
      <c r="E37" s="884"/>
      <c r="F37" s="884"/>
      <c r="G37" s="884"/>
      <c r="H37" s="885"/>
      <c r="I37" s="961">
        <f>I33*2</f>
        <v>0</v>
      </c>
      <c r="J37" s="885"/>
      <c r="K37" s="631"/>
    </row>
    <row r="38" spans="1:11" ht="14.25" customHeight="1">
      <c r="A38" s="603"/>
      <c r="B38" s="630">
        <v>12</v>
      </c>
      <c r="C38" s="953" t="s">
        <v>1256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4.25" customHeight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</f>
        <v>0</v>
      </c>
      <c r="J39" s="885"/>
      <c r="K39" s="631"/>
    </row>
    <row r="40" spans="1:11" ht="11.25" customHeight="1">
      <c r="A40" s="603"/>
      <c r="B40" s="630">
        <v>14</v>
      </c>
      <c r="C40" s="965" t="s">
        <v>500</v>
      </c>
      <c r="D40" s="884"/>
      <c r="E40" s="884"/>
      <c r="F40" s="884"/>
      <c r="G40" s="884"/>
      <c r="H40" s="885"/>
      <c r="I40" s="1074">
        <f>'1-ABA-DE-CARREGAMENTO'!N93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11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30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4.25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'1-ABA-DE-CARREGAMENTO'!N52</f>
        <v>220</v>
      </c>
      <c r="I47" s="641"/>
      <c r="J47" s="644">
        <f>I29*I40</f>
        <v>0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'1-ABA-DE-CARREGAMENTO'!N38</f>
        <v>SEM ADICIONAL DE FUNÇÃO</v>
      </c>
      <c r="G48" s="884"/>
      <c r="H48" s="885"/>
      <c r="I48" s="786">
        <f>'1-ABA-DE-CARREGAMENTO'!N39</f>
        <v>0</v>
      </c>
      <c r="J48" s="644">
        <f>J47*I48</f>
        <v>0</v>
      </c>
      <c r="K48" s="645"/>
    </row>
    <row r="49" spans="1:11" ht="11.25" customHeight="1">
      <c r="A49" s="603"/>
      <c r="B49" s="611" t="s">
        <v>467</v>
      </c>
      <c r="C49" s="949" t="s">
        <v>1257</v>
      </c>
      <c r="D49" s="884"/>
      <c r="E49" s="884"/>
      <c r="F49" s="884"/>
      <c r="G49" s="884"/>
      <c r="H49" s="885"/>
      <c r="I49" s="754">
        <f>'1-ABA-DE-CARREGAMENTO'!N44</f>
        <v>0</v>
      </c>
      <c r="J49" s="644">
        <f>ROUND(J47*I49,2)</f>
        <v>0</v>
      </c>
      <c r="K49" s="645"/>
    </row>
    <row r="50" spans="1:11" ht="11.25" customHeight="1">
      <c r="A50" s="603"/>
      <c r="B50" s="611" t="s">
        <v>469</v>
      </c>
      <c r="C50" s="949" t="s">
        <v>1258</v>
      </c>
      <c r="D50" s="884"/>
      <c r="E50" s="884"/>
      <c r="F50" s="884"/>
      <c r="G50" s="981" t="str">
        <f>'1-ABA-DE-CARREGAMENTO'!N40</f>
        <v>SEM ADICIONAL DE RISCO</v>
      </c>
      <c r="H50" s="885"/>
      <c r="I50" s="787">
        <f>'1-ABA-DE-CARREGAMENTO'!N41</f>
        <v>0</v>
      </c>
      <c r="J50" s="644">
        <f>ROUND(I50*I41,2)</f>
        <v>0</v>
      </c>
      <c r="K50" s="645"/>
    </row>
    <row r="51" spans="1:11" ht="35.25" customHeight="1">
      <c r="A51" s="603"/>
      <c r="B51" s="611" t="s">
        <v>511</v>
      </c>
      <c r="C51" s="949" t="s">
        <v>1259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42" customHeight="1">
      <c r="A52" s="603"/>
      <c r="B52" s="611" t="s">
        <v>513</v>
      </c>
      <c r="C52" s="969" t="s">
        <v>1260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5.25" customHeight="1">
      <c r="A53" s="603"/>
      <c r="B53" s="611" t="s">
        <v>515</v>
      </c>
      <c r="C53" s="969" t="s">
        <v>1261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35.25" customHeight="1">
      <c r="A54" s="603"/>
      <c r="B54" s="611" t="s">
        <v>517</v>
      </c>
      <c r="C54" s="969" t="s">
        <v>518</v>
      </c>
      <c r="D54" s="884"/>
      <c r="E54" s="884"/>
      <c r="F54" s="982" t="s">
        <v>1262</v>
      </c>
      <c r="G54" s="884"/>
      <c r="H54" s="884"/>
      <c r="I54" s="650">
        <f>'1-ABA-DE-CARREGAMENTO'!N65</f>
        <v>0</v>
      </c>
      <c r="J54" s="644">
        <f>ROUND((((SUM(J47:J50))/220)*1.5)*I54,2)</f>
        <v>0</v>
      </c>
      <c r="K54" s="645"/>
    </row>
    <row r="55" spans="1:11" ht="35.25" customHeight="1">
      <c r="A55" s="603"/>
      <c r="B55" s="611" t="s">
        <v>520</v>
      </c>
      <c r="C55" s="969" t="s">
        <v>521</v>
      </c>
      <c r="D55" s="884"/>
      <c r="E55" s="884"/>
      <c r="F55" s="982" t="s">
        <v>1263</v>
      </c>
      <c r="G55" s="884"/>
      <c r="H55" s="884"/>
      <c r="I55" s="650">
        <f>'1-ABA-DE-CARREGAMENTO'!N68</f>
        <v>0</v>
      </c>
      <c r="J55" s="644">
        <f>ROUND((((SUM(J47:J50))/220)*2)*I55,2)</f>
        <v>0</v>
      </c>
      <c r="K55" s="645"/>
    </row>
    <row r="56" spans="1:11" ht="35.25" customHeight="1">
      <c r="A56" s="603"/>
      <c r="B56" s="611" t="s">
        <v>523</v>
      </c>
      <c r="C56" s="949" t="s">
        <v>1264</v>
      </c>
      <c r="D56" s="884"/>
      <c r="E56" s="884"/>
      <c r="F56" s="884"/>
      <c r="G56" s="884"/>
      <c r="H56" s="884"/>
      <c r="I56" s="885"/>
      <c r="J56" s="644">
        <f>ROUND(((J54+J55)/25)*5,2)</f>
        <v>0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11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0</v>
      </c>
      <c r="K58" s="654"/>
    </row>
    <row r="59" spans="1:11" ht="14.2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11.25" customHeight="1">
      <c r="A60" s="603"/>
      <c r="B60" s="611" t="s">
        <v>517</v>
      </c>
      <c r="C60" s="949" t="s">
        <v>1265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11.25" customHeight="1">
      <c r="A61" s="603"/>
      <c r="B61" s="976" t="s">
        <v>1266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11.25" customHeight="1">
      <c r="A63" s="603"/>
      <c r="B63" s="954" t="s">
        <v>1267</v>
      </c>
      <c r="C63" s="884"/>
      <c r="D63" s="884"/>
      <c r="E63" s="884"/>
      <c r="F63" s="884"/>
      <c r="G63" s="884"/>
      <c r="H63" s="884"/>
      <c r="I63" s="885"/>
      <c r="J63" s="657">
        <f>J58+J61</f>
        <v>0</v>
      </c>
      <c r="K63" s="658"/>
    </row>
    <row r="64" spans="1:11" ht="11.2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1.2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11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1.25" customHeight="1">
      <c r="A68" s="603"/>
      <c r="B68" s="979" t="s">
        <v>1268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5" customHeight="1">
      <c r="A69" s="603"/>
      <c r="B69" s="663" t="s">
        <v>534</v>
      </c>
      <c r="C69" s="980" t="s">
        <v>1269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1270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0</v>
      </c>
      <c r="K70" s="668"/>
    </row>
    <row r="71" spans="1:11" ht="14.25" customHeight="1">
      <c r="A71" s="603"/>
      <c r="B71" s="663" t="s">
        <v>465</v>
      </c>
      <c r="C71" s="970" t="s">
        <v>1271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0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0</v>
      </c>
      <c r="K72" s="671"/>
    </row>
    <row r="73" spans="1:11" ht="14.2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11.25" customHeight="1">
      <c r="A74" s="603"/>
      <c r="B74" s="960" t="s">
        <v>1272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4.2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14.25" customHeight="1">
      <c r="A76" s="603"/>
      <c r="B76" s="974" t="s">
        <v>1273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0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0</v>
      </c>
      <c r="K79" s="671"/>
    </row>
    <row r="80" spans="1:11" ht="11.25" customHeight="1">
      <c r="A80" s="603"/>
      <c r="B80" s="677" t="s">
        <v>467</v>
      </c>
      <c r="C80" s="949" t="s">
        <v>1274</v>
      </c>
      <c r="D80" s="885"/>
      <c r="E80" s="794" t="s">
        <v>548</v>
      </c>
      <c r="F80" s="795">
        <f>'1-ABA-DE-CARREGAMENTO'!N57</f>
        <v>0.03</v>
      </c>
      <c r="G80" s="794" t="s">
        <v>549</v>
      </c>
      <c r="H80" s="796">
        <f>'1-ABA-DE-CARREGAMENTO'!N58</f>
        <v>1</v>
      </c>
      <c r="I80" s="682">
        <f>ROUND((F80*H80),6)</f>
        <v>0.03</v>
      </c>
      <c r="J80" s="679">
        <f>ROUND((J58+J72)*I80,2)</f>
        <v>0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0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0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0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0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0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0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6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8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1275</v>
      </c>
      <c r="D92" s="884"/>
      <c r="E92" s="884"/>
      <c r="F92" s="884"/>
      <c r="G92" s="884"/>
      <c r="H92" s="885"/>
      <c r="I92" s="691">
        <f>J47</f>
        <v>0</v>
      </c>
      <c r="J92" s="692">
        <f>IF(ROUND((I93*I95*I94)-(J47*I96),2)&lt;0,0,ROUND((I93*I95*I94)-(J47*I96),2))</f>
        <v>0</v>
      </c>
      <c r="K92" s="671"/>
    </row>
    <row r="93" spans="1:11" ht="28.5" customHeight="1">
      <c r="A93" s="603"/>
      <c r="B93" s="690" t="s">
        <v>465</v>
      </c>
      <c r="C93" s="949" t="s">
        <v>1276</v>
      </c>
      <c r="D93" s="884"/>
      <c r="E93" s="884"/>
      <c r="F93" s="884"/>
      <c r="G93" s="884"/>
      <c r="H93" s="884"/>
      <c r="I93" s="693">
        <f>'1-ABA-DE-CARREGAMENTO'!N72</f>
        <v>6.6</v>
      </c>
      <c r="J93" s="694" t="s">
        <v>476</v>
      </c>
      <c r="K93" s="652"/>
    </row>
    <row r="94" spans="1:11" ht="24" customHeight="1">
      <c r="A94" s="603"/>
      <c r="B94" s="690" t="s">
        <v>467</v>
      </c>
      <c r="C94" s="949" t="s">
        <v>1277</v>
      </c>
      <c r="D94" s="884"/>
      <c r="E94" s="884"/>
      <c r="F94" s="884"/>
      <c r="G94" s="884"/>
      <c r="H94" s="885"/>
      <c r="I94" s="695">
        <f>'1-ABA-DE-CARREGAMENTO'!N73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'1-ABA-DE-CARREGAMENTO'!N74</f>
        <v>0</v>
      </c>
      <c r="J95" s="694" t="s">
        <v>476</v>
      </c>
      <c r="K95" s="652"/>
    </row>
    <row r="96" spans="1:11" ht="24.75" customHeight="1">
      <c r="A96" s="603"/>
      <c r="B96" s="690" t="s">
        <v>511</v>
      </c>
      <c r="C96" s="953" t="s">
        <v>1278</v>
      </c>
      <c r="D96" s="884"/>
      <c r="E96" s="884"/>
      <c r="F96" s="884"/>
      <c r="G96" s="884"/>
      <c r="H96" s="885"/>
      <c r="I96" s="696">
        <f>'1-ABA-DE-CARREGAMENTO'!N75</f>
        <v>0.06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1279</v>
      </c>
      <c r="D97" s="884"/>
      <c r="E97" s="884"/>
      <c r="F97" s="884"/>
      <c r="G97" s="884"/>
      <c r="H97" s="884"/>
      <c r="I97" s="884"/>
      <c r="J97" s="692">
        <f>ROUND(I98*I99,2)-ROUND((I98*I99)*I100,2)</f>
        <v>0</v>
      </c>
      <c r="K97" s="671"/>
    </row>
    <row r="98" spans="1:11" ht="15" customHeight="1">
      <c r="A98" s="603"/>
      <c r="B98" s="690" t="s">
        <v>515</v>
      </c>
      <c r="C98" s="949" t="s">
        <v>1280</v>
      </c>
      <c r="D98" s="884"/>
      <c r="E98" s="884"/>
      <c r="F98" s="884"/>
      <c r="G98" s="884"/>
      <c r="H98" s="884"/>
      <c r="I98" s="693">
        <f>IF('1-ABA-DE-CARREGAMENTO'!N60&gt;0,'1-ABA-DE-CARREGAMENTO'!N60,'1-ABA-DE-CARREGAMENTO'!N63)</f>
        <v>0</v>
      </c>
      <c r="J98" s="699"/>
      <c r="K98" s="652"/>
    </row>
    <row r="99" spans="1:11" ht="15" customHeight="1">
      <c r="A99" s="603"/>
      <c r="B99" s="690" t="s">
        <v>517</v>
      </c>
      <c r="C99" s="949" t="s">
        <v>1281</v>
      </c>
      <c r="D99" s="884"/>
      <c r="E99" s="884"/>
      <c r="F99" s="884"/>
      <c r="G99" s="884"/>
      <c r="H99" s="884"/>
      <c r="I99" s="695">
        <f>'1-ABA-DE-CARREGAMENTO'!N62</f>
        <v>25</v>
      </c>
      <c r="J99" s="699"/>
      <c r="K99" s="652"/>
    </row>
    <row r="100" spans="1:11" ht="30" customHeight="1">
      <c r="A100" s="603"/>
      <c r="B100" s="690" t="s">
        <v>520</v>
      </c>
      <c r="C100" s="958" t="s">
        <v>1282</v>
      </c>
      <c r="D100" s="884"/>
      <c r="E100" s="884"/>
      <c r="F100" s="884"/>
      <c r="G100" s="884"/>
      <c r="H100" s="885"/>
      <c r="I100" s="696">
        <f>'1-ABA-DE-CARREGAMENTO'!N61</f>
        <v>0</v>
      </c>
      <c r="J100" s="701"/>
      <c r="K100" s="652"/>
    </row>
    <row r="101" spans="1:11" ht="15" customHeight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6.75" customHeight="1">
      <c r="A102" s="603"/>
      <c r="B102" s="690" t="s">
        <v>525</v>
      </c>
      <c r="C102" s="949" t="s">
        <v>1283</v>
      </c>
      <c r="D102" s="884"/>
      <c r="E102" s="884"/>
      <c r="F102" s="884"/>
      <c r="G102" s="884"/>
      <c r="H102" s="884"/>
      <c r="I102" s="884"/>
      <c r="J102" s="679">
        <f>'1-ABA-DE-CARREGAMENTO'!N77</f>
        <v>0.06</v>
      </c>
      <c r="K102" s="671"/>
    </row>
    <row r="103" spans="1:11" ht="36.75" customHeight="1">
      <c r="A103" s="603"/>
      <c r="B103" s="690" t="s">
        <v>570</v>
      </c>
      <c r="C103" s="949" t="s">
        <v>1284</v>
      </c>
      <c r="D103" s="884"/>
      <c r="E103" s="884"/>
      <c r="F103" s="884"/>
      <c r="G103" s="884"/>
      <c r="H103" s="884"/>
      <c r="I103" s="885"/>
      <c r="J103" s="679">
        <f>'1-ABA-DE-CARREGAMENTO'!N78</f>
        <v>0.06</v>
      </c>
      <c r="K103" s="671"/>
    </row>
    <row r="104" spans="1:11" ht="16.5" customHeight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'1-ABA-DE-CARREGAMENTO'!N76</f>
        <v>0.06</v>
      </c>
      <c r="K104" s="671"/>
    </row>
    <row r="105" spans="1:11" ht="17.25" customHeight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21.7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0.18</v>
      </c>
      <c r="K106" s="671"/>
    </row>
    <row r="107" spans="1:11" ht="9.7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3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7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1285</v>
      </c>
      <c r="D112" s="884"/>
      <c r="E112" s="884"/>
      <c r="F112" s="884"/>
      <c r="G112" s="884"/>
      <c r="H112" s="884"/>
      <c r="I112" s="885"/>
      <c r="J112" s="707">
        <f>J72</f>
        <v>0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0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0.18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0.18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0.5" customHeight="1">
      <c r="A119" s="603"/>
      <c r="B119" s="690" t="s">
        <v>463</v>
      </c>
      <c r="C119" s="949" t="s">
        <v>1286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0</v>
      </c>
      <c r="K119" s="671"/>
    </row>
    <row r="120" spans="1:11" ht="15.7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</v>
      </c>
      <c r="K120" s="671"/>
    </row>
    <row r="121" spans="1:11" ht="28.5" customHeight="1">
      <c r="A121" s="603"/>
      <c r="B121" s="690" t="s">
        <v>467</v>
      </c>
      <c r="C121" s="949" t="s">
        <v>1287</v>
      </c>
      <c r="D121" s="884"/>
      <c r="E121" s="884"/>
      <c r="F121" s="884"/>
      <c r="G121" s="884"/>
      <c r="H121" s="884"/>
      <c r="I121" s="885"/>
      <c r="J121" s="679">
        <f>ROUND(((7/30)/$I$11)*$J$58*1,2)</f>
        <v>0</v>
      </c>
      <c r="K121" s="671"/>
    </row>
    <row r="122" spans="1:11" ht="18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0</v>
      </c>
      <c r="K122" s="671"/>
    </row>
    <row r="123" spans="1:11" ht="32.25" customHeight="1">
      <c r="A123" s="603"/>
      <c r="B123" s="690" t="s">
        <v>511</v>
      </c>
      <c r="C123" s="949" t="s">
        <v>1288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0</v>
      </c>
      <c r="K123" s="671"/>
    </row>
    <row r="124" spans="1:11" ht="9.7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0</v>
      </c>
      <c r="K124" s="671"/>
    </row>
    <row r="125" spans="1:11" ht="15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30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58.5" customHeight="1">
      <c r="A128" s="603"/>
      <c r="B128" s="974" t="s">
        <v>1289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36.75" customHeight="1">
      <c r="A129" s="603"/>
      <c r="B129" s="716" t="s">
        <v>590</v>
      </c>
      <c r="C129" s="717">
        <f>J58</f>
        <v>0</v>
      </c>
      <c r="D129" s="718" t="s">
        <v>591</v>
      </c>
      <c r="E129" s="716" t="s">
        <v>1290</v>
      </c>
      <c r="F129" s="717">
        <f>J115-J92-J97</f>
        <v>0.18</v>
      </c>
      <c r="G129" s="718" t="s">
        <v>591</v>
      </c>
      <c r="H129" s="716" t="s">
        <v>593</v>
      </c>
      <c r="I129" s="717">
        <f>J124</f>
        <v>0</v>
      </c>
      <c r="J129" s="719">
        <f>C129+F129+I129</f>
        <v>0.18</v>
      </c>
      <c r="K129" s="720"/>
    </row>
    <row r="130" spans="1:11" ht="14.2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45.75" customHeight="1">
      <c r="A133" s="603"/>
      <c r="B133" s="690" t="s">
        <v>463</v>
      </c>
      <c r="C133" s="969" t="s">
        <v>1291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0</v>
      </c>
      <c r="K133" s="671"/>
    </row>
    <row r="134" spans="1:11" ht="17.25" customHeight="1">
      <c r="A134" s="603"/>
      <c r="B134" s="690" t="s">
        <v>465</v>
      </c>
      <c r="C134" s="949" t="s">
        <v>1292</v>
      </c>
      <c r="D134" s="884"/>
      <c r="E134" s="884"/>
      <c r="F134" s="884"/>
      <c r="G134" s="884"/>
      <c r="H134" s="884"/>
      <c r="I134" s="885"/>
      <c r="J134" s="679">
        <f>ROUND((1/30)/12*(J129),2)</f>
        <v>0</v>
      </c>
      <c r="K134" s="671"/>
    </row>
    <row r="135" spans="1:11" ht="29.25" customHeight="1">
      <c r="A135" s="603"/>
      <c r="B135" s="690" t="s">
        <v>467</v>
      </c>
      <c r="C135" s="949" t="s">
        <v>1293</v>
      </c>
      <c r="D135" s="884"/>
      <c r="E135" s="884"/>
      <c r="F135" s="884"/>
      <c r="G135" s="884"/>
      <c r="H135" s="884"/>
      <c r="I135" s="885"/>
      <c r="J135" s="679">
        <f>ROUND((5/30)/12*0.015*(J129),2)</f>
        <v>0</v>
      </c>
      <c r="K135" s="671"/>
    </row>
    <row r="136" spans="1:11" ht="28.5" customHeight="1">
      <c r="A136" s="603"/>
      <c r="B136" s="690" t="s">
        <v>469</v>
      </c>
      <c r="C136" s="949" t="s">
        <v>1294</v>
      </c>
      <c r="D136" s="884"/>
      <c r="E136" s="884"/>
      <c r="F136" s="884"/>
      <c r="G136" s="884"/>
      <c r="H136" s="884"/>
      <c r="I136" s="885"/>
      <c r="J136" s="679">
        <f>ROUND(((15/30)/12)*0.0078*(J129),2)</f>
        <v>0</v>
      </c>
      <c r="K136" s="671"/>
    </row>
    <row r="137" spans="1:11" ht="30.75" customHeight="1">
      <c r="A137" s="603"/>
      <c r="B137" s="727" t="s">
        <v>511</v>
      </c>
      <c r="C137" s="1019" t="s">
        <v>1295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1.1999999999999999E-3</v>
      </c>
      <c r="K137" s="729"/>
    </row>
    <row r="138" spans="1:11" ht="38.25" customHeight="1">
      <c r="A138" s="603"/>
      <c r="B138" s="690" t="s">
        <v>513</v>
      </c>
      <c r="C138" s="949" t="s">
        <v>1296</v>
      </c>
      <c r="D138" s="884"/>
      <c r="E138" s="884"/>
      <c r="F138" s="884"/>
      <c r="G138" s="884"/>
      <c r="H138" s="884"/>
      <c r="I138" s="885"/>
      <c r="J138" s="679">
        <f>ROUND(((3/30)/12)*(J129),2)</f>
        <v>0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1.1999999999999999E-3</v>
      </c>
      <c r="K139" s="671"/>
    </row>
    <row r="140" spans="1:11" ht="12.75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12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15.7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1.1999999999999999E-3</v>
      </c>
      <c r="K148" s="735"/>
    </row>
    <row r="149" spans="1:11" ht="16.5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1.1999999999999999E-3</v>
      </c>
      <c r="K150" s="735"/>
    </row>
    <row r="151" spans="1:11" ht="11.2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20.2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679" t="e">
        <f>#REF!</f>
        <v>#REF!</v>
      </c>
      <c r="K154" s="671"/>
    </row>
    <row r="155" spans="1:11" ht="15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v>0</v>
      </c>
      <c r="K155" s="704"/>
    </row>
    <row r="156" spans="1:11" ht="15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 t="e">
        <f>ROUND(SUM(J154:J156),2)</f>
        <v>#REF!</v>
      </c>
      <c r="K157" s="704"/>
    </row>
    <row r="158" spans="1:11" ht="9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27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11.2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24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6.25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 t="e">
        <f>SUM(J63+J115+J124+J150+J157)</f>
        <v>#REF!</v>
      </c>
      <c r="K163" s="751"/>
    </row>
    <row r="164" spans="1:11" ht="23.2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'1-ABA-DE-CARREGAMENTO'!N85</f>
        <v>0.06</v>
      </c>
      <c r="J164" s="679" t="e">
        <f>ROUND(I164*J163,2)</f>
        <v>#REF!</v>
      </c>
      <c r="K164" s="671"/>
    </row>
    <row r="165" spans="1:11" ht="50.2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 t="e">
        <f>SUM(J63+J115+J124+J150+J157+J164)</f>
        <v>#REF!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'1-ABA-DE-CARREGAMENTO'!N86</f>
        <v>0.06</v>
      </c>
      <c r="J166" s="679" t="e">
        <f>ROUND(I166*J165,2)</f>
        <v>#REF!</v>
      </c>
      <c r="K166" s="671"/>
    </row>
    <row r="167" spans="1:11" ht="51.7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 t="e">
        <f>SUM(J163+J164+J166)</f>
        <v>#REF!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8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1" customHeight="1">
      <c r="A170" s="603"/>
      <c r="B170" s="690"/>
      <c r="C170" s="1018" t="s">
        <v>1297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 t="e">
        <f t="shared" ref="J170:J171" si="1">ROUND(($J$167/(1-$I$179))*I170,2)</f>
        <v>#REF!</v>
      </c>
      <c r="K170" s="756"/>
    </row>
    <row r="171" spans="1:11" ht="21" customHeight="1">
      <c r="A171" s="603"/>
      <c r="B171" s="690"/>
      <c r="C171" s="1018" t="s">
        <v>1298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 t="e">
        <f t="shared" si="1"/>
        <v>#REF!</v>
      </c>
      <c r="K171" s="756"/>
    </row>
    <row r="172" spans="1:11" ht="24" customHeight="1">
      <c r="A172" s="603"/>
      <c r="B172" s="690"/>
      <c r="C172" s="949" t="s">
        <v>1299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4" customHeight="1">
      <c r="A173" s="603"/>
      <c r="B173" s="690"/>
      <c r="C173" s="949" t="s">
        <v>1300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1301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 t="e">
        <f>ROUND(($J$167/(1-$I$179))*I176,2)</f>
        <v>#REF!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 t="e">
        <f>SUM(J164+J166+J170+J171+J176)</f>
        <v>#REF!</v>
      </c>
      <c r="K177" s="671"/>
    </row>
    <row r="178" spans="1:11" ht="9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 t="e">
        <f t="shared" si="2"/>
        <v>#REF!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9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30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9.7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1302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0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0.18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0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1.1999999999999999E-3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 t="e">
        <f>J157</f>
        <v>#REF!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 t="e">
        <f>ROUND(SUM(J188:J192),2)</f>
        <v>#REF!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 t="e">
        <f>J177</f>
        <v>#REF!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 t="e">
        <f>J193+J194</f>
        <v>#REF!</v>
      </c>
      <c r="K195" s="704"/>
    </row>
    <row r="196" spans="1:11" ht="43.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15.75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5.75" customHeight="1">
      <c r="A199" s="603"/>
      <c r="B199" s="1045" t="s">
        <v>843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40.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2.25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2.2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2.25" customHeight="1" collapsed="1">
      <c r="A203" s="603"/>
      <c r="B203" s="1046" t="str">
        <f>B3</f>
        <v>A NÃO TEM MAIS POSTOS-99</v>
      </c>
      <c r="C203" s="884"/>
      <c r="D203" s="884"/>
      <c r="E203" s="885"/>
      <c r="F203" s="1047" t="e">
        <f>J195</f>
        <v>#REF!</v>
      </c>
      <c r="G203" s="885"/>
      <c r="H203" s="773">
        <f>I17</f>
        <v>0</v>
      </c>
      <c r="I203" s="1027" t="e">
        <f t="shared" si="4"/>
        <v>#REF!</v>
      </c>
      <c r="J203" s="885"/>
      <c r="K203" s="774"/>
    </row>
    <row r="204" spans="1:11" ht="32.2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2.25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15.75" hidden="1" customHeight="1" outlineLevel="1">
      <c r="A206" s="603"/>
      <c r="B206" s="1048" t="s">
        <v>1303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0</v>
      </c>
      <c r="I207" s="1042" t="e">
        <f>SUM(I201:J206)</f>
        <v>#REF!</v>
      </c>
      <c r="J207" s="885"/>
      <c r="K207" s="776"/>
    </row>
    <row r="208" spans="1:11" ht="9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9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 t="e">
        <f>$I$207</f>
        <v>#REF!</v>
      </c>
      <c r="I211" s="884"/>
      <c r="J211" s="885"/>
      <c r="K211" s="778"/>
    </row>
    <row r="212" spans="1:11" ht="9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9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15.75" customHeight="1">
      <c r="A215" s="603"/>
      <c r="B215" s="1034" t="s">
        <v>1304</v>
      </c>
      <c r="C215" s="884"/>
      <c r="D215" s="884"/>
      <c r="E215" s="884"/>
      <c r="F215" s="884"/>
      <c r="G215" s="885"/>
      <c r="H215" s="1041" t="e">
        <f>ROUND(H211*H213,2)</f>
        <v>#REF!</v>
      </c>
      <c r="I215" s="884"/>
      <c r="J215" s="885"/>
      <c r="K215" s="782"/>
    </row>
    <row r="216" spans="1:11" ht="9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71" priority="1" operator="equal">
      <formula>0</formula>
    </cfRule>
  </conditionalFormatting>
  <conditionalFormatting sqref="I48">
    <cfRule type="cellIs" dxfId="70" priority="2" operator="equal">
      <formula>0</formula>
    </cfRule>
  </conditionalFormatting>
  <pageMargins left="0.511811024" right="0.511811024" top="0.78740157499999996" bottom="0.78740157499999996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000"/>
  <sheetViews>
    <sheetView workbookViewId="0"/>
  </sheetViews>
  <sheetFormatPr defaultColWidth="14.42578125" defaultRowHeight="15" customHeight="1"/>
  <cols>
    <col min="1" max="1" width="3.140625" customWidth="1"/>
    <col min="2" max="2" width="42.7109375" customWidth="1"/>
    <col min="3" max="3" width="44.85546875" customWidth="1"/>
    <col min="4" max="4" width="23.42578125" customWidth="1"/>
    <col min="5" max="5" width="29" customWidth="1"/>
    <col min="6" max="6" width="26.42578125" customWidth="1"/>
  </cols>
  <sheetData>
    <row r="1" spans="1:17" ht="15.75">
      <c r="A1" s="799">
        <v>0</v>
      </c>
      <c r="E1" s="800"/>
      <c r="F1" s="801"/>
    </row>
    <row r="2" spans="1:17" ht="26.25">
      <c r="A2" s="799">
        <v>0</v>
      </c>
      <c r="B2" s="924" t="s">
        <v>1305</v>
      </c>
      <c r="C2" s="846"/>
      <c r="D2" s="846"/>
      <c r="E2" s="901"/>
      <c r="F2" s="801"/>
    </row>
    <row r="3" spans="1:17">
      <c r="A3" s="799">
        <v>0</v>
      </c>
      <c r="B3" s="448"/>
      <c r="C3" s="1"/>
      <c r="D3" s="1"/>
      <c r="E3" s="802"/>
      <c r="F3" s="1"/>
      <c r="G3" s="802"/>
      <c r="H3" s="1"/>
      <c r="I3" s="802"/>
      <c r="J3" s="1"/>
    </row>
    <row r="4" spans="1:17" ht="26.25" hidden="1">
      <c r="A4" s="803">
        <v>1</v>
      </c>
      <c r="B4" s="1078"/>
      <c r="C4" s="882"/>
      <c r="D4" s="1075"/>
      <c r="E4" s="882"/>
      <c r="F4" s="1075">
        <v>0</v>
      </c>
      <c r="G4" s="882"/>
      <c r="H4" s="1075"/>
      <c r="I4" s="882"/>
      <c r="J4" s="1075"/>
      <c r="K4" s="882"/>
      <c r="L4" s="803"/>
      <c r="M4" s="803"/>
      <c r="N4" s="803"/>
      <c r="O4" s="803"/>
      <c r="P4" s="803"/>
      <c r="Q4" s="803"/>
    </row>
    <row r="5" spans="1:17" ht="18.75" hidden="1">
      <c r="A5" s="803">
        <v>1</v>
      </c>
      <c r="B5" s="803"/>
      <c r="C5" s="804"/>
      <c r="D5" s="805"/>
      <c r="E5" s="806"/>
      <c r="F5" s="805">
        <v>0</v>
      </c>
      <c r="G5" s="806"/>
      <c r="H5" s="805"/>
      <c r="I5" s="806"/>
      <c r="J5" s="805"/>
      <c r="K5" s="803"/>
      <c r="L5" s="803"/>
      <c r="M5" s="803"/>
      <c r="N5" s="803"/>
      <c r="O5" s="803"/>
      <c r="P5" s="803"/>
      <c r="Q5" s="803"/>
    </row>
    <row r="6" spans="1:17" ht="20.25" hidden="1">
      <c r="A6" s="803">
        <v>0</v>
      </c>
      <c r="B6" s="1076"/>
      <c r="C6" s="882"/>
      <c r="D6" s="807"/>
      <c r="E6" s="808"/>
      <c r="F6" s="807">
        <v>0</v>
      </c>
      <c r="G6" s="808"/>
      <c r="H6" s="807"/>
      <c r="I6" s="808"/>
      <c r="J6" s="807"/>
      <c r="K6" s="803"/>
      <c r="L6" s="803"/>
      <c r="M6" s="803"/>
      <c r="N6" s="803"/>
      <c r="O6" s="803"/>
      <c r="P6" s="803"/>
      <c r="Q6" s="803"/>
    </row>
    <row r="7" spans="1:17" hidden="1">
      <c r="A7" s="803">
        <v>1</v>
      </c>
      <c r="B7" s="1076"/>
      <c r="C7" s="882"/>
      <c r="D7" s="1077"/>
      <c r="E7" s="882"/>
      <c r="F7" s="1077">
        <v>3</v>
      </c>
      <c r="G7" s="882"/>
      <c r="H7" s="1077"/>
      <c r="I7" s="882"/>
      <c r="J7" s="1077"/>
      <c r="K7" s="882"/>
      <c r="L7" s="803"/>
      <c r="M7" s="803"/>
      <c r="N7" s="803"/>
      <c r="O7" s="803"/>
      <c r="P7" s="803"/>
      <c r="Q7" s="803"/>
    </row>
    <row r="8" spans="1:17" hidden="1">
      <c r="A8" s="803">
        <v>0</v>
      </c>
      <c r="B8" s="1076"/>
      <c r="C8" s="882"/>
      <c r="D8" s="809"/>
      <c r="E8" s="808"/>
      <c r="F8" s="809">
        <v>2</v>
      </c>
      <c r="G8" s="808"/>
      <c r="H8" s="809"/>
      <c r="I8" s="808"/>
      <c r="J8" s="809"/>
      <c r="K8" s="803"/>
      <c r="L8" s="803"/>
      <c r="M8" s="803"/>
      <c r="N8" s="803"/>
      <c r="O8" s="803"/>
      <c r="P8" s="803"/>
      <c r="Q8" s="803"/>
    </row>
    <row r="9" spans="1:17" hidden="1">
      <c r="A9" s="803">
        <v>1</v>
      </c>
      <c r="B9" s="1076"/>
      <c r="C9" s="882"/>
      <c r="D9" s="809"/>
      <c r="E9" s="808"/>
      <c r="F9" s="809">
        <v>3</v>
      </c>
      <c r="G9" s="808"/>
      <c r="H9" s="809"/>
      <c r="I9" s="808"/>
      <c r="J9" s="809"/>
      <c r="K9" s="803"/>
      <c r="L9" s="803"/>
      <c r="M9" s="803"/>
      <c r="N9" s="803"/>
      <c r="O9" s="803"/>
      <c r="P9" s="803"/>
      <c r="Q9" s="803"/>
    </row>
    <row r="10" spans="1:17" hidden="1">
      <c r="A10" s="803">
        <v>0</v>
      </c>
      <c r="B10" s="1076"/>
      <c r="C10" s="882"/>
      <c r="D10" s="810"/>
      <c r="E10" s="811"/>
      <c r="F10" s="810">
        <v>2</v>
      </c>
      <c r="G10" s="811"/>
      <c r="H10" s="810"/>
      <c r="I10" s="811"/>
      <c r="J10" s="810"/>
      <c r="K10" s="803"/>
      <c r="L10" s="803"/>
      <c r="M10" s="803"/>
      <c r="N10" s="803"/>
      <c r="O10" s="803"/>
      <c r="P10" s="803"/>
      <c r="Q10" s="803"/>
    </row>
    <row r="11" spans="1:17">
      <c r="A11" s="799">
        <v>0</v>
      </c>
      <c r="C11" s="447"/>
      <c r="D11" s="447"/>
      <c r="E11" s="811"/>
      <c r="F11" s="447"/>
      <c r="G11" s="811"/>
      <c r="H11" s="447"/>
      <c r="I11" s="811"/>
      <c r="J11" s="447"/>
    </row>
    <row r="12" spans="1:17" ht="18">
      <c r="A12" s="799">
        <v>0</v>
      </c>
      <c r="B12" s="919" t="str">
        <f>'1-ABA-DE-CARREGAMENTO'!C11</f>
        <v xml:space="preserve"> S E R V I Ç O S     -    A G R O P E C U A R I O S </v>
      </c>
      <c r="C12" s="884"/>
      <c r="D12" s="884"/>
      <c r="E12" s="885"/>
      <c r="F12" s="463">
        <v>2</v>
      </c>
    </row>
    <row r="13" spans="1:17" ht="40.5">
      <c r="B13" s="455" t="s">
        <v>1306</v>
      </c>
      <c r="C13" s="455" t="s">
        <v>313</v>
      </c>
      <c r="D13" s="456" t="s">
        <v>315</v>
      </c>
      <c r="E13" s="812" t="s">
        <v>1307</v>
      </c>
      <c r="F13" s="463">
        <v>0</v>
      </c>
    </row>
    <row r="14" spans="1:17" ht="20.25">
      <c r="B14" s="461" t="str">
        <f>CAMPUS.CONTRATANTE!D10</f>
        <v xml:space="preserve">ALEGRETE </v>
      </c>
      <c r="C14" s="461" t="str">
        <f>'1-ABA-DE-CARREGAMENTO'!C33</f>
        <v>6210-05_CAPATAZ-Encarreg</v>
      </c>
      <c r="D14" s="463">
        <v>1</v>
      </c>
      <c r="E14" s="813">
        <v>8799.91</v>
      </c>
      <c r="F14" s="814">
        <f t="shared" ref="F14:F25" si="0">IF(D14=0,0,E14)</f>
        <v>8799.91</v>
      </c>
    </row>
    <row r="15" spans="1:17" ht="20.25">
      <c r="B15" s="461" t="str">
        <f t="shared" ref="B15:B26" si="1">B14</f>
        <v xml:space="preserve">ALEGRETE </v>
      </c>
      <c r="C15" s="461" t="str">
        <f>'1-ABA-DE-CARREGAMENTO'!D33</f>
        <v>6210-05_PEAO-Trabalh.Agropec</v>
      </c>
      <c r="D15" s="463">
        <v>7</v>
      </c>
      <c r="E15" s="813">
        <v>6055.97</v>
      </c>
      <c r="F15" s="814">
        <f t="shared" si="0"/>
        <v>6055.97</v>
      </c>
    </row>
    <row r="16" spans="1:17" ht="20.25">
      <c r="B16" s="461" t="str">
        <f t="shared" si="1"/>
        <v xml:space="preserve">ALEGRETE </v>
      </c>
      <c r="C16" s="472" t="str">
        <f>'1-ABA-DE-CARREGAMENTO'!E33</f>
        <v>6410-15_TRATORISTA-em-Geral</v>
      </c>
      <c r="D16" s="463">
        <v>3</v>
      </c>
      <c r="E16" s="813">
        <v>5784.37</v>
      </c>
      <c r="F16" s="814">
        <f t="shared" si="0"/>
        <v>5784.37</v>
      </c>
    </row>
    <row r="17" spans="2:6" ht="20.25" hidden="1">
      <c r="B17" s="461" t="str">
        <f t="shared" si="1"/>
        <v xml:space="preserve">ALEGRETE </v>
      </c>
      <c r="C17" s="472" t="str">
        <f>'1-ABA-DE-CARREGAMENTO'!F33</f>
        <v>A NÃO TEM MAIS POSTOS-11</v>
      </c>
      <c r="D17" s="463">
        <v>0</v>
      </c>
      <c r="E17" s="813" t="e">
        <v>#REF!</v>
      </c>
      <c r="F17" s="814">
        <f t="shared" si="0"/>
        <v>0</v>
      </c>
    </row>
    <row r="18" spans="2:6" ht="20.25" hidden="1">
      <c r="B18" s="461" t="str">
        <f t="shared" si="1"/>
        <v xml:space="preserve">ALEGRETE </v>
      </c>
      <c r="C18" s="472" t="str">
        <f>'1-ABA-DE-CARREGAMENTO'!G33</f>
        <v>A NÃO TEM MAIS POSTOS-22</v>
      </c>
      <c r="D18" s="463">
        <v>0</v>
      </c>
      <c r="E18" s="813" t="e">
        <v>#REF!</v>
      </c>
      <c r="F18" s="814">
        <f t="shared" si="0"/>
        <v>0</v>
      </c>
    </row>
    <row r="19" spans="2:6" ht="20.25" hidden="1">
      <c r="B19" s="461" t="str">
        <f t="shared" si="1"/>
        <v xml:space="preserve">ALEGRETE </v>
      </c>
      <c r="C19" s="472" t="str">
        <f>'1-ABA-DE-CARREGAMENTO'!H33</f>
        <v>A NÃO TEM MAIS POSTOS-33</v>
      </c>
      <c r="D19" s="463">
        <v>0</v>
      </c>
      <c r="E19" s="813" t="e">
        <v>#REF!</v>
      </c>
      <c r="F19" s="814">
        <f t="shared" si="0"/>
        <v>0</v>
      </c>
    </row>
    <row r="20" spans="2:6" ht="20.25" hidden="1">
      <c r="B20" s="461" t="str">
        <f t="shared" si="1"/>
        <v xml:space="preserve">ALEGRETE </v>
      </c>
      <c r="C20" s="472" t="str">
        <f>'1-ABA-DE-CARREGAMENTO'!I33</f>
        <v>A NÃO TEM MAIS POSTOS-44</v>
      </c>
      <c r="D20" s="463">
        <v>0</v>
      </c>
      <c r="E20" s="813" t="e">
        <v>#REF!</v>
      </c>
      <c r="F20" s="814">
        <f t="shared" si="0"/>
        <v>0</v>
      </c>
    </row>
    <row r="21" spans="2:6" ht="20.25" hidden="1">
      <c r="B21" s="461" t="str">
        <f t="shared" si="1"/>
        <v xml:space="preserve">ALEGRETE </v>
      </c>
      <c r="C21" s="472" t="str">
        <f>'1-ABA-DE-CARREGAMENTO'!J33</f>
        <v>A NÃO TEM MAIS POSTOS-55</v>
      </c>
      <c r="D21" s="463">
        <v>0</v>
      </c>
      <c r="E21" s="813" t="e">
        <v>#REF!</v>
      </c>
      <c r="F21" s="814">
        <f t="shared" si="0"/>
        <v>0</v>
      </c>
    </row>
    <row r="22" spans="2:6" ht="20.25" hidden="1">
      <c r="B22" s="461" t="str">
        <f t="shared" si="1"/>
        <v xml:space="preserve">ALEGRETE </v>
      </c>
      <c r="C22" s="472" t="str">
        <f>'1-ABA-DE-CARREGAMENTO'!K33</f>
        <v>A NÃO TEM MAIS POSTOS-66</v>
      </c>
      <c r="D22" s="463">
        <v>0</v>
      </c>
      <c r="E22" s="813" t="e">
        <v>#REF!</v>
      </c>
      <c r="F22" s="814">
        <f t="shared" si="0"/>
        <v>0</v>
      </c>
    </row>
    <row r="23" spans="2:6" ht="20.25" hidden="1">
      <c r="B23" s="461" t="str">
        <f t="shared" si="1"/>
        <v xml:space="preserve">ALEGRETE </v>
      </c>
      <c r="C23" s="472" t="str">
        <f>'1-ABA-DE-CARREGAMENTO'!L33</f>
        <v>A NÃO TEM MAIS POSTOS-77</v>
      </c>
      <c r="D23" s="463">
        <v>0</v>
      </c>
      <c r="E23" s="813" t="e">
        <v>#REF!</v>
      </c>
      <c r="F23" s="814">
        <f t="shared" si="0"/>
        <v>0</v>
      </c>
    </row>
    <row r="24" spans="2:6" ht="20.25" hidden="1">
      <c r="B24" s="461" t="str">
        <f t="shared" si="1"/>
        <v xml:space="preserve">ALEGRETE </v>
      </c>
      <c r="C24" s="472" t="str">
        <f>'1-ABA-DE-CARREGAMENTO'!M33</f>
        <v>A NÃO TEM MAIS POSTOS-88</v>
      </c>
      <c r="D24" s="463">
        <v>0</v>
      </c>
      <c r="E24" s="813" t="e">
        <v>#REF!</v>
      </c>
      <c r="F24" s="814">
        <f t="shared" si="0"/>
        <v>0</v>
      </c>
    </row>
    <row r="25" spans="2:6" ht="20.25" hidden="1">
      <c r="B25" s="461" t="str">
        <f t="shared" si="1"/>
        <v xml:space="preserve">ALEGRETE </v>
      </c>
      <c r="C25" s="472" t="str">
        <f>'1-ABA-DE-CARREGAMENTO'!N33</f>
        <v>A NÃO TEM MAIS POSTOS-99</v>
      </c>
      <c r="D25" s="463">
        <v>0</v>
      </c>
      <c r="E25" s="813" t="e">
        <v>#REF!</v>
      </c>
      <c r="F25" s="814">
        <f t="shared" si="0"/>
        <v>0</v>
      </c>
    </row>
    <row r="26" spans="2:6" ht="20.25">
      <c r="B26" s="474" t="str">
        <f t="shared" si="1"/>
        <v xml:space="preserve">ALEGRETE </v>
      </c>
      <c r="C26" s="474" t="s">
        <v>325</v>
      </c>
      <c r="D26" s="475">
        <f>SUM(D14:D25)</f>
        <v>11</v>
      </c>
      <c r="E26" s="815"/>
      <c r="F26" s="477">
        <f>SUM(F14:F25)</f>
        <v>20640.25</v>
      </c>
    </row>
    <row r="27" spans="2:6" ht="20.25">
      <c r="E27" s="816"/>
      <c r="F27" s="801"/>
    </row>
    <row r="28" spans="2:6" ht="20.25">
      <c r="B28" s="461" t="str">
        <f>CAMPUS.CONTRATANTE!D11</f>
        <v xml:space="preserve">FREDERICO-WESTFALEN </v>
      </c>
      <c r="C28" s="461" t="str">
        <f>'1-ABA-DE-CARREGAMENTO'!C33</f>
        <v>6210-05_CAPATAZ-Encarreg</v>
      </c>
      <c r="D28" s="463">
        <v>1</v>
      </c>
      <c r="E28" s="813">
        <v>5238.0599999999995</v>
      </c>
      <c r="F28" s="814">
        <f t="shared" ref="F28:F39" si="2">IF(D28=0,0,E28)</f>
        <v>5238.0599999999995</v>
      </c>
    </row>
    <row r="29" spans="2:6" ht="20.25">
      <c r="B29" s="461" t="str">
        <f t="shared" ref="B29:B40" si="3">B28</f>
        <v xml:space="preserve">FREDERICO-WESTFALEN </v>
      </c>
      <c r="C29" s="461" t="str">
        <f>'1-ABA-DE-CARREGAMENTO'!D33</f>
        <v>6210-05_PEAO-Trabalh.Agropec</v>
      </c>
      <c r="D29" s="463">
        <v>6</v>
      </c>
      <c r="E29" s="813">
        <v>4508.54</v>
      </c>
      <c r="F29" s="814">
        <f t="shared" si="2"/>
        <v>4508.54</v>
      </c>
    </row>
    <row r="30" spans="2:6" ht="20.25">
      <c r="B30" s="461" t="str">
        <f t="shared" si="3"/>
        <v xml:space="preserve">FREDERICO-WESTFALEN </v>
      </c>
      <c r="C30" s="472" t="str">
        <f>'1-ABA-DE-CARREGAMENTO'!E33</f>
        <v>6410-15_TRATORISTA-em-Geral</v>
      </c>
      <c r="D30" s="463">
        <v>2</v>
      </c>
      <c r="E30" s="813">
        <v>5238.0599999999995</v>
      </c>
      <c r="F30" s="814">
        <f t="shared" si="2"/>
        <v>5238.0599999999995</v>
      </c>
    </row>
    <row r="31" spans="2:6" ht="20.25" hidden="1">
      <c r="B31" s="461" t="str">
        <f t="shared" si="3"/>
        <v xml:space="preserve">FREDERICO-WESTFALEN </v>
      </c>
      <c r="C31" s="472" t="str">
        <f>'1-ABA-DE-CARREGAMENTO'!F33</f>
        <v>A NÃO TEM MAIS POSTOS-11</v>
      </c>
      <c r="D31" s="463">
        <v>0</v>
      </c>
      <c r="E31" s="813" t="e">
        <v>#REF!</v>
      </c>
      <c r="F31" s="814">
        <f t="shared" si="2"/>
        <v>0</v>
      </c>
    </row>
    <row r="32" spans="2:6" ht="20.25" hidden="1">
      <c r="B32" s="461" t="str">
        <f t="shared" si="3"/>
        <v xml:space="preserve">FREDERICO-WESTFALEN </v>
      </c>
      <c r="C32" s="472" t="str">
        <f>'1-ABA-DE-CARREGAMENTO'!G33</f>
        <v>A NÃO TEM MAIS POSTOS-22</v>
      </c>
      <c r="D32" s="463">
        <v>0</v>
      </c>
      <c r="E32" s="813" t="e">
        <v>#REF!</v>
      </c>
      <c r="F32" s="814">
        <f t="shared" si="2"/>
        <v>0</v>
      </c>
    </row>
    <row r="33" spans="2:6" ht="20.25" hidden="1">
      <c r="B33" s="461" t="str">
        <f t="shared" si="3"/>
        <v xml:space="preserve">FREDERICO-WESTFALEN </v>
      </c>
      <c r="C33" s="472" t="str">
        <f>'1-ABA-DE-CARREGAMENTO'!H33</f>
        <v>A NÃO TEM MAIS POSTOS-33</v>
      </c>
      <c r="D33" s="463">
        <v>0</v>
      </c>
      <c r="E33" s="813" t="e">
        <v>#REF!</v>
      </c>
      <c r="F33" s="814">
        <f t="shared" si="2"/>
        <v>0</v>
      </c>
    </row>
    <row r="34" spans="2:6" ht="20.25" hidden="1">
      <c r="B34" s="461" t="str">
        <f t="shared" si="3"/>
        <v xml:space="preserve">FREDERICO-WESTFALEN </v>
      </c>
      <c r="C34" s="472" t="str">
        <f>'1-ABA-DE-CARREGAMENTO'!I33</f>
        <v>A NÃO TEM MAIS POSTOS-44</v>
      </c>
      <c r="D34" s="463">
        <v>0</v>
      </c>
      <c r="E34" s="813" t="e">
        <v>#REF!</v>
      </c>
      <c r="F34" s="814">
        <f t="shared" si="2"/>
        <v>0</v>
      </c>
    </row>
    <row r="35" spans="2:6" ht="20.25" hidden="1">
      <c r="B35" s="461" t="str">
        <f t="shared" si="3"/>
        <v xml:space="preserve">FREDERICO-WESTFALEN </v>
      </c>
      <c r="C35" s="472" t="str">
        <f>'1-ABA-DE-CARREGAMENTO'!J33</f>
        <v>A NÃO TEM MAIS POSTOS-55</v>
      </c>
      <c r="D35" s="463">
        <v>0</v>
      </c>
      <c r="E35" s="813" t="e">
        <v>#REF!</v>
      </c>
      <c r="F35" s="814">
        <f t="shared" si="2"/>
        <v>0</v>
      </c>
    </row>
    <row r="36" spans="2:6" ht="20.25" hidden="1">
      <c r="B36" s="461" t="str">
        <f t="shared" si="3"/>
        <v xml:space="preserve">FREDERICO-WESTFALEN </v>
      </c>
      <c r="C36" s="472" t="str">
        <f>'1-ABA-DE-CARREGAMENTO'!K33</f>
        <v>A NÃO TEM MAIS POSTOS-66</v>
      </c>
      <c r="D36" s="463">
        <v>0</v>
      </c>
      <c r="E36" s="813" t="e">
        <v>#REF!</v>
      </c>
      <c r="F36" s="814">
        <f t="shared" si="2"/>
        <v>0</v>
      </c>
    </row>
    <row r="37" spans="2:6" ht="20.25" hidden="1">
      <c r="B37" s="461" t="str">
        <f t="shared" si="3"/>
        <v xml:space="preserve">FREDERICO-WESTFALEN </v>
      </c>
      <c r="C37" s="472" t="str">
        <f>'1-ABA-DE-CARREGAMENTO'!L33</f>
        <v>A NÃO TEM MAIS POSTOS-77</v>
      </c>
      <c r="D37" s="463">
        <v>0</v>
      </c>
      <c r="E37" s="813" t="e">
        <v>#REF!</v>
      </c>
      <c r="F37" s="814">
        <f t="shared" si="2"/>
        <v>0</v>
      </c>
    </row>
    <row r="38" spans="2:6" ht="20.25" hidden="1">
      <c r="B38" s="461" t="str">
        <f t="shared" si="3"/>
        <v xml:space="preserve">FREDERICO-WESTFALEN </v>
      </c>
      <c r="C38" s="472" t="str">
        <f>'1-ABA-DE-CARREGAMENTO'!M33</f>
        <v>A NÃO TEM MAIS POSTOS-88</v>
      </c>
      <c r="D38" s="463">
        <v>0</v>
      </c>
      <c r="E38" s="813" t="e">
        <v>#REF!</v>
      </c>
      <c r="F38" s="814">
        <f t="shared" si="2"/>
        <v>0</v>
      </c>
    </row>
    <row r="39" spans="2:6" ht="20.25" hidden="1">
      <c r="B39" s="461" t="str">
        <f t="shared" si="3"/>
        <v xml:space="preserve">FREDERICO-WESTFALEN </v>
      </c>
      <c r="C39" s="472" t="str">
        <f>'1-ABA-DE-CARREGAMENTO'!N33</f>
        <v>A NÃO TEM MAIS POSTOS-99</v>
      </c>
      <c r="D39" s="463">
        <v>0</v>
      </c>
      <c r="E39" s="813" t="e">
        <v>#REF!</v>
      </c>
      <c r="F39" s="814">
        <f t="shared" si="2"/>
        <v>0</v>
      </c>
    </row>
    <row r="40" spans="2:6" ht="20.25">
      <c r="B40" s="474" t="str">
        <f t="shared" si="3"/>
        <v xml:space="preserve">FREDERICO-WESTFALEN </v>
      </c>
      <c r="C40" s="474" t="s">
        <v>325</v>
      </c>
      <c r="D40" s="475">
        <f>SUM(D28:D39)</f>
        <v>9</v>
      </c>
      <c r="E40" s="815"/>
      <c r="F40" s="477">
        <f>SUM(F28:F39)</f>
        <v>14984.659999999998</v>
      </c>
    </row>
    <row r="41" spans="2:6" ht="15.75">
      <c r="E41" s="800"/>
      <c r="F41" s="801"/>
    </row>
    <row r="42" spans="2:6" ht="20.25">
      <c r="B42" s="461" t="str">
        <f>CAMPUS.CONTRATANTE!D12</f>
        <v>JAGUARI</v>
      </c>
      <c r="C42" s="461" t="str">
        <f>'1-ABA-DE-CARREGAMENTO'!C33</f>
        <v>6210-05_CAPATAZ-Encarreg</v>
      </c>
      <c r="D42" s="463">
        <v>1</v>
      </c>
      <c r="E42" s="813">
        <v>5935.25</v>
      </c>
      <c r="F42" s="814">
        <f t="shared" ref="F42:F53" si="4">IF(D42=0,0,E42)</f>
        <v>5935.25</v>
      </c>
    </row>
    <row r="43" spans="2:6" ht="20.25">
      <c r="B43" s="461" t="str">
        <f t="shared" ref="B43:B54" si="5">B42</f>
        <v>JAGUARI</v>
      </c>
      <c r="C43" s="461" t="str">
        <f>'1-ABA-DE-CARREGAMENTO'!D33</f>
        <v>6210-05_PEAO-Trabalh.Agropec</v>
      </c>
      <c r="D43" s="463">
        <v>4</v>
      </c>
      <c r="E43" s="813">
        <v>5139.6000000000004</v>
      </c>
      <c r="F43" s="814">
        <f t="shared" si="4"/>
        <v>5139.6000000000004</v>
      </c>
    </row>
    <row r="44" spans="2:6" ht="20.25">
      <c r="B44" s="461" t="str">
        <f t="shared" si="5"/>
        <v>JAGUARI</v>
      </c>
      <c r="C44" s="472" t="str">
        <f>'1-ABA-DE-CARREGAMENTO'!E33</f>
        <v>6410-15_TRATORISTA-em-Geral</v>
      </c>
      <c r="D44" s="463">
        <v>1</v>
      </c>
      <c r="E44" s="813">
        <v>5776.16</v>
      </c>
      <c r="F44" s="814">
        <f t="shared" si="4"/>
        <v>5776.16</v>
      </c>
    </row>
    <row r="45" spans="2:6" ht="20.25" hidden="1">
      <c r="B45" s="461" t="str">
        <f t="shared" si="5"/>
        <v>JAGUARI</v>
      </c>
      <c r="C45" s="472" t="str">
        <f>'1-ABA-DE-CARREGAMENTO'!F33</f>
        <v>A NÃO TEM MAIS POSTOS-11</v>
      </c>
      <c r="D45" s="463">
        <v>0</v>
      </c>
      <c r="E45" s="813" t="e">
        <v>#REF!</v>
      </c>
      <c r="F45" s="814">
        <f t="shared" si="4"/>
        <v>0</v>
      </c>
    </row>
    <row r="46" spans="2:6" ht="20.25" hidden="1">
      <c r="B46" s="461" t="str">
        <f t="shared" si="5"/>
        <v>JAGUARI</v>
      </c>
      <c r="C46" s="472" t="str">
        <f>'1-ABA-DE-CARREGAMENTO'!G33</f>
        <v>A NÃO TEM MAIS POSTOS-22</v>
      </c>
      <c r="D46" s="463">
        <v>0</v>
      </c>
      <c r="E46" s="813" t="e">
        <v>#REF!</v>
      </c>
      <c r="F46" s="814">
        <f t="shared" si="4"/>
        <v>0</v>
      </c>
    </row>
    <row r="47" spans="2:6" ht="20.25" hidden="1">
      <c r="B47" s="461" t="str">
        <f t="shared" si="5"/>
        <v>JAGUARI</v>
      </c>
      <c r="C47" s="472" t="str">
        <f>'1-ABA-DE-CARREGAMENTO'!H33</f>
        <v>A NÃO TEM MAIS POSTOS-33</v>
      </c>
      <c r="D47" s="463">
        <v>0</v>
      </c>
      <c r="E47" s="813" t="e">
        <v>#REF!</v>
      </c>
      <c r="F47" s="814">
        <f t="shared" si="4"/>
        <v>0</v>
      </c>
    </row>
    <row r="48" spans="2:6" ht="20.25" hidden="1">
      <c r="B48" s="461" t="str">
        <f t="shared" si="5"/>
        <v>JAGUARI</v>
      </c>
      <c r="C48" s="472" t="str">
        <f>'1-ABA-DE-CARREGAMENTO'!I33</f>
        <v>A NÃO TEM MAIS POSTOS-44</v>
      </c>
      <c r="D48" s="463">
        <v>0</v>
      </c>
      <c r="E48" s="813" t="e">
        <v>#REF!</v>
      </c>
      <c r="F48" s="814">
        <f t="shared" si="4"/>
        <v>0</v>
      </c>
    </row>
    <row r="49" spans="2:6" ht="20.25" hidden="1">
      <c r="B49" s="461" t="str">
        <f t="shared" si="5"/>
        <v>JAGUARI</v>
      </c>
      <c r="C49" s="472" t="str">
        <f>'1-ABA-DE-CARREGAMENTO'!J33</f>
        <v>A NÃO TEM MAIS POSTOS-55</v>
      </c>
      <c r="D49" s="463">
        <v>0</v>
      </c>
      <c r="E49" s="813" t="e">
        <v>#REF!</v>
      </c>
      <c r="F49" s="814">
        <f t="shared" si="4"/>
        <v>0</v>
      </c>
    </row>
    <row r="50" spans="2:6" ht="20.25" hidden="1">
      <c r="B50" s="461" t="str">
        <f t="shared" si="5"/>
        <v>JAGUARI</v>
      </c>
      <c r="C50" s="472" t="str">
        <f>'1-ABA-DE-CARREGAMENTO'!K33</f>
        <v>A NÃO TEM MAIS POSTOS-66</v>
      </c>
      <c r="D50" s="463">
        <v>0</v>
      </c>
      <c r="E50" s="813" t="e">
        <v>#REF!</v>
      </c>
      <c r="F50" s="814">
        <f t="shared" si="4"/>
        <v>0</v>
      </c>
    </row>
    <row r="51" spans="2:6" ht="20.25" hidden="1">
      <c r="B51" s="461" t="str">
        <f t="shared" si="5"/>
        <v>JAGUARI</v>
      </c>
      <c r="C51" s="472" t="str">
        <f>'1-ABA-DE-CARREGAMENTO'!L33</f>
        <v>A NÃO TEM MAIS POSTOS-77</v>
      </c>
      <c r="D51" s="463">
        <v>0</v>
      </c>
      <c r="E51" s="813" t="e">
        <v>#REF!</v>
      </c>
      <c r="F51" s="814">
        <f t="shared" si="4"/>
        <v>0</v>
      </c>
    </row>
    <row r="52" spans="2:6" ht="20.25" hidden="1">
      <c r="B52" s="461" t="str">
        <f t="shared" si="5"/>
        <v>JAGUARI</v>
      </c>
      <c r="C52" s="472" t="str">
        <f>'1-ABA-DE-CARREGAMENTO'!M33</f>
        <v>A NÃO TEM MAIS POSTOS-88</v>
      </c>
      <c r="D52" s="463">
        <v>0</v>
      </c>
      <c r="E52" s="813" t="e">
        <v>#REF!</v>
      </c>
      <c r="F52" s="814">
        <f t="shared" si="4"/>
        <v>0</v>
      </c>
    </row>
    <row r="53" spans="2:6" ht="20.25" hidden="1">
      <c r="B53" s="461" t="str">
        <f t="shared" si="5"/>
        <v>JAGUARI</v>
      </c>
      <c r="C53" s="472" t="str">
        <f>'1-ABA-DE-CARREGAMENTO'!N33</f>
        <v>A NÃO TEM MAIS POSTOS-99</v>
      </c>
      <c r="D53" s="463">
        <v>0</v>
      </c>
      <c r="E53" s="813" t="e">
        <v>#REF!</v>
      </c>
      <c r="F53" s="814">
        <f t="shared" si="4"/>
        <v>0</v>
      </c>
    </row>
    <row r="54" spans="2:6" ht="20.25">
      <c r="B54" s="474" t="str">
        <f t="shared" si="5"/>
        <v>JAGUARI</v>
      </c>
      <c r="C54" s="474" t="s">
        <v>325</v>
      </c>
      <c r="D54" s="475">
        <f>SUM(D42:D53)</f>
        <v>6</v>
      </c>
      <c r="E54" s="815"/>
      <c r="F54" s="477">
        <f>SUM(F42:F53)</f>
        <v>16851.010000000002</v>
      </c>
    </row>
    <row r="55" spans="2:6" ht="15.75">
      <c r="E55" s="800"/>
      <c r="F55" s="801"/>
    </row>
    <row r="56" spans="2:6" ht="20.25">
      <c r="B56" s="461" t="str">
        <f>CAMPUS.CONTRATANTE!D13</f>
        <v xml:space="preserve">JULIO-DE-CASTILHOS </v>
      </c>
      <c r="C56" s="461" t="str">
        <f>'1-ABA-DE-CARREGAMENTO'!C33</f>
        <v>6210-05_CAPATAZ-Encarreg</v>
      </c>
      <c r="D56" s="463">
        <v>1</v>
      </c>
      <c r="E56" s="813">
        <v>6419.4400000000005</v>
      </c>
      <c r="F56" s="814">
        <f t="shared" ref="F56:F67" si="6">IF(D56=0,0,E56)</f>
        <v>6419.4400000000005</v>
      </c>
    </row>
    <row r="57" spans="2:6" ht="20.25">
      <c r="B57" s="461" t="str">
        <f t="shared" ref="B57:B68" si="7">B56</f>
        <v xml:space="preserve">JULIO-DE-CASTILHOS </v>
      </c>
      <c r="C57" s="461" t="str">
        <f>'1-ABA-DE-CARREGAMENTO'!D33</f>
        <v>6210-05_PEAO-Trabalh.Agropec</v>
      </c>
      <c r="D57" s="463">
        <v>4</v>
      </c>
      <c r="E57" s="813">
        <v>5614.6100000000006</v>
      </c>
      <c r="F57" s="814">
        <f t="shared" si="6"/>
        <v>5614.6100000000006</v>
      </c>
    </row>
    <row r="58" spans="2:6" ht="20.25">
      <c r="B58" s="461" t="str">
        <f t="shared" si="7"/>
        <v xml:space="preserve">JULIO-DE-CASTILHOS </v>
      </c>
      <c r="C58" s="472" t="str">
        <f>'1-ABA-DE-CARREGAMENTO'!E33</f>
        <v>6410-15_TRATORISTA-em-Geral</v>
      </c>
      <c r="D58" s="463">
        <v>1</v>
      </c>
      <c r="E58" s="813">
        <v>6419.4400000000005</v>
      </c>
      <c r="F58" s="814">
        <f t="shared" si="6"/>
        <v>6419.4400000000005</v>
      </c>
    </row>
    <row r="59" spans="2:6" ht="20.25" hidden="1">
      <c r="B59" s="461" t="str">
        <f t="shared" si="7"/>
        <v xml:space="preserve">JULIO-DE-CASTILHOS </v>
      </c>
      <c r="C59" s="472" t="str">
        <f>'1-ABA-DE-CARREGAMENTO'!F33</f>
        <v>A NÃO TEM MAIS POSTOS-11</v>
      </c>
      <c r="D59" s="463">
        <v>0</v>
      </c>
      <c r="E59" s="813" t="e">
        <v>#REF!</v>
      </c>
      <c r="F59" s="814">
        <f t="shared" si="6"/>
        <v>0</v>
      </c>
    </row>
    <row r="60" spans="2:6" ht="20.25" hidden="1">
      <c r="B60" s="461" t="str">
        <f t="shared" si="7"/>
        <v xml:space="preserve">JULIO-DE-CASTILHOS </v>
      </c>
      <c r="C60" s="472" t="str">
        <f>'1-ABA-DE-CARREGAMENTO'!G33</f>
        <v>A NÃO TEM MAIS POSTOS-22</v>
      </c>
      <c r="D60" s="463">
        <v>0</v>
      </c>
      <c r="E60" s="813" t="e">
        <v>#REF!</v>
      </c>
      <c r="F60" s="814">
        <f t="shared" si="6"/>
        <v>0</v>
      </c>
    </row>
    <row r="61" spans="2:6" ht="20.25" hidden="1">
      <c r="B61" s="461" t="str">
        <f t="shared" si="7"/>
        <v xml:space="preserve">JULIO-DE-CASTILHOS </v>
      </c>
      <c r="C61" s="472" t="str">
        <f>'1-ABA-DE-CARREGAMENTO'!H33</f>
        <v>A NÃO TEM MAIS POSTOS-33</v>
      </c>
      <c r="D61" s="463">
        <v>0</v>
      </c>
      <c r="E61" s="813" t="e">
        <v>#REF!</v>
      </c>
      <c r="F61" s="814">
        <f t="shared" si="6"/>
        <v>0</v>
      </c>
    </row>
    <row r="62" spans="2:6" ht="20.25" hidden="1">
      <c r="B62" s="461" t="str">
        <f t="shared" si="7"/>
        <v xml:space="preserve">JULIO-DE-CASTILHOS </v>
      </c>
      <c r="C62" s="472" t="str">
        <f>'1-ABA-DE-CARREGAMENTO'!I33</f>
        <v>A NÃO TEM MAIS POSTOS-44</v>
      </c>
      <c r="D62" s="463">
        <v>0</v>
      </c>
      <c r="E62" s="813" t="e">
        <v>#REF!</v>
      </c>
      <c r="F62" s="814">
        <f t="shared" si="6"/>
        <v>0</v>
      </c>
    </row>
    <row r="63" spans="2:6" ht="20.25" hidden="1">
      <c r="B63" s="461" t="str">
        <f t="shared" si="7"/>
        <v xml:space="preserve">JULIO-DE-CASTILHOS </v>
      </c>
      <c r="C63" s="472" t="str">
        <f>'1-ABA-DE-CARREGAMENTO'!J33</f>
        <v>A NÃO TEM MAIS POSTOS-55</v>
      </c>
      <c r="D63" s="463">
        <v>0</v>
      </c>
      <c r="E63" s="813" t="e">
        <v>#REF!</v>
      </c>
      <c r="F63" s="814">
        <f t="shared" si="6"/>
        <v>0</v>
      </c>
    </row>
    <row r="64" spans="2:6" ht="20.25" hidden="1">
      <c r="B64" s="461" t="str">
        <f t="shared" si="7"/>
        <v xml:space="preserve">JULIO-DE-CASTILHOS </v>
      </c>
      <c r="C64" s="472" t="str">
        <f>'1-ABA-DE-CARREGAMENTO'!K33</f>
        <v>A NÃO TEM MAIS POSTOS-66</v>
      </c>
      <c r="D64" s="463">
        <v>0</v>
      </c>
      <c r="E64" s="813" t="e">
        <v>#REF!</v>
      </c>
      <c r="F64" s="814">
        <f t="shared" si="6"/>
        <v>0</v>
      </c>
    </row>
    <row r="65" spans="2:6" ht="20.25" hidden="1">
      <c r="B65" s="461" t="str">
        <f t="shared" si="7"/>
        <v xml:space="preserve">JULIO-DE-CASTILHOS </v>
      </c>
      <c r="C65" s="472" t="str">
        <f>'1-ABA-DE-CARREGAMENTO'!L33</f>
        <v>A NÃO TEM MAIS POSTOS-77</v>
      </c>
      <c r="D65" s="463">
        <v>0</v>
      </c>
      <c r="E65" s="813" t="e">
        <v>#REF!</v>
      </c>
      <c r="F65" s="814">
        <f t="shared" si="6"/>
        <v>0</v>
      </c>
    </row>
    <row r="66" spans="2:6" ht="20.25" hidden="1">
      <c r="B66" s="461" t="str">
        <f t="shared" si="7"/>
        <v xml:space="preserve">JULIO-DE-CASTILHOS </v>
      </c>
      <c r="C66" s="472" t="str">
        <f>'1-ABA-DE-CARREGAMENTO'!M33</f>
        <v>A NÃO TEM MAIS POSTOS-88</v>
      </c>
      <c r="D66" s="463">
        <v>0</v>
      </c>
      <c r="E66" s="813" t="e">
        <v>#REF!</v>
      </c>
      <c r="F66" s="814">
        <f t="shared" si="6"/>
        <v>0</v>
      </c>
    </row>
    <row r="67" spans="2:6" ht="20.25" hidden="1">
      <c r="B67" s="461" t="str">
        <f t="shared" si="7"/>
        <v xml:space="preserve">JULIO-DE-CASTILHOS </v>
      </c>
      <c r="C67" s="472" t="str">
        <f>'1-ABA-DE-CARREGAMENTO'!N33</f>
        <v>A NÃO TEM MAIS POSTOS-99</v>
      </c>
      <c r="D67" s="463">
        <v>0</v>
      </c>
      <c r="E67" s="813" t="e">
        <v>#REF!</v>
      </c>
      <c r="F67" s="814">
        <f t="shared" si="6"/>
        <v>0</v>
      </c>
    </row>
    <row r="68" spans="2:6" ht="20.25">
      <c r="B68" s="474" t="str">
        <f t="shared" si="7"/>
        <v xml:space="preserve">JULIO-DE-CASTILHOS </v>
      </c>
      <c r="C68" s="474" t="s">
        <v>325</v>
      </c>
      <c r="D68" s="475">
        <f>SUM(D56:D67)</f>
        <v>6</v>
      </c>
      <c r="E68" s="815"/>
      <c r="F68" s="477">
        <f>SUM(F56:F67)</f>
        <v>18453.490000000002</v>
      </c>
    </row>
    <row r="69" spans="2:6" ht="15.75">
      <c r="E69" s="800"/>
      <c r="F69" s="801"/>
    </row>
    <row r="70" spans="2:6" ht="20.25" hidden="1">
      <c r="B70" s="461" t="str">
        <f>CAMPUS.CONTRATANTE!D14</f>
        <v xml:space="preserve">PANAMBI </v>
      </c>
      <c r="C70" s="461" t="str">
        <f>'1-ABA-DE-CARREGAMENTO'!C33</f>
        <v>6210-05_CAPATAZ-Encarreg</v>
      </c>
      <c r="D70" s="463">
        <v>1</v>
      </c>
      <c r="E70" s="813">
        <v>6357.5300000000007</v>
      </c>
      <c r="F70" s="814">
        <f t="shared" ref="F70:F81" si="8">IF(D70=0,0,E70)</f>
        <v>6357.5300000000007</v>
      </c>
    </row>
    <row r="71" spans="2:6" ht="20.25">
      <c r="B71" s="461" t="str">
        <f t="shared" ref="B71:B82" si="9">B70</f>
        <v xml:space="preserve">PANAMBI </v>
      </c>
      <c r="C71" s="461" t="str">
        <f>'1-ABA-DE-CARREGAMENTO'!D33</f>
        <v>6210-05_PEAO-Trabalh.Agropec</v>
      </c>
      <c r="D71" s="463">
        <v>0</v>
      </c>
      <c r="E71" s="813">
        <v>5643.21</v>
      </c>
      <c r="F71" s="814">
        <f t="shared" si="8"/>
        <v>0</v>
      </c>
    </row>
    <row r="72" spans="2:6" ht="20.25">
      <c r="B72" s="461" t="str">
        <f t="shared" si="9"/>
        <v xml:space="preserve">PANAMBI </v>
      </c>
      <c r="C72" s="472" t="str">
        <f>'1-ABA-DE-CARREGAMENTO'!E33</f>
        <v>6410-15_TRATORISTA-em-Geral</v>
      </c>
      <c r="D72" s="463">
        <v>1</v>
      </c>
      <c r="E72" s="813">
        <v>6357.5300000000007</v>
      </c>
      <c r="F72" s="814">
        <f t="shared" si="8"/>
        <v>6357.5300000000007</v>
      </c>
    </row>
    <row r="73" spans="2:6" ht="20.25" hidden="1">
      <c r="B73" s="461" t="str">
        <f t="shared" si="9"/>
        <v xml:space="preserve">PANAMBI </v>
      </c>
      <c r="C73" s="472" t="str">
        <f>'1-ABA-DE-CARREGAMENTO'!F33</f>
        <v>A NÃO TEM MAIS POSTOS-11</v>
      </c>
      <c r="D73" s="463">
        <v>0</v>
      </c>
      <c r="E73" s="813" t="e">
        <v>#REF!</v>
      </c>
      <c r="F73" s="814">
        <f t="shared" si="8"/>
        <v>0</v>
      </c>
    </row>
    <row r="74" spans="2:6" ht="20.25" hidden="1">
      <c r="B74" s="461" t="str">
        <f t="shared" si="9"/>
        <v xml:space="preserve">PANAMBI </v>
      </c>
      <c r="C74" s="472" t="str">
        <f>'1-ABA-DE-CARREGAMENTO'!G33</f>
        <v>A NÃO TEM MAIS POSTOS-22</v>
      </c>
      <c r="D74" s="463">
        <v>0</v>
      </c>
      <c r="E74" s="813" t="e">
        <v>#REF!</v>
      </c>
      <c r="F74" s="814">
        <f t="shared" si="8"/>
        <v>0</v>
      </c>
    </row>
    <row r="75" spans="2:6" ht="20.25" hidden="1">
      <c r="B75" s="461" t="str">
        <f t="shared" si="9"/>
        <v xml:space="preserve">PANAMBI </v>
      </c>
      <c r="C75" s="472" t="str">
        <f>'1-ABA-DE-CARREGAMENTO'!H33</f>
        <v>A NÃO TEM MAIS POSTOS-33</v>
      </c>
      <c r="D75" s="463">
        <v>0</v>
      </c>
      <c r="E75" s="813" t="e">
        <v>#REF!</v>
      </c>
      <c r="F75" s="814">
        <f t="shared" si="8"/>
        <v>0</v>
      </c>
    </row>
    <row r="76" spans="2:6" ht="20.25" hidden="1">
      <c r="B76" s="461" t="str">
        <f t="shared" si="9"/>
        <v xml:space="preserve">PANAMBI </v>
      </c>
      <c r="C76" s="472" t="str">
        <f>'1-ABA-DE-CARREGAMENTO'!I33</f>
        <v>A NÃO TEM MAIS POSTOS-44</v>
      </c>
      <c r="D76" s="463">
        <v>0</v>
      </c>
      <c r="E76" s="813" t="e">
        <v>#REF!</v>
      </c>
      <c r="F76" s="814">
        <f t="shared" si="8"/>
        <v>0</v>
      </c>
    </row>
    <row r="77" spans="2:6" ht="20.25" hidden="1">
      <c r="B77" s="461" t="str">
        <f t="shared" si="9"/>
        <v xml:space="preserve">PANAMBI </v>
      </c>
      <c r="C77" s="472" t="str">
        <f>'1-ABA-DE-CARREGAMENTO'!J33</f>
        <v>A NÃO TEM MAIS POSTOS-55</v>
      </c>
      <c r="D77" s="463">
        <v>0</v>
      </c>
      <c r="E77" s="813" t="e">
        <v>#REF!</v>
      </c>
      <c r="F77" s="814">
        <f t="shared" si="8"/>
        <v>0</v>
      </c>
    </row>
    <row r="78" spans="2:6" ht="20.25" hidden="1">
      <c r="B78" s="461" t="str">
        <f t="shared" si="9"/>
        <v xml:space="preserve">PANAMBI </v>
      </c>
      <c r="C78" s="472" t="str">
        <f>'1-ABA-DE-CARREGAMENTO'!K33</f>
        <v>A NÃO TEM MAIS POSTOS-66</v>
      </c>
      <c r="D78" s="463">
        <v>0</v>
      </c>
      <c r="E78" s="813" t="e">
        <v>#REF!</v>
      </c>
      <c r="F78" s="814">
        <f t="shared" si="8"/>
        <v>0</v>
      </c>
    </row>
    <row r="79" spans="2:6" ht="20.25" hidden="1">
      <c r="B79" s="461" t="str">
        <f t="shared" si="9"/>
        <v xml:space="preserve">PANAMBI </v>
      </c>
      <c r="C79" s="472" t="str">
        <f>'1-ABA-DE-CARREGAMENTO'!L33</f>
        <v>A NÃO TEM MAIS POSTOS-77</v>
      </c>
      <c r="D79" s="463">
        <v>0</v>
      </c>
      <c r="E79" s="813" t="e">
        <v>#REF!</v>
      </c>
      <c r="F79" s="814">
        <f t="shared" si="8"/>
        <v>0</v>
      </c>
    </row>
    <row r="80" spans="2:6" ht="20.25" hidden="1">
      <c r="B80" s="461" t="str">
        <f t="shared" si="9"/>
        <v xml:space="preserve">PANAMBI </v>
      </c>
      <c r="C80" s="472" t="str">
        <f>'1-ABA-DE-CARREGAMENTO'!M33</f>
        <v>A NÃO TEM MAIS POSTOS-88</v>
      </c>
      <c r="D80" s="463">
        <v>0</v>
      </c>
      <c r="E80" s="813" t="e">
        <v>#REF!</v>
      </c>
      <c r="F80" s="814">
        <f t="shared" si="8"/>
        <v>0</v>
      </c>
    </row>
    <row r="81" spans="2:6" ht="20.25" hidden="1">
      <c r="B81" s="461" t="str">
        <f t="shared" si="9"/>
        <v xml:space="preserve">PANAMBI </v>
      </c>
      <c r="C81" s="472" t="str">
        <f>'1-ABA-DE-CARREGAMENTO'!N33</f>
        <v>A NÃO TEM MAIS POSTOS-99</v>
      </c>
      <c r="D81" s="463">
        <v>0</v>
      </c>
      <c r="E81" s="813" t="e">
        <v>#REF!</v>
      </c>
      <c r="F81" s="814">
        <f t="shared" si="8"/>
        <v>0</v>
      </c>
    </row>
    <row r="82" spans="2:6" ht="20.25">
      <c r="B82" s="474" t="str">
        <f t="shared" si="9"/>
        <v xml:space="preserve">PANAMBI </v>
      </c>
      <c r="C82" s="474" t="s">
        <v>325</v>
      </c>
      <c r="D82" s="475">
        <f>SUM(D70:D81)</f>
        <v>2</v>
      </c>
      <c r="E82" s="815"/>
      <c r="F82" s="477">
        <f>SUM(F70:F81)</f>
        <v>12715.060000000001</v>
      </c>
    </row>
    <row r="83" spans="2:6" ht="15.75">
      <c r="E83" s="463">
        <f>'1-ABA-DE-CARREGAMENTO'!D160</f>
        <v>0</v>
      </c>
      <c r="F83" s="801"/>
    </row>
    <row r="84" spans="2:6" ht="20.25" hidden="1">
      <c r="B84" s="461" t="str">
        <f>CAMPUS.CONTRATANTE!D15</f>
        <v>SANTA-MARIA</v>
      </c>
      <c r="C84" s="461" t="str">
        <f>'1-ABA-DE-CARREGAMENTO'!C33</f>
        <v>6210-05_CAPATAZ-Encarreg</v>
      </c>
      <c r="D84" s="463">
        <v>1</v>
      </c>
      <c r="E84" s="817">
        <v>6357.5300000000007</v>
      </c>
      <c r="F84" s="814">
        <f t="shared" ref="F84:F95" si="10">IF(D84=0,0,E84)</f>
        <v>6357.5300000000007</v>
      </c>
    </row>
    <row r="85" spans="2:6" ht="20.25" hidden="1">
      <c r="B85" s="461" t="str">
        <f t="shared" ref="B85:B96" si="11">B84</f>
        <v>SANTA-MARIA</v>
      </c>
      <c r="C85" s="461" t="str">
        <f>'1-ABA-DE-CARREGAMENTO'!D33</f>
        <v>6210-05_PEAO-Trabalh.Agropec</v>
      </c>
      <c r="D85" s="463">
        <v>0</v>
      </c>
      <c r="E85" s="465">
        <v>5643.21</v>
      </c>
      <c r="F85" s="814">
        <f t="shared" si="10"/>
        <v>0</v>
      </c>
    </row>
    <row r="86" spans="2:6" ht="20.25" hidden="1">
      <c r="B86" s="461" t="str">
        <f t="shared" si="11"/>
        <v>SANTA-MARIA</v>
      </c>
      <c r="C86" s="472" t="str">
        <f>'1-ABA-DE-CARREGAMENTO'!E33</f>
        <v>6410-15_TRATORISTA-em-Geral</v>
      </c>
      <c r="D86" s="463">
        <v>1</v>
      </c>
      <c r="E86" s="465">
        <v>6357.5300000000007</v>
      </c>
      <c r="F86" s="814">
        <f t="shared" si="10"/>
        <v>6357.5300000000007</v>
      </c>
    </row>
    <row r="87" spans="2:6" ht="20.25" hidden="1">
      <c r="B87" s="461" t="str">
        <f t="shared" si="11"/>
        <v>SANTA-MARIA</v>
      </c>
      <c r="C87" s="472" t="str">
        <f>'1-ABA-DE-CARREGAMENTO'!F33</f>
        <v>A NÃO TEM MAIS POSTOS-11</v>
      </c>
      <c r="D87" s="463">
        <v>0</v>
      </c>
      <c r="E87" s="465" t="e">
        <v>#REF!</v>
      </c>
      <c r="F87" s="814">
        <f t="shared" si="10"/>
        <v>0</v>
      </c>
    </row>
    <row r="88" spans="2:6" ht="20.25" hidden="1">
      <c r="B88" s="461" t="str">
        <f t="shared" si="11"/>
        <v>SANTA-MARIA</v>
      </c>
      <c r="C88" s="472" t="str">
        <f>'1-ABA-DE-CARREGAMENTO'!G33</f>
        <v>A NÃO TEM MAIS POSTOS-22</v>
      </c>
      <c r="D88" s="463">
        <v>0</v>
      </c>
      <c r="E88" s="465" t="e">
        <v>#REF!</v>
      </c>
      <c r="F88" s="814">
        <f t="shared" si="10"/>
        <v>0</v>
      </c>
    </row>
    <row r="89" spans="2:6" ht="20.25" hidden="1">
      <c r="B89" s="461" t="str">
        <f t="shared" si="11"/>
        <v>SANTA-MARIA</v>
      </c>
      <c r="C89" s="472" t="str">
        <f>'1-ABA-DE-CARREGAMENTO'!H33</f>
        <v>A NÃO TEM MAIS POSTOS-33</v>
      </c>
      <c r="D89" s="463">
        <v>0</v>
      </c>
      <c r="E89" s="465" t="e">
        <v>#REF!</v>
      </c>
      <c r="F89" s="814">
        <f t="shared" si="10"/>
        <v>0</v>
      </c>
    </row>
    <row r="90" spans="2:6" ht="20.25" hidden="1">
      <c r="B90" s="461" t="str">
        <f t="shared" si="11"/>
        <v>SANTA-MARIA</v>
      </c>
      <c r="C90" s="472" t="str">
        <f>'1-ABA-DE-CARREGAMENTO'!I33</f>
        <v>A NÃO TEM MAIS POSTOS-44</v>
      </c>
      <c r="D90" s="463">
        <v>0</v>
      </c>
      <c r="E90" s="465" t="e">
        <v>#REF!</v>
      </c>
      <c r="F90" s="814">
        <f t="shared" si="10"/>
        <v>0</v>
      </c>
    </row>
    <row r="91" spans="2:6" ht="20.25" hidden="1">
      <c r="B91" s="461" t="str">
        <f t="shared" si="11"/>
        <v>SANTA-MARIA</v>
      </c>
      <c r="C91" s="472" t="str">
        <f>'1-ABA-DE-CARREGAMENTO'!J33</f>
        <v>A NÃO TEM MAIS POSTOS-55</v>
      </c>
      <c r="D91" s="463">
        <v>0</v>
      </c>
      <c r="E91" s="465" t="e">
        <v>#REF!</v>
      </c>
      <c r="F91" s="814">
        <f t="shared" si="10"/>
        <v>0</v>
      </c>
    </row>
    <row r="92" spans="2:6" ht="20.25" hidden="1">
      <c r="B92" s="461" t="str">
        <f t="shared" si="11"/>
        <v>SANTA-MARIA</v>
      </c>
      <c r="C92" s="472" t="str">
        <f>'1-ABA-DE-CARREGAMENTO'!K33</f>
        <v>A NÃO TEM MAIS POSTOS-66</v>
      </c>
      <c r="D92" s="463">
        <v>0</v>
      </c>
      <c r="E92" s="465" t="e">
        <v>#REF!</v>
      </c>
      <c r="F92" s="814">
        <f t="shared" si="10"/>
        <v>0</v>
      </c>
    </row>
    <row r="93" spans="2:6" ht="20.25" hidden="1">
      <c r="B93" s="461" t="str">
        <f t="shared" si="11"/>
        <v>SANTA-MARIA</v>
      </c>
      <c r="C93" s="472" t="str">
        <f>'1-ABA-DE-CARREGAMENTO'!L33</f>
        <v>A NÃO TEM MAIS POSTOS-77</v>
      </c>
      <c r="D93" s="463">
        <v>0</v>
      </c>
      <c r="E93" s="465" t="e">
        <v>#REF!</v>
      </c>
      <c r="F93" s="814">
        <f t="shared" si="10"/>
        <v>0</v>
      </c>
    </row>
    <row r="94" spans="2:6" ht="20.25" hidden="1">
      <c r="B94" s="461" t="str">
        <f t="shared" si="11"/>
        <v>SANTA-MARIA</v>
      </c>
      <c r="C94" s="472" t="str">
        <f>'1-ABA-DE-CARREGAMENTO'!M33</f>
        <v>A NÃO TEM MAIS POSTOS-88</v>
      </c>
      <c r="D94" s="463">
        <v>0</v>
      </c>
      <c r="E94" s="465" t="e">
        <v>#REF!</v>
      </c>
      <c r="F94" s="814">
        <f t="shared" si="10"/>
        <v>0</v>
      </c>
    </row>
    <row r="95" spans="2:6" ht="20.25" hidden="1">
      <c r="B95" s="461" t="str">
        <f t="shared" si="11"/>
        <v>SANTA-MARIA</v>
      </c>
      <c r="C95" s="472" t="str">
        <f>'1-ABA-DE-CARREGAMENTO'!N33</f>
        <v>A NÃO TEM MAIS POSTOS-99</v>
      </c>
      <c r="D95" s="463">
        <v>0</v>
      </c>
      <c r="E95" s="465" t="e">
        <v>#REF!</v>
      </c>
      <c r="F95" s="814">
        <f t="shared" si="10"/>
        <v>0</v>
      </c>
    </row>
    <row r="96" spans="2:6" ht="20.25" hidden="1">
      <c r="B96" s="474" t="str">
        <f t="shared" si="11"/>
        <v>SANTA-MARIA</v>
      </c>
      <c r="C96" s="474" t="s">
        <v>325</v>
      </c>
      <c r="D96" s="475">
        <f>SUM(D84:D95)</f>
        <v>2</v>
      </c>
      <c r="E96" s="815"/>
      <c r="F96" s="477">
        <f>SUM(F84:F95)</f>
        <v>12715.060000000001</v>
      </c>
    </row>
    <row r="97" spans="2:6" ht="15.75" hidden="1">
      <c r="E97" s="800"/>
      <c r="F97" s="801"/>
    </row>
    <row r="98" spans="2:6" ht="20.25" hidden="1">
      <c r="B98" s="461" t="str">
        <f>CAMPUS.CONTRATANTE!D16</f>
        <v xml:space="preserve">SANTA-ROSA </v>
      </c>
      <c r="C98" s="461" t="str">
        <f>'1-ABA-DE-CARREGAMENTO'!C33</f>
        <v>6210-05_CAPATAZ-Encarreg</v>
      </c>
      <c r="D98" s="463">
        <v>0</v>
      </c>
      <c r="E98" s="813" t="e">
        <v>#DIV/0!</v>
      </c>
      <c r="F98" s="814">
        <f t="shared" ref="F98:F109" si="12">IF(D98=0,0,E98)</f>
        <v>0</v>
      </c>
    </row>
    <row r="99" spans="2:6" ht="20.25" hidden="1">
      <c r="B99" s="461" t="str">
        <f t="shared" ref="B99:B110" si="13">B98</f>
        <v xml:space="preserve">SANTA-ROSA </v>
      </c>
      <c r="C99" s="461" t="str">
        <f>'1-ABA-DE-CARREGAMENTO'!D33</f>
        <v>6210-05_PEAO-Trabalh.Agropec</v>
      </c>
      <c r="D99" s="463">
        <v>0</v>
      </c>
      <c r="E99" s="813" t="e">
        <v>#DIV/0!</v>
      </c>
      <c r="F99" s="814">
        <f t="shared" si="12"/>
        <v>0</v>
      </c>
    </row>
    <row r="100" spans="2:6" ht="20.25" hidden="1">
      <c r="B100" s="461" t="str">
        <f t="shared" si="13"/>
        <v xml:space="preserve">SANTA-ROSA </v>
      </c>
      <c r="C100" s="472" t="str">
        <f>'1-ABA-DE-CARREGAMENTO'!E33</f>
        <v>6410-15_TRATORISTA-em-Geral</v>
      </c>
      <c r="D100" s="463">
        <v>0</v>
      </c>
      <c r="E100" s="813" t="e">
        <v>#DIV/0!</v>
      </c>
      <c r="F100" s="814">
        <f t="shared" si="12"/>
        <v>0</v>
      </c>
    </row>
    <row r="101" spans="2:6" ht="20.25" hidden="1">
      <c r="B101" s="461" t="str">
        <f t="shared" si="13"/>
        <v xml:space="preserve">SANTA-ROSA </v>
      </c>
      <c r="C101" s="472" t="str">
        <f>'1-ABA-DE-CARREGAMENTO'!F33</f>
        <v>A NÃO TEM MAIS POSTOS-11</v>
      </c>
      <c r="D101" s="463">
        <v>0</v>
      </c>
      <c r="E101" s="813" t="e">
        <v>#REF!</v>
      </c>
      <c r="F101" s="814">
        <f t="shared" si="12"/>
        <v>0</v>
      </c>
    </row>
    <row r="102" spans="2:6" ht="20.25" hidden="1">
      <c r="B102" s="461" t="str">
        <f t="shared" si="13"/>
        <v xml:space="preserve">SANTA-ROSA </v>
      </c>
      <c r="C102" s="472" t="str">
        <f>'1-ABA-DE-CARREGAMENTO'!G33</f>
        <v>A NÃO TEM MAIS POSTOS-22</v>
      </c>
      <c r="D102" s="463">
        <v>0</v>
      </c>
      <c r="E102" s="813" t="e">
        <v>#REF!</v>
      </c>
      <c r="F102" s="814">
        <f t="shared" si="12"/>
        <v>0</v>
      </c>
    </row>
    <row r="103" spans="2:6" ht="20.25" hidden="1">
      <c r="B103" s="461" t="str">
        <f t="shared" si="13"/>
        <v xml:space="preserve">SANTA-ROSA </v>
      </c>
      <c r="C103" s="472" t="str">
        <f>'1-ABA-DE-CARREGAMENTO'!H33</f>
        <v>A NÃO TEM MAIS POSTOS-33</v>
      </c>
      <c r="D103" s="463">
        <v>0</v>
      </c>
      <c r="E103" s="813" t="e">
        <v>#REF!</v>
      </c>
      <c r="F103" s="814">
        <f t="shared" si="12"/>
        <v>0</v>
      </c>
    </row>
    <row r="104" spans="2:6" ht="20.25" hidden="1">
      <c r="B104" s="461" t="str">
        <f t="shared" si="13"/>
        <v xml:space="preserve">SANTA-ROSA </v>
      </c>
      <c r="C104" s="472" t="str">
        <f>'1-ABA-DE-CARREGAMENTO'!I33</f>
        <v>A NÃO TEM MAIS POSTOS-44</v>
      </c>
      <c r="D104" s="463">
        <v>0</v>
      </c>
      <c r="E104" s="813" t="e">
        <v>#REF!</v>
      </c>
      <c r="F104" s="814">
        <f t="shared" si="12"/>
        <v>0</v>
      </c>
    </row>
    <row r="105" spans="2:6" ht="20.25" hidden="1">
      <c r="B105" s="461" t="str">
        <f t="shared" si="13"/>
        <v xml:space="preserve">SANTA-ROSA </v>
      </c>
      <c r="C105" s="472" t="str">
        <f>'1-ABA-DE-CARREGAMENTO'!J33</f>
        <v>A NÃO TEM MAIS POSTOS-55</v>
      </c>
      <c r="D105" s="463">
        <v>0</v>
      </c>
      <c r="E105" s="813" t="e">
        <v>#REF!</v>
      </c>
      <c r="F105" s="814">
        <f t="shared" si="12"/>
        <v>0</v>
      </c>
    </row>
    <row r="106" spans="2:6" ht="20.25" hidden="1">
      <c r="B106" s="461" t="str">
        <f t="shared" si="13"/>
        <v xml:space="preserve">SANTA-ROSA </v>
      </c>
      <c r="C106" s="472" t="str">
        <f>'1-ABA-DE-CARREGAMENTO'!K33</f>
        <v>A NÃO TEM MAIS POSTOS-66</v>
      </c>
      <c r="D106" s="463">
        <v>0</v>
      </c>
      <c r="E106" s="813" t="e">
        <v>#REF!</v>
      </c>
      <c r="F106" s="814">
        <f t="shared" si="12"/>
        <v>0</v>
      </c>
    </row>
    <row r="107" spans="2:6" ht="20.25" hidden="1">
      <c r="B107" s="461" t="str">
        <f t="shared" si="13"/>
        <v xml:space="preserve">SANTA-ROSA </v>
      </c>
      <c r="C107" s="472" t="str">
        <f>'1-ABA-DE-CARREGAMENTO'!L33</f>
        <v>A NÃO TEM MAIS POSTOS-77</v>
      </c>
      <c r="D107" s="463">
        <v>0</v>
      </c>
      <c r="E107" s="813" t="e">
        <v>#REF!</v>
      </c>
      <c r="F107" s="814">
        <f t="shared" si="12"/>
        <v>0</v>
      </c>
    </row>
    <row r="108" spans="2:6" ht="20.25" hidden="1">
      <c r="B108" s="461" t="str">
        <f t="shared" si="13"/>
        <v xml:space="preserve">SANTA-ROSA </v>
      </c>
      <c r="C108" s="472" t="str">
        <f>'1-ABA-DE-CARREGAMENTO'!M33</f>
        <v>A NÃO TEM MAIS POSTOS-88</v>
      </c>
      <c r="D108" s="463">
        <v>0</v>
      </c>
      <c r="E108" s="813" t="e">
        <v>#REF!</v>
      </c>
      <c r="F108" s="814">
        <f t="shared" si="12"/>
        <v>0</v>
      </c>
    </row>
    <row r="109" spans="2:6" ht="20.25" hidden="1">
      <c r="B109" s="461" t="str">
        <f t="shared" si="13"/>
        <v xml:space="preserve">SANTA-ROSA </v>
      </c>
      <c r="C109" s="472" t="str">
        <f>'1-ABA-DE-CARREGAMENTO'!N33</f>
        <v>A NÃO TEM MAIS POSTOS-99</v>
      </c>
      <c r="D109" s="463">
        <v>0</v>
      </c>
      <c r="E109" s="813" t="e">
        <v>#REF!</v>
      </c>
      <c r="F109" s="814">
        <f t="shared" si="12"/>
        <v>0</v>
      </c>
    </row>
    <row r="110" spans="2:6" ht="20.25" hidden="1">
      <c r="B110" s="474" t="str">
        <f t="shared" si="13"/>
        <v xml:space="preserve">SANTA-ROSA </v>
      </c>
      <c r="C110" s="474" t="s">
        <v>325</v>
      </c>
      <c r="D110" s="475">
        <f t="shared" ref="D110:F110" si="14">SUM(D98:D109)</f>
        <v>0</v>
      </c>
      <c r="E110" s="815" t="e">
        <f t="shared" si="14"/>
        <v>#DIV/0!</v>
      </c>
      <c r="F110" s="477">
        <f t="shared" si="14"/>
        <v>0</v>
      </c>
    </row>
    <row r="111" spans="2:6" ht="15.75" hidden="1">
      <c r="E111" s="800"/>
      <c r="F111" s="801"/>
    </row>
    <row r="112" spans="2:6" ht="20.25">
      <c r="B112" s="461" t="str">
        <f>CAMPUS.CONTRATANTE!D17</f>
        <v xml:space="preserve">SANTO-ANGELO </v>
      </c>
      <c r="C112" s="461" t="str">
        <f>'1-ABA-DE-CARREGAMENTO'!C33</f>
        <v>6210-05_CAPATAZ-Encarreg</v>
      </c>
      <c r="D112" s="463">
        <v>1</v>
      </c>
      <c r="E112" s="813">
        <v>5824.5</v>
      </c>
      <c r="F112" s="814">
        <f t="shared" ref="F112:F123" si="15">IF(D112=0,0,E112)</f>
        <v>5824.5</v>
      </c>
    </row>
    <row r="113" spans="2:6" ht="20.25">
      <c r="B113" s="461" t="str">
        <f t="shared" ref="B113:B124" si="16">B112</f>
        <v xml:space="preserve">SANTO-ANGELO </v>
      </c>
      <c r="C113" s="461" t="str">
        <f>'1-ABA-DE-CARREGAMENTO'!D33</f>
        <v>6210-05_PEAO-Trabalh.Agropec</v>
      </c>
      <c r="D113" s="463">
        <v>2</v>
      </c>
      <c r="E113" s="813">
        <v>5102.05</v>
      </c>
      <c r="F113" s="814">
        <f t="shared" si="15"/>
        <v>5102.05</v>
      </c>
    </row>
    <row r="114" spans="2:6" ht="20.25">
      <c r="B114" s="461" t="str">
        <f t="shared" si="16"/>
        <v xml:space="preserve">SANTO-ANGELO </v>
      </c>
      <c r="C114" s="472" t="str">
        <f>'1-ABA-DE-CARREGAMENTO'!E33</f>
        <v>6410-15_TRATORISTA-em-Geral</v>
      </c>
      <c r="D114" s="463">
        <v>1</v>
      </c>
      <c r="E114" s="813">
        <v>5824.5</v>
      </c>
      <c r="F114" s="814">
        <f t="shared" si="15"/>
        <v>5824.5</v>
      </c>
    </row>
    <row r="115" spans="2:6" ht="20.25" hidden="1">
      <c r="B115" s="461" t="str">
        <f t="shared" si="16"/>
        <v xml:space="preserve">SANTO-ANGELO </v>
      </c>
      <c r="C115" s="472" t="str">
        <f>'1-ABA-DE-CARREGAMENTO'!F33</f>
        <v>A NÃO TEM MAIS POSTOS-11</v>
      </c>
      <c r="D115" s="463">
        <v>0</v>
      </c>
      <c r="E115" s="813" t="e">
        <v>#REF!</v>
      </c>
      <c r="F115" s="814">
        <f t="shared" si="15"/>
        <v>0</v>
      </c>
    </row>
    <row r="116" spans="2:6" ht="20.25" hidden="1">
      <c r="B116" s="461" t="str">
        <f t="shared" si="16"/>
        <v xml:space="preserve">SANTO-ANGELO </v>
      </c>
      <c r="C116" s="472" t="str">
        <f>'1-ABA-DE-CARREGAMENTO'!G33</f>
        <v>A NÃO TEM MAIS POSTOS-22</v>
      </c>
      <c r="D116" s="463">
        <v>0</v>
      </c>
      <c r="E116" s="813" t="e">
        <v>#REF!</v>
      </c>
      <c r="F116" s="814">
        <f t="shared" si="15"/>
        <v>0</v>
      </c>
    </row>
    <row r="117" spans="2:6" ht="20.25" hidden="1">
      <c r="B117" s="461" t="str">
        <f t="shared" si="16"/>
        <v xml:space="preserve">SANTO-ANGELO </v>
      </c>
      <c r="C117" s="472" t="str">
        <f>'1-ABA-DE-CARREGAMENTO'!H33</f>
        <v>A NÃO TEM MAIS POSTOS-33</v>
      </c>
      <c r="D117" s="463">
        <v>0</v>
      </c>
      <c r="E117" s="813" t="e">
        <v>#REF!</v>
      </c>
      <c r="F117" s="814">
        <f t="shared" si="15"/>
        <v>0</v>
      </c>
    </row>
    <row r="118" spans="2:6" ht="20.25" hidden="1">
      <c r="B118" s="461" t="str">
        <f t="shared" si="16"/>
        <v xml:space="preserve">SANTO-ANGELO </v>
      </c>
      <c r="C118" s="472" t="str">
        <f>'1-ABA-DE-CARREGAMENTO'!I33</f>
        <v>A NÃO TEM MAIS POSTOS-44</v>
      </c>
      <c r="D118" s="463">
        <v>0</v>
      </c>
      <c r="E118" s="813" t="e">
        <v>#REF!</v>
      </c>
      <c r="F118" s="814">
        <f t="shared" si="15"/>
        <v>0</v>
      </c>
    </row>
    <row r="119" spans="2:6" ht="20.25" hidden="1">
      <c r="B119" s="461" t="str">
        <f t="shared" si="16"/>
        <v xml:space="preserve">SANTO-ANGELO </v>
      </c>
      <c r="C119" s="472" t="str">
        <f>'1-ABA-DE-CARREGAMENTO'!J33</f>
        <v>A NÃO TEM MAIS POSTOS-55</v>
      </c>
      <c r="D119" s="463">
        <v>0</v>
      </c>
      <c r="E119" s="813" t="e">
        <v>#REF!</v>
      </c>
      <c r="F119" s="814">
        <f t="shared" si="15"/>
        <v>0</v>
      </c>
    </row>
    <row r="120" spans="2:6" ht="20.25" hidden="1">
      <c r="B120" s="461" t="str">
        <f t="shared" si="16"/>
        <v xml:space="preserve">SANTO-ANGELO </v>
      </c>
      <c r="C120" s="472" t="str">
        <f>'1-ABA-DE-CARREGAMENTO'!K33</f>
        <v>A NÃO TEM MAIS POSTOS-66</v>
      </c>
      <c r="D120" s="463">
        <v>0</v>
      </c>
      <c r="E120" s="813" t="e">
        <v>#REF!</v>
      </c>
      <c r="F120" s="814">
        <f t="shared" si="15"/>
        <v>0</v>
      </c>
    </row>
    <row r="121" spans="2:6" ht="20.25" hidden="1">
      <c r="B121" s="461" t="str">
        <f t="shared" si="16"/>
        <v xml:space="preserve">SANTO-ANGELO </v>
      </c>
      <c r="C121" s="472" t="str">
        <f>'1-ABA-DE-CARREGAMENTO'!L33</f>
        <v>A NÃO TEM MAIS POSTOS-77</v>
      </c>
      <c r="D121" s="463">
        <v>0</v>
      </c>
      <c r="E121" s="813" t="e">
        <v>#REF!</v>
      </c>
      <c r="F121" s="814">
        <f t="shared" si="15"/>
        <v>0</v>
      </c>
    </row>
    <row r="122" spans="2:6" ht="20.25" hidden="1">
      <c r="B122" s="461" t="str">
        <f t="shared" si="16"/>
        <v xml:space="preserve">SANTO-ANGELO </v>
      </c>
      <c r="C122" s="472" t="str">
        <f>'1-ABA-DE-CARREGAMENTO'!M33</f>
        <v>A NÃO TEM MAIS POSTOS-88</v>
      </c>
      <c r="D122" s="463">
        <v>0</v>
      </c>
      <c r="E122" s="813" t="e">
        <v>#REF!</v>
      </c>
      <c r="F122" s="814">
        <f t="shared" si="15"/>
        <v>0</v>
      </c>
    </row>
    <row r="123" spans="2:6" ht="20.25" hidden="1">
      <c r="B123" s="461" t="str">
        <f t="shared" si="16"/>
        <v xml:space="preserve">SANTO-ANGELO </v>
      </c>
      <c r="C123" s="472" t="str">
        <f>'1-ABA-DE-CARREGAMENTO'!N33</f>
        <v>A NÃO TEM MAIS POSTOS-99</v>
      </c>
      <c r="D123" s="463">
        <v>0</v>
      </c>
      <c r="E123" s="813" t="e">
        <v>#REF!</v>
      </c>
      <c r="F123" s="814">
        <f t="shared" si="15"/>
        <v>0</v>
      </c>
    </row>
    <row r="124" spans="2:6" ht="20.25">
      <c r="B124" s="474" t="str">
        <f t="shared" si="16"/>
        <v xml:space="preserve">SANTO-ANGELO </v>
      </c>
      <c r="C124" s="474" t="s">
        <v>325</v>
      </c>
      <c r="D124" s="475">
        <f>SUM(D112:D123)</f>
        <v>4</v>
      </c>
      <c r="E124" s="815"/>
      <c r="F124" s="477">
        <f>SUM(F112:F123)</f>
        <v>16751.05</v>
      </c>
    </row>
    <row r="125" spans="2:6" ht="15.75">
      <c r="E125" s="800"/>
      <c r="F125" s="801"/>
    </row>
    <row r="126" spans="2:6" ht="20.25" hidden="1">
      <c r="B126" s="461" t="str">
        <f>CAMPUS.CONTRATANTE!D18</f>
        <v xml:space="preserve">SANTO-AUGUSTO </v>
      </c>
      <c r="C126" s="461" t="str">
        <f>'1-ABA-DE-CARREGAMENTO'!C33</f>
        <v>6210-05_CAPATAZ-Encarreg</v>
      </c>
      <c r="D126" s="463">
        <v>1</v>
      </c>
      <c r="E126" s="813">
        <v>5587.6200000000008</v>
      </c>
      <c r="F126" s="814">
        <f t="shared" ref="F126:F137" si="17">IF(D126=0,0,E126)</f>
        <v>5587.6200000000008</v>
      </c>
    </row>
    <row r="127" spans="2:6" ht="20.25">
      <c r="B127" s="461" t="str">
        <f t="shared" ref="B127:B138" si="18">B126</f>
        <v xml:space="preserve">SANTO-AUGUSTO </v>
      </c>
      <c r="C127" s="461" t="str">
        <f>'1-ABA-DE-CARREGAMENTO'!D33</f>
        <v>6210-05_PEAO-Trabalh.Agropec</v>
      </c>
      <c r="D127" s="463">
        <v>1</v>
      </c>
      <c r="E127" s="813">
        <v>4865.1400000000003</v>
      </c>
      <c r="F127" s="814">
        <f t="shared" si="17"/>
        <v>4865.1400000000003</v>
      </c>
    </row>
    <row r="128" spans="2:6" ht="20.25" hidden="1">
      <c r="B128" s="461" t="str">
        <f t="shared" si="18"/>
        <v xml:space="preserve">SANTO-AUGUSTO </v>
      </c>
      <c r="C128" s="472" t="str">
        <f>'1-ABA-DE-CARREGAMENTO'!E33</f>
        <v>6410-15_TRATORISTA-em-Geral</v>
      </c>
      <c r="D128" s="463">
        <v>0</v>
      </c>
      <c r="E128" s="813">
        <v>5587.6200000000008</v>
      </c>
      <c r="F128" s="814">
        <f t="shared" si="17"/>
        <v>0</v>
      </c>
    </row>
    <row r="129" spans="2:6" ht="20.25" hidden="1">
      <c r="B129" s="461" t="str">
        <f t="shared" si="18"/>
        <v xml:space="preserve">SANTO-AUGUSTO </v>
      </c>
      <c r="C129" s="472" t="str">
        <f>'1-ABA-DE-CARREGAMENTO'!F33</f>
        <v>A NÃO TEM MAIS POSTOS-11</v>
      </c>
      <c r="D129" s="463">
        <v>0</v>
      </c>
      <c r="E129" s="813" t="e">
        <v>#REF!</v>
      </c>
      <c r="F129" s="814">
        <f t="shared" si="17"/>
        <v>0</v>
      </c>
    </row>
    <row r="130" spans="2:6" ht="20.25" hidden="1">
      <c r="B130" s="461" t="str">
        <f t="shared" si="18"/>
        <v xml:space="preserve">SANTO-AUGUSTO </v>
      </c>
      <c r="C130" s="472" t="str">
        <f>'1-ABA-DE-CARREGAMENTO'!G33</f>
        <v>A NÃO TEM MAIS POSTOS-22</v>
      </c>
      <c r="D130" s="463">
        <v>0</v>
      </c>
      <c r="E130" s="813" t="e">
        <v>#REF!</v>
      </c>
      <c r="F130" s="814">
        <f t="shared" si="17"/>
        <v>0</v>
      </c>
    </row>
    <row r="131" spans="2:6" ht="20.25" hidden="1">
      <c r="B131" s="461" t="str">
        <f t="shared" si="18"/>
        <v xml:space="preserve">SANTO-AUGUSTO </v>
      </c>
      <c r="C131" s="472" t="str">
        <f>'1-ABA-DE-CARREGAMENTO'!H33</f>
        <v>A NÃO TEM MAIS POSTOS-33</v>
      </c>
      <c r="D131" s="463">
        <v>0</v>
      </c>
      <c r="E131" s="813" t="e">
        <v>#REF!</v>
      </c>
      <c r="F131" s="814">
        <f t="shared" si="17"/>
        <v>0</v>
      </c>
    </row>
    <row r="132" spans="2:6" ht="20.25" hidden="1">
      <c r="B132" s="461" t="str">
        <f t="shared" si="18"/>
        <v xml:space="preserve">SANTO-AUGUSTO </v>
      </c>
      <c r="C132" s="472" t="str">
        <f>'1-ABA-DE-CARREGAMENTO'!I33</f>
        <v>A NÃO TEM MAIS POSTOS-44</v>
      </c>
      <c r="D132" s="463">
        <v>0</v>
      </c>
      <c r="E132" s="813" t="e">
        <v>#REF!</v>
      </c>
      <c r="F132" s="814">
        <f t="shared" si="17"/>
        <v>0</v>
      </c>
    </row>
    <row r="133" spans="2:6" ht="20.25" hidden="1">
      <c r="B133" s="461" t="str">
        <f t="shared" si="18"/>
        <v xml:space="preserve">SANTO-AUGUSTO </v>
      </c>
      <c r="C133" s="472" t="str">
        <f>'1-ABA-DE-CARREGAMENTO'!J33</f>
        <v>A NÃO TEM MAIS POSTOS-55</v>
      </c>
      <c r="D133" s="463">
        <v>0</v>
      </c>
      <c r="E133" s="813" t="e">
        <v>#REF!</v>
      </c>
      <c r="F133" s="814">
        <f t="shared" si="17"/>
        <v>0</v>
      </c>
    </row>
    <row r="134" spans="2:6" ht="20.25" hidden="1">
      <c r="B134" s="461" t="str">
        <f t="shared" si="18"/>
        <v xml:space="preserve">SANTO-AUGUSTO </v>
      </c>
      <c r="C134" s="472" t="str">
        <f>'1-ABA-DE-CARREGAMENTO'!K33</f>
        <v>A NÃO TEM MAIS POSTOS-66</v>
      </c>
      <c r="D134" s="463">
        <v>0</v>
      </c>
      <c r="E134" s="813" t="e">
        <v>#REF!</v>
      </c>
      <c r="F134" s="814">
        <f t="shared" si="17"/>
        <v>0</v>
      </c>
    </row>
    <row r="135" spans="2:6" ht="20.25" hidden="1">
      <c r="B135" s="461" t="str">
        <f t="shared" si="18"/>
        <v xml:space="preserve">SANTO-AUGUSTO </v>
      </c>
      <c r="C135" s="472" t="str">
        <f>'1-ABA-DE-CARREGAMENTO'!L33</f>
        <v>A NÃO TEM MAIS POSTOS-77</v>
      </c>
      <c r="D135" s="463">
        <v>0</v>
      </c>
      <c r="E135" s="813" t="e">
        <v>#REF!</v>
      </c>
      <c r="F135" s="814">
        <f t="shared" si="17"/>
        <v>0</v>
      </c>
    </row>
    <row r="136" spans="2:6" ht="20.25" hidden="1">
      <c r="B136" s="461" t="str">
        <f t="shared" si="18"/>
        <v xml:space="preserve">SANTO-AUGUSTO </v>
      </c>
      <c r="C136" s="472" t="str">
        <f>'1-ABA-DE-CARREGAMENTO'!M33</f>
        <v>A NÃO TEM MAIS POSTOS-88</v>
      </c>
      <c r="D136" s="463">
        <v>0</v>
      </c>
      <c r="E136" s="813" t="e">
        <v>#REF!</v>
      </c>
      <c r="F136" s="814">
        <f t="shared" si="17"/>
        <v>0</v>
      </c>
    </row>
    <row r="137" spans="2:6" ht="20.25" hidden="1">
      <c r="B137" s="461" t="str">
        <f t="shared" si="18"/>
        <v xml:space="preserve">SANTO-AUGUSTO </v>
      </c>
      <c r="C137" s="472" t="str">
        <f>'1-ABA-DE-CARREGAMENTO'!N33</f>
        <v>A NÃO TEM MAIS POSTOS-99</v>
      </c>
      <c r="D137" s="463">
        <v>0</v>
      </c>
      <c r="E137" s="813" t="e">
        <v>#REF!</v>
      </c>
      <c r="F137" s="814">
        <f t="shared" si="17"/>
        <v>0</v>
      </c>
    </row>
    <row r="138" spans="2:6" ht="20.25">
      <c r="B138" s="474" t="str">
        <f t="shared" si="18"/>
        <v xml:space="preserve">SANTO-AUGUSTO </v>
      </c>
      <c r="C138" s="474" t="s">
        <v>325</v>
      </c>
      <c r="D138" s="475">
        <f>SUM(D126:D137)</f>
        <v>2</v>
      </c>
      <c r="E138" s="815"/>
      <c r="F138" s="477">
        <f>SUM(F126:F137)</f>
        <v>10452.760000000002</v>
      </c>
    </row>
    <row r="139" spans="2:6" ht="15.75" hidden="1">
      <c r="E139" s="800"/>
      <c r="F139" s="801"/>
    </row>
    <row r="140" spans="2:6" ht="20.25" hidden="1">
      <c r="B140" s="461" t="str">
        <f>CAMPUS.CONTRATANTE!D19</f>
        <v xml:space="preserve">SAO-BORJA </v>
      </c>
      <c r="C140" s="461" t="str">
        <f>'1-ABA-DE-CARREGAMENTO'!C33</f>
        <v>6210-05_CAPATAZ-Encarreg</v>
      </c>
      <c r="D140" s="463">
        <v>0</v>
      </c>
      <c r="E140" s="813" t="e">
        <v>#DIV/0!</v>
      </c>
      <c r="F140" s="814">
        <f t="shared" ref="F140:F151" si="19">IF(D140=0,0,E140)</f>
        <v>0</v>
      </c>
    </row>
    <row r="141" spans="2:6" ht="20.25" hidden="1">
      <c r="B141" s="461" t="str">
        <f t="shared" ref="B141:B152" si="20">B140</f>
        <v xml:space="preserve">SAO-BORJA </v>
      </c>
      <c r="C141" s="461" t="str">
        <f>'1-ABA-DE-CARREGAMENTO'!D33</f>
        <v>6210-05_PEAO-Trabalh.Agropec</v>
      </c>
      <c r="D141" s="463">
        <v>0</v>
      </c>
      <c r="E141" s="813" t="e">
        <v>#DIV/0!</v>
      </c>
      <c r="F141" s="814">
        <f t="shared" si="19"/>
        <v>0</v>
      </c>
    </row>
    <row r="142" spans="2:6" ht="20.25" hidden="1">
      <c r="B142" s="461" t="str">
        <f t="shared" si="20"/>
        <v xml:space="preserve">SAO-BORJA </v>
      </c>
      <c r="C142" s="472" t="str">
        <f>'1-ABA-DE-CARREGAMENTO'!E33</f>
        <v>6410-15_TRATORISTA-em-Geral</v>
      </c>
      <c r="D142" s="463">
        <v>0</v>
      </c>
      <c r="E142" s="813" t="e">
        <v>#DIV/0!</v>
      </c>
      <c r="F142" s="814">
        <f t="shared" si="19"/>
        <v>0</v>
      </c>
    </row>
    <row r="143" spans="2:6" ht="20.25" hidden="1">
      <c r="B143" s="461" t="str">
        <f t="shared" si="20"/>
        <v xml:space="preserve">SAO-BORJA </v>
      </c>
      <c r="C143" s="472" t="str">
        <f>'1-ABA-DE-CARREGAMENTO'!F33</f>
        <v>A NÃO TEM MAIS POSTOS-11</v>
      </c>
      <c r="D143" s="463">
        <v>0</v>
      </c>
      <c r="E143" s="813" t="e">
        <v>#REF!</v>
      </c>
      <c r="F143" s="814">
        <f t="shared" si="19"/>
        <v>0</v>
      </c>
    </row>
    <row r="144" spans="2:6" ht="20.25" hidden="1">
      <c r="B144" s="461" t="str">
        <f t="shared" si="20"/>
        <v xml:space="preserve">SAO-BORJA </v>
      </c>
      <c r="C144" s="472" t="str">
        <f>'1-ABA-DE-CARREGAMENTO'!G33</f>
        <v>A NÃO TEM MAIS POSTOS-22</v>
      </c>
      <c r="D144" s="463">
        <v>0</v>
      </c>
      <c r="E144" s="813" t="e">
        <v>#REF!</v>
      </c>
      <c r="F144" s="814">
        <f t="shared" si="19"/>
        <v>0</v>
      </c>
    </row>
    <row r="145" spans="2:6" ht="20.25" hidden="1">
      <c r="B145" s="461" t="str">
        <f t="shared" si="20"/>
        <v xml:space="preserve">SAO-BORJA </v>
      </c>
      <c r="C145" s="472" t="str">
        <f>'1-ABA-DE-CARREGAMENTO'!H33</f>
        <v>A NÃO TEM MAIS POSTOS-33</v>
      </c>
      <c r="D145" s="463">
        <v>0</v>
      </c>
      <c r="E145" s="813" t="e">
        <v>#REF!</v>
      </c>
      <c r="F145" s="814">
        <f t="shared" si="19"/>
        <v>0</v>
      </c>
    </row>
    <row r="146" spans="2:6" ht="20.25" hidden="1">
      <c r="B146" s="461" t="str">
        <f t="shared" si="20"/>
        <v xml:space="preserve">SAO-BORJA </v>
      </c>
      <c r="C146" s="472" t="str">
        <f>'1-ABA-DE-CARREGAMENTO'!I33</f>
        <v>A NÃO TEM MAIS POSTOS-44</v>
      </c>
      <c r="D146" s="463">
        <v>0</v>
      </c>
      <c r="E146" s="813" t="e">
        <v>#REF!</v>
      </c>
      <c r="F146" s="814">
        <f t="shared" si="19"/>
        <v>0</v>
      </c>
    </row>
    <row r="147" spans="2:6" ht="20.25" hidden="1">
      <c r="B147" s="461" t="str">
        <f t="shared" si="20"/>
        <v xml:space="preserve">SAO-BORJA </v>
      </c>
      <c r="C147" s="472" t="str">
        <f>'1-ABA-DE-CARREGAMENTO'!J33</f>
        <v>A NÃO TEM MAIS POSTOS-55</v>
      </c>
      <c r="D147" s="463">
        <v>0</v>
      </c>
      <c r="E147" s="813" t="e">
        <v>#REF!</v>
      </c>
      <c r="F147" s="814">
        <f t="shared" si="19"/>
        <v>0</v>
      </c>
    </row>
    <row r="148" spans="2:6" ht="20.25" hidden="1">
      <c r="B148" s="461" t="str">
        <f t="shared" si="20"/>
        <v xml:space="preserve">SAO-BORJA </v>
      </c>
      <c r="C148" s="472" t="str">
        <f>'1-ABA-DE-CARREGAMENTO'!K33</f>
        <v>A NÃO TEM MAIS POSTOS-66</v>
      </c>
      <c r="D148" s="463">
        <v>0</v>
      </c>
      <c r="E148" s="813" t="e">
        <v>#REF!</v>
      </c>
      <c r="F148" s="814">
        <f t="shared" si="19"/>
        <v>0</v>
      </c>
    </row>
    <row r="149" spans="2:6" ht="20.25" hidden="1">
      <c r="B149" s="461" t="str">
        <f t="shared" si="20"/>
        <v xml:space="preserve">SAO-BORJA </v>
      </c>
      <c r="C149" s="472" t="str">
        <f>'1-ABA-DE-CARREGAMENTO'!L33</f>
        <v>A NÃO TEM MAIS POSTOS-77</v>
      </c>
      <c r="D149" s="463">
        <v>0</v>
      </c>
      <c r="E149" s="813" t="e">
        <v>#REF!</v>
      </c>
      <c r="F149" s="814">
        <f t="shared" si="19"/>
        <v>0</v>
      </c>
    </row>
    <row r="150" spans="2:6" ht="20.25" hidden="1">
      <c r="B150" s="461" t="str">
        <f t="shared" si="20"/>
        <v xml:space="preserve">SAO-BORJA </v>
      </c>
      <c r="C150" s="472" t="str">
        <f>'1-ABA-DE-CARREGAMENTO'!M33</f>
        <v>A NÃO TEM MAIS POSTOS-88</v>
      </c>
      <c r="D150" s="463">
        <v>0</v>
      </c>
      <c r="E150" s="813" t="e">
        <v>#REF!</v>
      </c>
      <c r="F150" s="814">
        <f t="shared" si="19"/>
        <v>0</v>
      </c>
    </row>
    <row r="151" spans="2:6" ht="20.25" hidden="1">
      <c r="B151" s="461" t="str">
        <f t="shared" si="20"/>
        <v xml:space="preserve">SAO-BORJA </v>
      </c>
      <c r="C151" s="472" t="str">
        <f>'1-ABA-DE-CARREGAMENTO'!N33</f>
        <v>A NÃO TEM MAIS POSTOS-99</v>
      </c>
      <c r="D151" s="463">
        <v>0</v>
      </c>
      <c r="E151" s="813" t="e">
        <v>#REF!</v>
      </c>
      <c r="F151" s="814">
        <f t="shared" si="19"/>
        <v>0</v>
      </c>
    </row>
    <row r="152" spans="2:6" ht="20.25" hidden="1">
      <c r="B152" s="474" t="str">
        <f t="shared" si="20"/>
        <v xml:space="preserve">SAO-BORJA </v>
      </c>
      <c r="C152" s="474" t="s">
        <v>325</v>
      </c>
      <c r="D152" s="475">
        <f t="shared" ref="D152:F152" si="21">SUM(D140:D151)</f>
        <v>0</v>
      </c>
      <c r="E152" s="815" t="e">
        <f t="shared" si="21"/>
        <v>#DIV/0!</v>
      </c>
      <c r="F152" s="477">
        <f t="shared" si="21"/>
        <v>0</v>
      </c>
    </row>
    <row r="153" spans="2:6" ht="15.75">
      <c r="E153" s="800"/>
      <c r="F153" s="801"/>
    </row>
    <row r="154" spans="2:6" ht="20.25">
      <c r="B154" s="461" t="str">
        <f>CAMPUS.CONTRATANTE!D20</f>
        <v>SAO-VICENTE-DO-SUL</v>
      </c>
      <c r="C154" s="461" t="str">
        <f>'1-ABA-DE-CARREGAMENTO'!C33</f>
        <v>6210-05_CAPATAZ-Encarreg</v>
      </c>
      <c r="D154" s="463">
        <v>1</v>
      </c>
      <c r="E154" s="813">
        <v>6818.6900000000005</v>
      </c>
      <c r="F154" s="814">
        <f t="shared" ref="F154:F165" si="22">IF(D154=0,0,E154)</f>
        <v>6818.6900000000005</v>
      </c>
    </row>
    <row r="155" spans="2:6" ht="20.25">
      <c r="B155" s="461" t="str">
        <f t="shared" ref="B155:B166" si="23">B154</f>
        <v>SAO-VICENTE-DO-SUL</v>
      </c>
      <c r="C155" s="461" t="str">
        <f>'1-ABA-DE-CARREGAMENTO'!D33</f>
        <v>6210-05_PEAO-Trabalh.Agropec</v>
      </c>
      <c r="D155" s="463">
        <v>7</v>
      </c>
      <c r="E155" s="813">
        <v>5843.76</v>
      </c>
      <c r="F155" s="814">
        <f t="shared" si="22"/>
        <v>5843.76</v>
      </c>
    </row>
    <row r="156" spans="2:6" ht="20.25">
      <c r="B156" s="461" t="str">
        <f t="shared" si="23"/>
        <v>SAO-VICENTE-DO-SUL</v>
      </c>
      <c r="C156" s="472" t="str">
        <f>'1-ABA-DE-CARREGAMENTO'!E33</f>
        <v>6410-15_TRATORISTA-em-Geral</v>
      </c>
      <c r="D156" s="463">
        <v>2</v>
      </c>
      <c r="E156" s="813">
        <v>5984.7</v>
      </c>
      <c r="F156" s="814">
        <f t="shared" si="22"/>
        <v>5984.7</v>
      </c>
    </row>
    <row r="157" spans="2:6" ht="20.25" hidden="1">
      <c r="B157" s="461" t="str">
        <f t="shared" si="23"/>
        <v>SAO-VICENTE-DO-SUL</v>
      </c>
      <c r="C157" s="472" t="str">
        <f>'1-ABA-DE-CARREGAMENTO'!F33</f>
        <v>A NÃO TEM MAIS POSTOS-11</v>
      </c>
      <c r="D157" s="463">
        <v>0</v>
      </c>
      <c r="E157" s="813" t="e">
        <v>#REF!</v>
      </c>
      <c r="F157" s="814">
        <f t="shared" si="22"/>
        <v>0</v>
      </c>
    </row>
    <row r="158" spans="2:6" ht="20.25" hidden="1">
      <c r="B158" s="461" t="str">
        <f t="shared" si="23"/>
        <v>SAO-VICENTE-DO-SUL</v>
      </c>
      <c r="C158" s="472" t="str">
        <f>'1-ABA-DE-CARREGAMENTO'!G33</f>
        <v>A NÃO TEM MAIS POSTOS-22</v>
      </c>
      <c r="D158" s="463">
        <v>0</v>
      </c>
      <c r="E158" s="813" t="e">
        <v>#REF!</v>
      </c>
      <c r="F158" s="814">
        <f t="shared" si="22"/>
        <v>0</v>
      </c>
    </row>
    <row r="159" spans="2:6" ht="20.25" hidden="1">
      <c r="B159" s="461" t="str">
        <f t="shared" si="23"/>
        <v>SAO-VICENTE-DO-SUL</v>
      </c>
      <c r="C159" s="472" t="str">
        <f>'1-ABA-DE-CARREGAMENTO'!H33</f>
        <v>A NÃO TEM MAIS POSTOS-33</v>
      </c>
      <c r="D159" s="463">
        <v>0</v>
      </c>
      <c r="E159" s="813" t="e">
        <v>#REF!</v>
      </c>
      <c r="F159" s="814">
        <f t="shared" si="22"/>
        <v>0</v>
      </c>
    </row>
    <row r="160" spans="2:6" ht="20.25" hidden="1">
      <c r="B160" s="461" t="str">
        <f t="shared" si="23"/>
        <v>SAO-VICENTE-DO-SUL</v>
      </c>
      <c r="C160" s="472" t="str">
        <f>'1-ABA-DE-CARREGAMENTO'!I33</f>
        <v>A NÃO TEM MAIS POSTOS-44</v>
      </c>
      <c r="D160" s="463">
        <v>0</v>
      </c>
      <c r="E160" s="813" t="e">
        <v>#REF!</v>
      </c>
      <c r="F160" s="814">
        <f t="shared" si="22"/>
        <v>0</v>
      </c>
    </row>
    <row r="161" spans="2:6" ht="20.25" hidden="1">
      <c r="B161" s="461" t="str">
        <f t="shared" si="23"/>
        <v>SAO-VICENTE-DO-SUL</v>
      </c>
      <c r="C161" s="472" t="str">
        <f>'1-ABA-DE-CARREGAMENTO'!J33</f>
        <v>A NÃO TEM MAIS POSTOS-55</v>
      </c>
      <c r="D161" s="463">
        <v>0</v>
      </c>
      <c r="E161" s="813" t="e">
        <v>#REF!</v>
      </c>
      <c r="F161" s="814">
        <f t="shared" si="22"/>
        <v>0</v>
      </c>
    </row>
    <row r="162" spans="2:6" ht="20.25" hidden="1">
      <c r="B162" s="461" t="str">
        <f t="shared" si="23"/>
        <v>SAO-VICENTE-DO-SUL</v>
      </c>
      <c r="C162" s="472" t="str">
        <f>'1-ABA-DE-CARREGAMENTO'!K33</f>
        <v>A NÃO TEM MAIS POSTOS-66</v>
      </c>
      <c r="D162" s="463">
        <v>0</v>
      </c>
      <c r="E162" s="813" t="e">
        <v>#REF!</v>
      </c>
      <c r="F162" s="814">
        <f t="shared" si="22"/>
        <v>0</v>
      </c>
    </row>
    <row r="163" spans="2:6" ht="20.25" hidden="1">
      <c r="B163" s="461" t="str">
        <f t="shared" si="23"/>
        <v>SAO-VICENTE-DO-SUL</v>
      </c>
      <c r="C163" s="472" t="str">
        <f>'1-ABA-DE-CARREGAMENTO'!L33</f>
        <v>A NÃO TEM MAIS POSTOS-77</v>
      </c>
      <c r="D163" s="463">
        <v>0</v>
      </c>
      <c r="E163" s="813" t="e">
        <v>#REF!</v>
      </c>
      <c r="F163" s="814">
        <f t="shared" si="22"/>
        <v>0</v>
      </c>
    </row>
    <row r="164" spans="2:6" ht="20.25" hidden="1">
      <c r="B164" s="461" t="str">
        <f t="shared" si="23"/>
        <v>SAO-VICENTE-DO-SUL</v>
      </c>
      <c r="C164" s="472" t="str">
        <f>'1-ABA-DE-CARREGAMENTO'!M33</f>
        <v>A NÃO TEM MAIS POSTOS-88</v>
      </c>
      <c r="D164" s="463">
        <v>0</v>
      </c>
      <c r="E164" s="813" t="e">
        <v>#REF!</v>
      </c>
      <c r="F164" s="814">
        <f t="shared" si="22"/>
        <v>0</v>
      </c>
    </row>
    <row r="165" spans="2:6" ht="20.25" hidden="1">
      <c r="B165" s="461" t="str">
        <f t="shared" si="23"/>
        <v>SAO-VICENTE-DO-SUL</v>
      </c>
      <c r="C165" s="472" t="str">
        <f>'1-ABA-DE-CARREGAMENTO'!N33</f>
        <v>A NÃO TEM MAIS POSTOS-99</v>
      </c>
      <c r="D165" s="463">
        <v>0</v>
      </c>
      <c r="E165" s="813" t="e">
        <v>#REF!</v>
      </c>
      <c r="F165" s="814">
        <f t="shared" si="22"/>
        <v>0</v>
      </c>
    </row>
    <row r="166" spans="2:6" ht="20.25">
      <c r="B166" s="474" t="str">
        <f t="shared" si="23"/>
        <v>SAO-VICENTE-DO-SUL</v>
      </c>
      <c r="C166" s="474" t="s">
        <v>325</v>
      </c>
      <c r="D166" s="475">
        <f>SUM(D154:D165)</f>
        <v>10</v>
      </c>
      <c r="E166" s="815"/>
      <c r="F166" s="477">
        <f>SUM(F154:F165)</f>
        <v>18647.150000000001</v>
      </c>
    </row>
    <row r="167" spans="2:6" ht="15.75">
      <c r="E167" s="800"/>
      <c r="F167" s="801"/>
    </row>
    <row r="168" spans="2:6" ht="20.25">
      <c r="B168" s="461" t="str">
        <f>CAMPUS.CONTRATANTE!D21</f>
        <v>URUGUAIANA</v>
      </c>
      <c r="C168" s="461" t="str">
        <f>'1-ABA-DE-CARREGAMENTO'!C33</f>
        <v>6210-05_CAPATAZ-Encarreg</v>
      </c>
      <c r="D168" s="463">
        <v>0</v>
      </c>
      <c r="E168" s="813" t="e">
        <v>#REF!</v>
      </c>
      <c r="F168" s="814">
        <f t="shared" ref="F168:F179" si="24">IF(D168=0,0,E168)</f>
        <v>0</v>
      </c>
    </row>
    <row r="169" spans="2:6" ht="20.25">
      <c r="B169" s="461" t="str">
        <f t="shared" ref="B169:B180" si="25">B168</f>
        <v>URUGUAIANA</v>
      </c>
      <c r="C169" s="461" t="str">
        <f>'1-ABA-DE-CARREGAMENTO'!D33</f>
        <v>6210-05_PEAO-Trabalh.Agropec</v>
      </c>
      <c r="D169" s="463">
        <v>0</v>
      </c>
      <c r="E169" s="813" t="e">
        <v>#REF!</v>
      </c>
      <c r="F169" s="814">
        <f t="shared" si="24"/>
        <v>0</v>
      </c>
    </row>
    <row r="170" spans="2:6" ht="20.25">
      <c r="B170" s="461" t="str">
        <f t="shared" si="25"/>
        <v>URUGUAIANA</v>
      </c>
      <c r="C170" s="472" t="str">
        <f>'1-ABA-DE-CARREGAMENTO'!E33</f>
        <v>6410-15_TRATORISTA-em-Geral</v>
      </c>
      <c r="D170" s="463">
        <v>0</v>
      </c>
      <c r="E170" s="813" t="e">
        <v>#REF!</v>
      </c>
      <c r="F170" s="814">
        <f t="shared" si="24"/>
        <v>0</v>
      </c>
    </row>
    <row r="171" spans="2:6" ht="20.25">
      <c r="B171" s="461" t="str">
        <f t="shared" si="25"/>
        <v>URUGUAIANA</v>
      </c>
      <c r="C171" s="472" t="str">
        <f>'1-ABA-DE-CARREGAMENTO'!F33</f>
        <v>A NÃO TEM MAIS POSTOS-11</v>
      </c>
      <c r="D171" s="463">
        <v>0</v>
      </c>
      <c r="E171" s="813" t="e">
        <v>#REF!</v>
      </c>
      <c r="F171" s="814">
        <f t="shared" si="24"/>
        <v>0</v>
      </c>
    </row>
    <row r="172" spans="2:6" ht="20.25">
      <c r="B172" s="461" t="str">
        <f t="shared" si="25"/>
        <v>URUGUAIANA</v>
      </c>
      <c r="C172" s="472" t="str">
        <f>'1-ABA-DE-CARREGAMENTO'!G33</f>
        <v>A NÃO TEM MAIS POSTOS-22</v>
      </c>
      <c r="D172" s="463">
        <v>0</v>
      </c>
      <c r="E172" s="813" t="e">
        <v>#REF!</v>
      </c>
      <c r="F172" s="814">
        <f t="shared" si="24"/>
        <v>0</v>
      </c>
    </row>
    <row r="173" spans="2:6" ht="20.25">
      <c r="B173" s="461" t="str">
        <f t="shared" si="25"/>
        <v>URUGUAIANA</v>
      </c>
      <c r="C173" s="472" t="str">
        <f>'1-ABA-DE-CARREGAMENTO'!H33</f>
        <v>A NÃO TEM MAIS POSTOS-33</v>
      </c>
      <c r="D173" s="463">
        <v>0</v>
      </c>
      <c r="E173" s="813" t="e">
        <v>#REF!</v>
      </c>
      <c r="F173" s="814">
        <f t="shared" si="24"/>
        <v>0</v>
      </c>
    </row>
    <row r="174" spans="2:6" ht="20.25">
      <c r="B174" s="461" t="str">
        <f t="shared" si="25"/>
        <v>URUGUAIANA</v>
      </c>
      <c r="C174" s="472" t="str">
        <f>'1-ABA-DE-CARREGAMENTO'!I33</f>
        <v>A NÃO TEM MAIS POSTOS-44</v>
      </c>
      <c r="D174" s="463">
        <v>0</v>
      </c>
      <c r="E174" s="813" t="e">
        <v>#REF!</v>
      </c>
      <c r="F174" s="814">
        <f t="shared" si="24"/>
        <v>0</v>
      </c>
    </row>
    <row r="175" spans="2:6" ht="20.25">
      <c r="B175" s="461" t="str">
        <f t="shared" si="25"/>
        <v>URUGUAIANA</v>
      </c>
      <c r="C175" s="472" t="str">
        <f>'1-ABA-DE-CARREGAMENTO'!J33</f>
        <v>A NÃO TEM MAIS POSTOS-55</v>
      </c>
      <c r="D175" s="463">
        <v>0</v>
      </c>
      <c r="E175" s="813" t="e">
        <v>#REF!</v>
      </c>
      <c r="F175" s="814">
        <f t="shared" si="24"/>
        <v>0</v>
      </c>
    </row>
    <row r="176" spans="2:6" ht="20.25">
      <c r="B176" s="461" t="str">
        <f t="shared" si="25"/>
        <v>URUGUAIANA</v>
      </c>
      <c r="C176" s="472" t="str">
        <f>'1-ABA-DE-CARREGAMENTO'!K33</f>
        <v>A NÃO TEM MAIS POSTOS-66</v>
      </c>
      <c r="D176" s="463">
        <v>0</v>
      </c>
      <c r="E176" s="813" t="e">
        <v>#REF!</v>
      </c>
      <c r="F176" s="814">
        <f t="shared" si="24"/>
        <v>0</v>
      </c>
    </row>
    <row r="177" spans="2:6" ht="20.25">
      <c r="B177" s="461" t="str">
        <f t="shared" si="25"/>
        <v>URUGUAIANA</v>
      </c>
      <c r="C177" s="472" t="str">
        <f>'1-ABA-DE-CARREGAMENTO'!L33</f>
        <v>A NÃO TEM MAIS POSTOS-77</v>
      </c>
      <c r="D177" s="463">
        <v>0</v>
      </c>
      <c r="E177" s="813" t="e">
        <v>#REF!</v>
      </c>
      <c r="F177" s="814">
        <f t="shared" si="24"/>
        <v>0</v>
      </c>
    </row>
    <row r="178" spans="2:6" ht="20.25">
      <c r="B178" s="461" t="str">
        <f t="shared" si="25"/>
        <v>URUGUAIANA</v>
      </c>
      <c r="C178" s="472" t="str">
        <f>'1-ABA-DE-CARREGAMENTO'!M33</f>
        <v>A NÃO TEM MAIS POSTOS-88</v>
      </c>
      <c r="D178" s="463">
        <v>0</v>
      </c>
      <c r="E178" s="813" t="e">
        <v>#REF!</v>
      </c>
      <c r="F178" s="814">
        <f t="shared" si="24"/>
        <v>0</v>
      </c>
    </row>
    <row r="179" spans="2:6" ht="20.25">
      <c r="B179" s="461" t="str">
        <f t="shared" si="25"/>
        <v>URUGUAIANA</v>
      </c>
      <c r="C179" s="472" t="str">
        <f>'1-ABA-DE-CARREGAMENTO'!N33</f>
        <v>A NÃO TEM MAIS POSTOS-99</v>
      </c>
      <c r="D179" s="463">
        <v>0</v>
      </c>
      <c r="E179" s="813" t="e">
        <v>#REF!</v>
      </c>
      <c r="F179" s="814">
        <f t="shared" si="24"/>
        <v>0</v>
      </c>
    </row>
    <row r="180" spans="2:6" ht="20.25">
      <c r="B180" s="474" t="str">
        <f t="shared" si="25"/>
        <v>URUGUAIANA</v>
      </c>
      <c r="C180" s="474" t="s">
        <v>325</v>
      </c>
      <c r="D180" s="475">
        <f>SUM(D168:D179)</f>
        <v>0</v>
      </c>
      <c r="E180" s="815"/>
      <c r="F180" s="477">
        <f>SUM(F168:F179)</f>
        <v>0</v>
      </c>
    </row>
    <row r="181" spans="2:6" ht="15.75">
      <c r="E181" s="800"/>
      <c r="F181" s="801"/>
    </row>
    <row r="182" spans="2:6" ht="20.25">
      <c r="B182" s="818" t="s">
        <v>1308</v>
      </c>
      <c r="C182" s="819"/>
      <c r="D182" s="820">
        <f>D180+D166+D152+D138+D124+D110+D82+D68+D54+D40+D26</f>
        <v>50</v>
      </c>
      <c r="E182" s="821"/>
      <c r="F182" s="822">
        <f>F180+F166+F152+F138+F124+F110+F96+F82+F68+F54+F40+F26</f>
        <v>142210.49000000002</v>
      </c>
    </row>
    <row r="183" spans="2:6" ht="15.75">
      <c r="E183" s="800"/>
      <c r="F183" s="801"/>
    </row>
    <row r="184" spans="2:6" ht="15.75">
      <c r="E184" s="800"/>
      <c r="F184" s="801"/>
    </row>
    <row r="185" spans="2:6" ht="15.75">
      <c r="E185" s="800"/>
      <c r="F185" s="801"/>
    </row>
    <row r="186" spans="2:6" ht="15.75">
      <c r="E186" s="800"/>
      <c r="F186" s="801"/>
    </row>
    <row r="187" spans="2:6" ht="15.75">
      <c r="E187" s="800"/>
      <c r="F187" s="801"/>
    </row>
    <row r="188" spans="2:6" ht="15.75">
      <c r="E188" s="800"/>
      <c r="F188" s="801"/>
    </row>
    <row r="189" spans="2:6" ht="15.75">
      <c r="E189" s="800"/>
      <c r="F189" s="801"/>
    </row>
    <row r="190" spans="2:6" ht="15.75">
      <c r="E190" s="800"/>
      <c r="F190" s="801"/>
    </row>
    <row r="191" spans="2:6" ht="15.75">
      <c r="E191" s="800"/>
      <c r="F191" s="801"/>
    </row>
    <row r="192" spans="2:6" ht="15.75">
      <c r="E192" s="800"/>
      <c r="F192" s="801"/>
    </row>
    <row r="193" spans="5:6" ht="15.75">
      <c r="E193" s="800"/>
      <c r="F193" s="801"/>
    </row>
    <row r="194" spans="5:6" ht="15.75">
      <c r="E194" s="800"/>
      <c r="F194" s="801"/>
    </row>
    <row r="195" spans="5:6" ht="15.75">
      <c r="E195" s="800"/>
      <c r="F195" s="801"/>
    </row>
    <row r="196" spans="5:6" ht="15.75">
      <c r="E196" s="800"/>
      <c r="F196" s="801"/>
    </row>
    <row r="197" spans="5:6" ht="15.75">
      <c r="E197" s="800"/>
      <c r="F197" s="801"/>
    </row>
    <row r="198" spans="5:6" ht="15.75">
      <c r="E198" s="800"/>
      <c r="F198" s="801"/>
    </row>
    <row r="199" spans="5:6" ht="15.75">
      <c r="E199" s="800"/>
      <c r="F199" s="801"/>
    </row>
    <row r="200" spans="5:6" ht="15.75">
      <c r="E200" s="800"/>
      <c r="F200" s="801"/>
    </row>
    <row r="201" spans="5:6" ht="15.75">
      <c r="E201" s="800"/>
      <c r="F201" s="801"/>
    </row>
    <row r="202" spans="5:6" ht="15.75">
      <c r="E202" s="800"/>
      <c r="F202" s="801"/>
    </row>
    <row r="203" spans="5:6" ht="15.75">
      <c r="E203" s="800"/>
      <c r="F203" s="801"/>
    </row>
    <row r="204" spans="5:6" ht="15.75">
      <c r="E204" s="800"/>
      <c r="F204" s="801"/>
    </row>
    <row r="205" spans="5:6" ht="15.75">
      <c r="E205" s="800"/>
      <c r="F205" s="801"/>
    </row>
    <row r="206" spans="5:6" ht="15.75">
      <c r="E206" s="800"/>
      <c r="F206" s="801"/>
    </row>
    <row r="207" spans="5:6" ht="15.75">
      <c r="E207" s="800"/>
      <c r="F207" s="801"/>
    </row>
    <row r="208" spans="5:6" ht="15.75">
      <c r="E208" s="800"/>
      <c r="F208" s="801"/>
    </row>
    <row r="209" spans="5:6" ht="15.75">
      <c r="E209" s="800"/>
      <c r="F209" s="801"/>
    </row>
    <row r="210" spans="5:6" ht="15.75">
      <c r="E210" s="800"/>
      <c r="F210" s="801"/>
    </row>
    <row r="211" spans="5:6" ht="15.75">
      <c r="E211" s="800"/>
      <c r="F211" s="801"/>
    </row>
    <row r="212" spans="5:6" ht="15.75">
      <c r="E212" s="800"/>
      <c r="F212" s="801"/>
    </row>
    <row r="213" spans="5:6" ht="15.75">
      <c r="E213" s="800"/>
      <c r="F213" s="801"/>
    </row>
    <row r="214" spans="5:6" ht="15.75">
      <c r="E214" s="800"/>
      <c r="F214" s="801"/>
    </row>
    <row r="215" spans="5:6" ht="15.75">
      <c r="E215" s="800"/>
      <c r="F215" s="801"/>
    </row>
    <row r="216" spans="5:6" ht="15.75">
      <c r="E216" s="800"/>
      <c r="F216" s="801"/>
    </row>
    <row r="217" spans="5:6" ht="15.75">
      <c r="E217" s="800"/>
      <c r="F217" s="801"/>
    </row>
    <row r="218" spans="5:6" ht="15.75">
      <c r="E218" s="800"/>
      <c r="F218" s="801"/>
    </row>
    <row r="219" spans="5:6" ht="15.75">
      <c r="E219" s="800"/>
      <c r="F219" s="801"/>
    </row>
    <row r="220" spans="5:6" ht="15.75">
      <c r="E220" s="800"/>
      <c r="F220" s="801"/>
    </row>
    <row r="221" spans="5:6" ht="15.75">
      <c r="E221" s="800"/>
      <c r="F221" s="801"/>
    </row>
    <row r="222" spans="5:6" ht="15.75">
      <c r="E222" s="800"/>
      <c r="F222" s="801"/>
    </row>
    <row r="223" spans="5:6" ht="15.75">
      <c r="E223" s="800"/>
      <c r="F223" s="801"/>
    </row>
    <row r="224" spans="5:6" ht="15.75">
      <c r="E224" s="800"/>
      <c r="F224" s="801"/>
    </row>
    <row r="225" spans="5:6" ht="15.75">
      <c r="E225" s="800"/>
      <c r="F225" s="801"/>
    </row>
    <row r="226" spans="5:6" ht="15.75">
      <c r="E226" s="800"/>
      <c r="F226" s="801"/>
    </row>
    <row r="227" spans="5:6" ht="15.75">
      <c r="E227" s="800"/>
      <c r="F227" s="801"/>
    </row>
    <row r="228" spans="5:6" ht="15.75">
      <c r="E228" s="800"/>
      <c r="F228" s="801"/>
    </row>
    <row r="229" spans="5:6" ht="15.75">
      <c r="E229" s="800"/>
      <c r="F229" s="801"/>
    </row>
    <row r="230" spans="5:6" ht="15.75">
      <c r="E230" s="800"/>
      <c r="F230" s="801"/>
    </row>
    <row r="231" spans="5:6" ht="15.75">
      <c r="E231" s="800"/>
      <c r="F231" s="801"/>
    </row>
    <row r="232" spans="5:6" ht="15.75">
      <c r="E232" s="800"/>
      <c r="F232" s="801"/>
    </row>
    <row r="233" spans="5:6" ht="15.75">
      <c r="E233" s="800"/>
      <c r="F233" s="801"/>
    </row>
    <row r="234" spans="5:6" ht="15.75">
      <c r="E234" s="800"/>
      <c r="F234" s="801"/>
    </row>
    <row r="235" spans="5:6" ht="15.75">
      <c r="E235" s="800"/>
      <c r="F235" s="801"/>
    </row>
    <row r="236" spans="5:6" ht="15.75">
      <c r="E236" s="800"/>
      <c r="F236" s="801"/>
    </row>
    <row r="237" spans="5:6" ht="15.75">
      <c r="E237" s="800"/>
      <c r="F237" s="801"/>
    </row>
    <row r="238" spans="5:6" ht="15.75">
      <c r="E238" s="800"/>
      <c r="F238" s="801"/>
    </row>
    <row r="239" spans="5:6" ht="15.75">
      <c r="E239" s="800"/>
      <c r="F239" s="801"/>
    </row>
    <row r="240" spans="5:6" ht="15.75">
      <c r="E240" s="800"/>
      <c r="F240" s="801"/>
    </row>
    <row r="241" spans="5:6" ht="15.75">
      <c r="E241" s="800"/>
      <c r="F241" s="801"/>
    </row>
    <row r="242" spans="5:6" ht="15.75">
      <c r="E242" s="800"/>
      <c r="F242" s="801"/>
    </row>
    <row r="243" spans="5:6" ht="15.75">
      <c r="E243" s="800"/>
      <c r="F243" s="801"/>
    </row>
    <row r="244" spans="5:6" ht="15.75">
      <c r="E244" s="800"/>
      <c r="F244" s="801"/>
    </row>
    <row r="245" spans="5:6" ht="15.75">
      <c r="E245" s="800"/>
      <c r="F245" s="801"/>
    </row>
    <row r="246" spans="5:6" ht="15.75">
      <c r="E246" s="800"/>
      <c r="F246" s="801"/>
    </row>
    <row r="247" spans="5:6" ht="15.75">
      <c r="E247" s="800"/>
      <c r="F247" s="801"/>
    </row>
    <row r="248" spans="5:6" ht="15.75">
      <c r="E248" s="800"/>
      <c r="F248" s="801"/>
    </row>
    <row r="249" spans="5:6" ht="15.75">
      <c r="E249" s="800"/>
      <c r="F249" s="801"/>
    </row>
    <row r="250" spans="5:6" ht="15.75">
      <c r="E250" s="800"/>
      <c r="F250" s="801"/>
    </row>
    <row r="251" spans="5:6" ht="15.75">
      <c r="E251" s="800"/>
      <c r="F251" s="801"/>
    </row>
    <row r="252" spans="5:6" ht="15.75">
      <c r="E252" s="800"/>
      <c r="F252" s="801"/>
    </row>
    <row r="253" spans="5:6" ht="15.75">
      <c r="E253" s="800"/>
      <c r="F253" s="801"/>
    </row>
    <row r="254" spans="5:6" ht="15.75">
      <c r="E254" s="800"/>
      <c r="F254" s="801"/>
    </row>
    <row r="255" spans="5:6" ht="15.75">
      <c r="E255" s="800"/>
      <c r="F255" s="801"/>
    </row>
    <row r="256" spans="5:6" ht="15.75">
      <c r="E256" s="800"/>
      <c r="F256" s="801"/>
    </row>
    <row r="257" spans="5:6" ht="15.75">
      <c r="E257" s="800"/>
      <c r="F257" s="801"/>
    </row>
    <row r="258" spans="5:6" ht="15.75">
      <c r="E258" s="800"/>
      <c r="F258" s="801"/>
    </row>
    <row r="259" spans="5:6" ht="15.75">
      <c r="E259" s="800"/>
      <c r="F259" s="801"/>
    </row>
    <row r="260" spans="5:6" ht="15.75">
      <c r="E260" s="800"/>
      <c r="F260" s="801"/>
    </row>
    <row r="261" spans="5:6" ht="15.75">
      <c r="E261" s="800"/>
      <c r="F261" s="801"/>
    </row>
    <row r="262" spans="5:6" ht="15.75">
      <c r="E262" s="800"/>
      <c r="F262" s="801"/>
    </row>
    <row r="263" spans="5:6" ht="15.75">
      <c r="E263" s="800"/>
      <c r="F263" s="801"/>
    </row>
    <row r="264" spans="5:6" ht="15.75">
      <c r="E264" s="800"/>
      <c r="F264" s="801"/>
    </row>
    <row r="265" spans="5:6" ht="15.75">
      <c r="E265" s="800"/>
      <c r="F265" s="801"/>
    </row>
    <row r="266" spans="5:6" ht="15.75">
      <c r="E266" s="800"/>
      <c r="F266" s="801"/>
    </row>
    <row r="267" spans="5:6" ht="15.75">
      <c r="E267" s="800"/>
      <c r="F267" s="801"/>
    </row>
    <row r="268" spans="5:6" ht="15.75">
      <c r="E268" s="800"/>
      <c r="F268" s="801"/>
    </row>
    <row r="269" spans="5:6" ht="15.75">
      <c r="E269" s="800"/>
      <c r="F269" s="801"/>
    </row>
    <row r="270" spans="5:6" ht="15.75">
      <c r="E270" s="800"/>
      <c r="F270" s="801"/>
    </row>
    <row r="271" spans="5:6" ht="15.75">
      <c r="E271" s="800"/>
      <c r="F271" s="801"/>
    </row>
    <row r="272" spans="5:6" ht="15.75">
      <c r="E272" s="800"/>
      <c r="F272" s="801"/>
    </row>
    <row r="273" spans="5:6" ht="15.75">
      <c r="E273" s="800"/>
      <c r="F273" s="801"/>
    </row>
    <row r="274" spans="5:6" ht="15.75">
      <c r="E274" s="800"/>
      <c r="F274" s="801"/>
    </row>
    <row r="275" spans="5:6" ht="15.75">
      <c r="E275" s="800"/>
      <c r="F275" s="801"/>
    </row>
    <row r="276" spans="5:6" ht="15.75">
      <c r="E276" s="800"/>
      <c r="F276" s="801"/>
    </row>
    <row r="277" spans="5:6" ht="15.75">
      <c r="E277" s="800"/>
      <c r="F277" s="801"/>
    </row>
    <row r="278" spans="5:6" ht="15.75">
      <c r="E278" s="800"/>
      <c r="F278" s="801"/>
    </row>
    <row r="279" spans="5:6" ht="15.75">
      <c r="E279" s="800"/>
      <c r="F279" s="801"/>
    </row>
    <row r="280" spans="5:6" ht="15.75">
      <c r="E280" s="800"/>
      <c r="F280" s="801"/>
    </row>
    <row r="281" spans="5:6" ht="15.75">
      <c r="E281" s="800"/>
      <c r="F281" s="801"/>
    </row>
    <row r="282" spans="5:6" ht="15.75">
      <c r="E282" s="800"/>
      <c r="F282" s="801"/>
    </row>
    <row r="283" spans="5:6" ht="15.75">
      <c r="E283" s="800"/>
      <c r="F283" s="801"/>
    </row>
    <row r="284" spans="5:6" ht="15.75">
      <c r="E284" s="800"/>
      <c r="F284" s="801"/>
    </row>
    <row r="285" spans="5:6" ht="15.75">
      <c r="E285" s="800"/>
      <c r="F285" s="801"/>
    </row>
    <row r="286" spans="5:6" ht="15.75">
      <c r="E286" s="800"/>
      <c r="F286" s="801"/>
    </row>
    <row r="287" spans="5:6" ht="15.75">
      <c r="E287" s="800"/>
      <c r="F287" s="801"/>
    </row>
    <row r="288" spans="5:6" ht="15.75">
      <c r="E288" s="800"/>
      <c r="F288" s="801"/>
    </row>
    <row r="289" spans="5:6" ht="15.75">
      <c r="E289" s="800"/>
      <c r="F289" s="801"/>
    </row>
    <row r="290" spans="5:6" ht="15.75">
      <c r="E290" s="800"/>
      <c r="F290" s="801"/>
    </row>
    <row r="291" spans="5:6" ht="15.75">
      <c r="E291" s="800"/>
      <c r="F291" s="801"/>
    </row>
    <row r="292" spans="5:6" ht="15.75">
      <c r="E292" s="800"/>
      <c r="F292" s="801"/>
    </row>
    <row r="293" spans="5:6" ht="15.75">
      <c r="E293" s="800"/>
      <c r="F293" s="801"/>
    </row>
    <row r="294" spans="5:6" ht="15.75">
      <c r="E294" s="800"/>
      <c r="F294" s="801"/>
    </row>
    <row r="295" spans="5:6" ht="15.75">
      <c r="E295" s="800"/>
      <c r="F295" s="801"/>
    </row>
    <row r="296" spans="5:6" ht="15.75">
      <c r="E296" s="800"/>
      <c r="F296" s="801"/>
    </row>
    <row r="297" spans="5:6" ht="15.75">
      <c r="E297" s="800"/>
      <c r="F297" s="801"/>
    </row>
    <row r="298" spans="5:6" ht="15.75">
      <c r="E298" s="800"/>
      <c r="F298" s="801"/>
    </row>
    <row r="299" spans="5:6" ht="15.75">
      <c r="E299" s="800"/>
      <c r="F299" s="801"/>
    </row>
    <row r="300" spans="5:6" ht="15.75">
      <c r="E300" s="800"/>
      <c r="F300" s="801"/>
    </row>
    <row r="301" spans="5:6" ht="15.75">
      <c r="E301" s="800"/>
      <c r="F301" s="801"/>
    </row>
    <row r="302" spans="5:6" ht="15.75">
      <c r="E302" s="800"/>
      <c r="F302" s="801"/>
    </row>
    <row r="303" spans="5:6" ht="15.75">
      <c r="E303" s="800"/>
      <c r="F303" s="801"/>
    </row>
    <row r="304" spans="5:6" ht="15.75">
      <c r="E304" s="800"/>
      <c r="F304" s="801"/>
    </row>
    <row r="305" spans="5:6" ht="15.75">
      <c r="E305" s="800"/>
      <c r="F305" s="801"/>
    </row>
    <row r="306" spans="5:6" ht="15.75">
      <c r="E306" s="800"/>
      <c r="F306" s="801"/>
    </row>
    <row r="307" spans="5:6" ht="15.75">
      <c r="E307" s="800"/>
      <c r="F307" s="801"/>
    </row>
    <row r="308" spans="5:6" ht="15.75">
      <c r="E308" s="800"/>
      <c r="F308" s="801"/>
    </row>
    <row r="309" spans="5:6" ht="15.75">
      <c r="E309" s="800"/>
      <c r="F309" s="801"/>
    </row>
    <row r="310" spans="5:6" ht="15.75">
      <c r="E310" s="800"/>
      <c r="F310" s="801"/>
    </row>
    <row r="311" spans="5:6" ht="15.75">
      <c r="E311" s="800"/>
      <c r="F311" s="801"/>
    </row>
    <row r="312" spans="5:6" ht="15.75">
      <c r="E312" s="800"/>
      <c r="F312" s="801"/>
    </row>
    <row r="313" spans="5:6" ht="15.75">
      <c r="E313" s="800"/>
      <c r="F313" s="801"/>
    </row>
    <row r="314" spans="5:6" ht="15.75">
      <c r="E314" s="800"/>
      <c r="F314" s="801"/>
    </row>
    <row r="315" spans="5:6" ht="15.75">
      <c r="E315" s="800"/>
      <c r="F315" s="801"/>
    </row>
    <row r="316" spans="5:6" ht="15.75">
      <c r="E316" s="800"/>
      <c r="F316" s="801"/>
    </row>
    <row r="317" spans="5:6" ht="15.75">
      <c r="E317" s="800"/>
      <c r="F317" s="801"/>
    </row>
    <row r="318" spans="5:6" ht="15.75">
      <c r="E318" s="800"/>
      <c r="F318" s="801"/>
    </row>
    <row r="319" spans="5:6" ht="15.75">
      <c r="E319" s="800"/>
      <c r="F319" s="801"/>
    </row>
    <row r="320" spans="5:6" ht="15.75">
      <c r="E320" s="800"/>
      <c r="F320" s="801"/>
    </row>
    <row r="321" spans="5:6" ht="15.75">
      <c r="E321" s="800"/>
      <c r="F321" s="801"/>
    </row>
    <row r="322" spans="5:6" ht="15.75">
      <c r="E322" s="800"/>
      <c r="F322" s="801"/>
    </row>
    <row r="323" spans="5:6" ht="15.75">
      <c r="E323" s="800"/>
      <c r="F323" s="801"/>
    </row>
    <row r="324" spans="5:6" ht="15.75">
      <c r="E324" s="800"/>
      <c r="F324" s="801"/>
    </row>
    <row r="325" spans="5:6" ht="15.75">
      <c r="E325" s="800"/>
      <c r="F325" s="801"/>
    </row>
    <row r="326" spans="5:6" ht="15.75">
      <c r="E326" s="800"/>
      <c r="F326" s="801"/>
    </row>
    <row r="327" spans="5:6" ht="15.75">
      <c r="E327" s="800"/>
      <c r="F327" s="801"/>
    </row>
    <row r="328" spans="5:6" ht="15.75">
      <c r="E328" s="800"/>
      <c r="F328" s="801"/>
    </row>
    <row r="329" spans="5:6" ht="15.75">
      <c r="E329" s="800"/>
      <c r="F329" s="801"/>
    </row>
    <row r="330" spans="5:6" ht="15.75">
      <c r="E330" s="800"/>
      <c r="F330" s="801"/>
    </row>
    <row r="331" spans="5:6" ht="15.75">
      <c r="E331" s="800"/>
      <c r="F331" s="801"/>
    </row>
    <row r="332" spans="5:6" ht="15.75">
      <c r="E332" s="800"/>
      <c r="F332" s="801"/>
    </row>
    <row r="333" spans="5:6" ht="15.75">
      <c r="E333" s="800"/>
      <c r="F333" s="801"/>
    </row>
    <row r="334" spans="5:6" ht="15.75">
      <c r="E334" s="800"/>
      <c r="F334" s="801"/>
    </row>
    <row r="335" spans="5:6" ht="15.75">
      <c r="E335" s="800"/>
      <c r="F335" s="801"/>
    </row>
    <row r="336" spans="5:6" ht="15.75">
      <c r="E336" s="800"/>
      <c r="F336" s="801"/>
    </row>
    <row r="337" spans="5:6" ht="15.75">
      <c r="E337" s="800"/>
      <c r="F337" s="801"/>
    </row>
    <row r="338" spans="5:6" ht="15.75">
      <c r="E338" s="800"/>
      <c r="F338" s="801"/>
    </row>
    <row r="339" spans="5:6" ht="15.75">
      <c r="E339" s="800"/>
      <c r="F339" s="801"/>
    </row>
    <row r="340" spans="5:6" ht="15.75">
      <c r="E340" s="800"/>
      <c r="F340" s="801"/>
    </row>
    <row r="341" spans="5:6" ht="15.75">
      <c r="E341" s="800"/>
      <c r="F341" s="801"/>
    </row>
    <row r="342" spans="5:6" ht="15.75">
      <c r="E342" s="800"/>
      <c r="F342" s="801"/>
    </row>
    <row r="343" spans="5:6" ht="15.75">
      <c r="E343" s="800"/>
      <c r="F343" s="801"/>
    </row>
    <row r="344" spans="5:6" ht="15.75">
      <c r="E344" s="800"/>
      <c r="F344" s="801"/>
    </row>
    <row r="345" spans="5:6" ht="15.75">
      <c r="E345" s="800"/>
      <c r="F345" s="801"/>
    </row>
    <row r="346" spans="5:6" ht="15.75">
      <c r="E346" s="800"/>
      <c r="F346" s="801"/>
    </row>
    <row r="347" spans="5:6" ht="15.75">
      <c r="E347" s="800"/>
      <c r="F347" s="801"/>
    </row>
    <row r="348" spans="5:6" ht="15.75">
      <c r="E348" s="800"/>
      <c r="F348" s="801"/>
    </row>
    <row r="349" spans="5:6" ht="15.75">
      <c r="E349" s="800"/>
      <c r="F349" s="801"/>
    </row>
    <row r="350" spans="5:6" ht="15.75">
      <c r="E350" s="800"/>
      <c r="F350" s="801"/>
    </row>
    <row r="351" spans="5:6" ht="15.75">
      <c r="E351" s="800"/>
      <c r="F351" s="801"/>
    </row>
    <row r="352" spans="5:6" ht="15.75">
      <c r="E352" s="800"/>
      <c r="F352" s="801"/>
    </row>
    <row r="353" spans="5:6" ht="15.75">
      <c r="E353" s="800"/>
      <c r="F353" s="801"/>
    </row>
    <row r="354" spans="5:6" ht="15.75">
      <c r="E354" s="800"/>
      <c r="F354" s="801"/>
    </row>
    <row r="355" spans="5:6" ht="15.75">
      <c r="E355" s="800"/>
      <c r="F355" s="801"/>
    </row>
    <row r="356" spans="5:6" ht="15.75">
      <c r="E356" s="800"/>
      <c r="F356" s="801"/>
    </row>
    <row r="357" spans="5:6" ht="15.75">
      <c r="E357" s="800"/>
      <c r="F357" s="801"/>
    </row>
    <row r="358" spans="5:6" ht="15.75">
      <c r="E358" s="800"/>
      <c r="F358" s="801"/>
    </row>
    <row r="359" spans="5:6" ht="15.75">
      <c r="E359" s="800"/>
      <c r="F359" s="801"/>
    </row>
    <row r="360" spans="5:6" ht="15.75">
      <c r="E360" s="800"/>
      <c r="F360" s="801"/>
    </row>
    <row r="361" spans="5:6" ht="15.75">
      <c r="E361" s="800"/>
      <c r="F361" s="801"/>
    </row>
    <row r="362" spans="5:6" ht="15.75">
      <c r="E362" s="800"/>
      <c r="F362" s="801"/>
    </row>
    <row r="363" spans="5:6" ht="15.75">
      <c r="E363" s="800"/>
      <c r="F363" s="801"/>
    </row>
    <row r="364" spans="5:6" ht="15.75">
      <c r="E364" s="800"/>
      <c r="F364" s="801"/>
    </row>
    <row r="365" spans="5:6" ht="15.75">
      <c r="E365" s="800"/>
      <c r="F365" s="801"/>
    </row>
    <row r="366" spans="5:6" ht="15.75">
      <c r="E366" s="800"/>
      <c r="F366" s="801"/>
    </row>
    <row r="367" spans="5:6" ht="15.75">
      <c r="E367" s="800"/>
      <c r="F367" s="801"/>
    </row>
    <row r="368" spans="5:6" ht="15.75">
      <c r="E368" s="800"/>
      <c r="F368" s="801"/>
    </row>
    <row r="369" spans="5:6" ht="15.75">
      <c r="E369" s="800"/>
      <c r="F369" s="801"/>
    </row>
    <row r="370" spans="5:6" ht="15.75">
      <c r="E370" s="800"/>
      <c r="F370" s="801"/>
    </row>
    <row r="371" spans="5:6" ht="15.75">
      <c r="E371" s="800"/>
      <c r="F371" s="801"/>
    </row>
    <row r="372" spans="5:6" ht="15.75">
      <c r="E372" s="800"/>
      <c r="F372" s="801"/>
    </row>
    <row r="373" spans="5:6" ht="15.75">
      <c r="E373" s="800"/>
      <c r="F373" s="801"/>
    </row>
    <row r="374" spans="5:6" ht="15.75">
      <c r="E374" s="800"/>
      <c r="F374" s="801"/>
    </row>
    <row r="375" spans="5:6" ht="15.75">
      <c r="E375" s="800"/>
      <c r="F375" s="801"/>
    </row>
    <row r="376" spans="5:6" ht="15.75">
      <c r="E376" s="800"/>
      <c r="F376" s="801"/>
    </row>
    <row r="377" spans="5:6" ht="15.75">
      <c r="E377" s="800"/>
      <c r="F377" s="801"/>
    </row>
    <row r="378" spans="5:6" ht="15.75">
      <c r="E378" s="800"/>
      <c r="F378" s="801"/>
    </row>
    <row r="379" spans="5:6" ht="15.75">
      <c r="E379" s="800"/>
      <c r="F379" s="801"/>
    </row>
    <row r="380" spans="5:6" ht="15.75">
      <c r="E380" s="800"/>
      <c r="F380" s="801"/>
    </row>
    <row r="381" spans="5:6" ht="15.75">
      <c r="E381" s="800"/>
      <c r="F381" s="801"/>
    </row>
    <row r="382" spans="5:6" ht="15.75">
      <c r="E382" s="800"/>
      <c r="F382" s="801"/>
    </row>
    <row r="383" spans="5:6" ht="15.75">
      <c r="E383" s="800"/>
      <c r="F383" s="801"/>
    </row>
    <row r="384" spans="5:6" ht="15.75">
      <c r="E384" s="800"/>
      <c r="F384" s="801"/>
    </row>
    <row r="385" spans="5:6" ht="15.75">
      <c r="E385" s="800"/>
      <c r="F385" s="801"/>
    </row>
    <row r="386" spans="5:6" ht="15.75">
      <c r="E386" s="800"/>
      <c r="F386" s="801"/>
    </row>
    <row r="387" spans="5:6" ht="15.75">
      <c r="E387" s="800"/>
      <c r="F387" s="801"/>
    </row>
    <row r="388" spans="5:6" ht="15.75">
      <c r="E388" s="800"/>
      <c r="F388" s="801"/>
    </row>
    <row r="389" spans="5:6" ht="15.75">
      <c r="E389" s="800"/>
      <c r="F389" s="801"/>
    </row>
    <row r="390" spans="5:6" ht="15.75">
      <c r="E390" s="800"/>
      <c r="F390" s="801"/>
    </row>
    <row r="391" spans="5:6" ht="15.75">
      <c r="E391" s="800"/>
      <c r="F391" s="801"/>
    </row>
    <row r="392" spans="5:6" ht="15.75">
      <c r="E392" s="800"/>
      <c r="F392" s="801"/>
    </row>
    <row r="393" spans="5:6" ht="15.75">
      <c r="E393" s="800"/>
      <c r="F393" s="801"/>
    </row>
    <row r="394" spans="5:6" ht="15.75">
      <c r="E394" s="800"/>
      <c r="F394" s="801"/>
    </row>
    <row r="395" spans="5:6" ht="15.75">
      <c r="E395" s="800"/>
      <c r="F395" s="801"/>
    </row>
    <row r="396" spans="5:6" ht="15.75">
      <c r="E396" s="800"/>
      <c r="F396" s="801"/>
    </row>
    <row r="397" spans="5:6" ht="15.75">
      <c r="E397" s="800"/>
      <c r="F397" s="801"/>
    </row>
    <row r="398" spans="5:6" ht="15.75">
      <c r="E398" s="800"/>
      <c r="F398" s="801"/>
    </row>
    <row r="399" spans="5:6" ht="15.75">
      <c r="E399" s="800"/>
      <c r="F399" s="801"/>
    </row>
    <row r="400" spans="5:6" ht="15.75">
      <c r="E400" s="800"/>
      <c r="F400" s="801"/>
    </row>
    <row r="401" spans="5:6" ht="15.75">
      <c r="E401" s="800"/>
      <c r="F401" s="801"/>
    </row>
    <row r="402" spans="5:6" ht="15.75">
      <c r="E402" s="800"/>
      <c r="F402" s="801"/>
    </row>
    <row r="403" spans="5:6" ht="15.75">
      <c r="E403" s="800"/>
      <c r="F403" s="801"/>
    </row>
    <row r="404" spans="5:6" ht="15.75">
      <c r="E404" s="800"/>
      <c r="F404" s="801"/>
    </row>
    <row r="405" spans="5:6" ht="15.75">
      <c r="E405" s="800"/>
      <c r="F405" s="801"/>
    </row>
    <row r="406" spans="5:6" ht="15.75">
      <c r="E406" s="800"/>
      <c r="F406" s="801"/>
    </row>
    <row r="407" spans="5:6" ht="15.75">
      <c r="E407" s="800"/>
      <c r="F407" s="801"/>
    </row>
    <row r="408" spans="5:6" ht="15.75">
      <c r="E408" s="800"/>
      <c r="F408" s="801"/>
    </row>
    <row r="409" spans="5:6" ht="15.75">
      <c r="E409" s="800"/>
      <c r="F409" s="801"/>
    </row>
    <row r="410" spans="5:6" ht="15.75">
      <c r="E410" s="800"/>
      <c r="F410" s="801"/>
    </row>
    <row r="411" spans="5:6" ht="15.75">
      <c r="E411" s="800"/>
      <c r="F411" s="801"/>
    </row>
    <row r="412" spans="5:6" ht="15.75">
      <c r="E412" s="800"/>
      <c r="F412" s="801"/>
    </row>
    <row r="413" spans="5:6" ht="15.75">
      <c r="E413" s="800"/>
      <c r="F413" s="801"/>
    </row>
    <row r="414" spans="5:6" ht="15.75">
      <c r="E414" s="800"/>
      <c r="F414" s="801"/>
    </row>
    <row r="415" spans="5:6" ht="15.75">
      <c r="E415" s="800"/>
      <c r="F415" s="801"/>
    </row>
    <row r="416" spans="5:6" ht="15.75">
      <c r="E416" s="800"/>
      <c r="F416" s="801"/>
    </row>
    <row r="417" spans="5:6" ht="15.75">
      <c r="E417" s="800"/>
      <c r="F417" s="801"/>
    </row>
    <row r="418" spans="5:6" ht="15.75">
      <c r="E418" s="800"/>
      <c r="F418" s="801"/>
    </row>
    <row r="419" spans="5:6" ht="15.75">
      <c r="E419" s="800"/>
      <c r="F419" s="801"/>
    </row>
    <row r="420" spans="5:6" ht="15.75">
      <c r="E420" s="800"/>
      <c r="F420" s="801"/>
    </row>
    <row r="421" spans="5:6" ht="15.75">
      <c r="E421" s="800"/>
      <c r="F421" s="801"/>
    </row>
    <row r="422" spans="5:6" ht="15.75">
      <c r="E422" s="800"/>
      <c r="F422" s="801"/>
    </row>
    <row r="423" spans="5:6" ht="15.75">
      <c r="E423" s="800"/>
      <c r="F423" s="801"/>
    </row>
    <row r="424" spans="5:6" ht="15.75">
      <c r="E424" s="800"/>
      <c r="F424" s="801"/>
    </row>
    <row r="425" spans="5:6" ht="15.75">
      <c r="E425" s="800"/>
      <c r="F425" s="801"/>
    </row>
    <row r="426" spans="5:6" ht="15.75">
      <c r="E426" s="800"/>
      <c r="F426" s="801"/>
    </row>
    <row r="427" spans="5:6" ht="15.75">
      <c r="E427" s="800"/>
      <c r="F427" s="801"/>
    </row>
    <row r="428" spans="5:6" ht="15.75">
      <c r="E428" s="800"/>
      <c r="F428" s="801"/>
    </row>
    <row r="429" spans="5:6" ht="15.75">
      <c r="E429" s="800"/>
      <c r="F429" s="801"/>
    </row>
    <row r="430" spans="5:6" ht="15.75">
      <c r="E430" s="800"/>
      <c r="F430" s="801"/>
    </row>
    <row r="431" spans="5:6" ht="15.75">
      <c r="E431" s="800"/>
      <c r="F431" s="801"/>
    </row>
    <row r="432" spans="5:6" ht="15.75">
      <c r="E432" s="800"/>
      <c r="F432" s="801"/>
    </row>
    <row r="433" spans="5:6" ht="15.75">
      <c r="E433" s="800"/>
      <c r="F433" s="801"/>
    </row>
    <row r="434" spans="5:6" ht="15.75">
      <c r="E434" s="800"/>
      <c r="F434" s="801"/>
    </row>
    <row r="435" spans="5:6" ht="15.75">
      <c r="E435" s="800"/>
      <c r="F435" s="801"/>
    </row>
    <row r="436" spans="5:6" ht="15.75">
      <c r="E436" s="800"/>
      <c r="F436" s="801"/>
    </row>
    <row r="437" spans="5:6" ht="15.75">
      <c r="E437" s="800"/>
      <c r="F437" s="801"/>
    </row>
    <row r="438" spans="5:6" ht="15.75">
      <c r="E438" s="800"/>
      <c r="F438" s="801"/>
    </row>
    <row r="439" spans="5:6" ht="15.75">
      <c r="E439" s="800"/>
      <c r="F439" s="801"/>
    </row>
    <row r="440" spans="5:6" ht="15.75">
      <c r="E440" s="800"/>
      <c r="F440" s="801"/>
    </row>
    <row r="441" spans="5:6" ht="15.75">
      <c r="E441" s="800"/>
      <c r="F441" s="801"/>
    </row>
    <row r="442" spans="5:6" ht="15.75">
      <c r="E442" s="800"/>
      <c r="F442" s="801"/>
    </row>
    <row r="443" spans="5:6" ht="15.75">
      <c r="E443" s="800"/>
      <c r="F443" s="801"/>
    </row>
    <row r="444" spans="5:6" ht="15.75">
      <c r="E444" s="800"/>
      <c r="F444" s="801"/>
    </row>
    <row r="445" spans="5:6" ht="15.75">
      <c r="E445" s="800"/>
      <c r="F445" s="801"/>
    </row>
    <row r="446" spans="5:6" ht="15.75">
      <c r="E446" s="800"/>
      <c r="F446" s="801"/>
    </row>
    <row r="447" spans="5:6" ht="15.75">
      <c r="E447" s="800"/>
      <c r="F447" s="801"/>
    </row>
    <row r="448" spans="5:6" ht="15.75">
      <c r="E448" s="800"/>
      <c r="F448" s="801"/>
    </row>
    <row r="449" spans="5:6" ht="15.75">
      <c r="E449" s="800"/>
      <c r="F449" s="801"/>
    </row>
    <row r="450" spans="5:6" ht="15.75">
      <c r="E450" s="800"/>
      <c r="F450" s="801"/>
    </row>
    <row r="451" spans="5:6" ht="15.75">
      <c r="E451" s="800"/>
      <c r="F451" s="801"/>
    </row>
    <row r="452" spans="5:6" ht="15.75">
      <c r="E452" s="800"/>
      <c r="F452" s="801"/>
    </row>
    <row r="453" spans="5:6" ht="15.75">
      <c r="E453" s="800"/>
      <c r="F453" s="801"/>
    </row>
    <row r="454" spans="5:6" ht="15.75">
      <c r="E454" s="800"/>
      <c r="F454" s="801"/>
    </row>
    <row r="455" spans="5:6" ht="15.75">
      <c r="E455" s="800"/>
      <c r="F455" s="801"/>
    </row>
    <row r="456" spans="5:6" ht="15.75">
      <c r="E456" s="800"/>
      <c r="F456" s="801"/>
    </row>
    <row r="457" spans="5:6" ht="15.75">
      <c r="E457" s="800"/>
      <c r="F457" s="801"/>
    </row>
    <row r="458" spans="5:6" ht="15.75">
      <c r="E458" s="800"/>
      <c r="F458" s="801"/>
    </row>
    <row r="459" spans="5:6" ht="15.75">
      <c r="E459" s="800"/>
      <c r="F459" s="801"/>
    </row>
    <row r="460" spans="5:6" ht="15.75">
      <c r="E460" s="800"/>
      <c r="F460" s="801"/>
    </row>
    <row r="461" spans="5:6" ht="15.75">
      <c r="E461" s="800"/>
      <c r="F461" s="801"/>
    </row>
    <row r="462" spans="5:6" ht="15.75">
      <c r="E462" s="800"/>
      <c r="F462" s="801"/>
    </row>
    <row r="463" spans="5:6" ht="15.75">
      <c r="E463" s="800"/>
      <c r="F463" s="801"/>
    </row>
    <row r="464" spans="5:6" ht="15.75">
      <c r="E464" s="800"/>
      <c r="F464" s="801"/>
    </row>
    <row r="465" spans="5:6" ht="15.75">
      <c r="E465" s="800"/>
      <c r="F465" s="801"/>
    </row>
    <row r="466" spans="5:6" ht="15.75">
      <c r="E466" s="800"/>
      <c r="F466" s="801"/>
    </row>
    <row r="467" spans="5:6" ht="15.75">
      <c r="E467" s="800"/>
      <c r="F467" s="801"/>
    </row>
    <row r="468" spans="5:6" ht="15.75">
      <c r="E468" s="800"/>
      <c r="F468" s="801"/>
    </row>
    <row r="469" spans="5:6" ht="15.75">
      <c r="E469" s="800"/>
      <c r="F469" s="801"/>
    </row>
    <row r="470" spans="5:6" ht="15.75">
      <c r="E470" s="800"/>
      <c r="F470" s="801"/>
    </row>
    <row r="471" spans="5:6" ht="15.75">
      <c r="E471" s="800"/>
      <c r="F471" s="801"/>
    </row>
    <row r="472" spans="5:6" ht="15.75">
      <c r="E472" s="800"/>
      <c r="F472" s="801"/>
    </row>
    <row r="473" spans="5:6" ht="15.75">
      <c r="E473" s="800"/>
      <c r="F473" s="801"/>
    </row>
    <row r="474" spans="5:6" ht="15.75">
      <c r="E474" s="800"/>
      <c r="F474" s="801"/>
    </row>
    <row r="475" spans="5:6" ht="15.75">
      <c r="E475" s="800"/>
      <c r="F475" s="801"/>
    </row>
    <row r="476" spans="5:6" ht="15.75">
      <c r="E476" s="800"/>
      <c r="F476" s="801"/>
    </row>
    <row r="477" spans="5:6" ht="15.75">
      <c r="E477" s="800"/>
      <c r="F477" s="801"/>
    </row>
    <row r="478" spans="5:6" ht="15.75">
      <c r="E478" s="800"/>
      <c r="F478" s="801"/>
    </row>
    <row r="479" spans="5:6" ht="15.75">
      <c r="E479" s="800"/>
      <c r="F479" s="801"/>
    </row>
    <row r="480" spans="5:6" ht="15.75">
      <c r="E480" s="800"/>
      <c r="F480" s="801"/>
    </row>
    <row r="481" spans="5:6" ht="15.75">
      <c r="E481" s="800"/>
      <c r="F481" s="801"/>
    </row>
    <row r="482" spans="5:6" ht="15.75">
      <c r="E482" s="800"/>
      <c r="F482" s="801"/>
    </row>
    <row r="483" spans="5:6" ht="15.75">
      <c r="E483" s="800"/>
      <c r="F483" s="801"/>
    </row>
    <row r="484" spans="5:6" ht="15.75">
      <c r="E484" s="800"/>
      <c r="F484" s="801"/>
    </row>
    <row r="485" spans="5:6" ht="15.75">
      <c r="E485" s="800"/>
      <c r="F485" s="801"/>
    </row>
    <row r="486" spans="5:6" ht="15.75">
      <c r="E486" s="800"/>
      <c r="F486" s="801"/>
    </row>
    <row r="487" spans="5:6" ht="15.75">
      <c r="E487" s="800"/>
      <c r="F487" s="801"/>
    </row>
    <row r="488" spans="5:6" ht="15.75">
      <c r="E488" s="800"/>
      <c r="F488" s="801"/>
    </row>
    <row r="489" spans="5:6" ht="15.75">
      <c r="E489" s="800"/>
      <c r="F489" s="801"/>
    </row>
    <row r="490" spans="5:6" ht="15.75">
      <c r="E490" s="800"/>
      <c r="F490" s="801"/>
    </row>
    <row r="491" spans="5:6" ht="15.75">
      <c r="E491" s="800"/>
      <c r="F491" s="801"/>
    </row>
    <row r="492" spans="5:6" ht="15.75">
      <c r="E492" s="800"/>
      <c r="F492" s="801"/>
    </row>
    <row r="493" spans="5:6" ht="15.75">
      <c r="E493" s="800"/>
      <c r="F493" s="801"/>
    </row>
    <row r="494" spans="5:6" ht="15.75">
      <c r="E494" s="800"/>
      <c r="F494" s="801"/>
    </row>
    <row r="495" spans="5:6" ht="15.75">
      <c r="E495" s="800"/>
      <c r="F495" s="801"/>
    </row>
    <row r="496" spans="5:6" ht="15.75">
      <c r="E496" s="800"/>
      <c r="F496" s="801"/>
    </row>
    <row r="497" spans="5:6" ht="15.75">
      <c r="E497" s="800"/>
      <c r="F497" s="801"/>
    </row>
    <row r="498" spans="5:6" ht="15.75">
      <c r="E498" s="800"/>
      <c r="F498" s="801"/>
    </row>
    <row r="499" spans="5:6" ht="15.75">
      <c r="E499" s="800"/>
      <c r="F499" s="801"/>
    </row>
    <row r="500" spans="5:6" ht="15.75">
      <c r="E500" s="800"/>
      <c r="F500" s="801"/>
    </row>
    <row r="501" spans="5:6" ht="15.75">
      <c r="E501" s="800"/>
      <c r="F501" s="801"/>
    </row>
    <row r="502" spans="5:6" ht="15.75">
      <c r="E502" s="800"/>
      <c r="F502" s="801"/>
    </row>
    <row r="503" spans="5:6" ht="15.75">
      <c r="E503" s="800"/>
      <c r="F503" s="801"/>
    </row>
    <row r="504" spans="5:6" ht="15.75">
      <c r="E504" s="800"/>
      <c r="F504" s="801"/>
    </row>
    <row r="505" spans="5:6" ht="15.75">
      <c r="E505" s="800"/>
      <c r="F505" s="801"/>
    </row>
    <row r="506" spans="5:6" ht="15.75">
      <c r="E506" s="800"/>
      <c r="F506" s="801"/>
    </row>
    <row r="507" spans="5:6" ht="15.75">
      <c r="E507" s="800"/>
      <c r="F507" s="801"/>
    </row>
    <row r="508" spans="5:6" ht="15.75">
      <c r="E508" s="800"/>
      <c r="F508" s="801"/>
    </row>
    <row r="509" spans="5:6" ht="15.75">
      <c r="E509" s="800"/>
      <c r="F509" s="801"/>
    </row>
    <row r="510" spans="5:6" ht="15.75">
      <c r="E510" s="800"/>
      <c r="F510" s="801"/>
    </row>
    <row r="511" spans="5:6" ht="15.75">
      <c r="E511" s="800"/>
      <c r="F511" s="801"/>
    </row>
    <row r="512" spans="5:6" ht="15.75">
      <c r="E512" s="800"/>
      <c r="F512" s="801"/>
    </row>
    <row r="513" spans="5:6" ht="15.75">
      <c r="E513" s="800"/>
      <c r="F513" s="801"/>
    </row>
    <row r="514" spans="5:6" ht="15.75">
      <c r="E514" s="800"/>
      <c r="F514" s="801"/>
    </row>
    <row r="515" spans="5:6" ht="15.75">
      <c r="E515" s="800"/>
      <c r="F515" s="801"/>
    </row>
    <row r="516" spans="5:6" ht="15.75">
      <c r="E516" s="800"/>
      <c r="F516" s="801"/>
    </row>
    <row r="517" spans="5:6" ht="15.75">
      <c r="E517" s="800"/>
      <c r="F517" s="801"/>
    </row>
    <row r="518" spans="5:6" ht="15.75">
      <c r="E518" s="800"/>
      <c r="F518" s="801"/>
    </row>
    <row r="519" spans="5:6" ht="15.75">
      <c r="E519" s="800"/>
      <c r="F519" s="801"/>
    </row>
    <row r="520" spans="5:6" ht="15.75">
      <c r="E520" s="800"/>
      <c r="F520" s="801"/>
    </row>
    <row r="521" spans="5:6" ht="15.75">
      <c r="E521" s="800"/>
      <c r="F521" s="801"/>
    </row>
    <row r="522" spans="5:6" ht="15.75">
      <c r="E522" s="800"/>
      <c r="F522" s="801"/>
    </row>
    <row r="523" spans="5:6" ht="15.75">
      <c r="E523" s="800"/>
      <c r="F523" s="801"/>
    </row>
    <row r="524" spans="5:6" ht="15.75">
      <c r="E524" s="800"/>
      <c r="F524" s="801"/>
    </row>
    <row r="525" spans="5:6" ht="15.75">
      <c r="E525" s="800"/>
      <c r="F525" s="801"/>
    </row>
    <row r="526" spans="5:6" ht="15.75">
      <c r="E526" s="800"/>
      <c r="F526" s="801"/>
    </row>
    <row r="527" spans="5:6" ht="15.75">
      <c r="E527" s="800"/>
      <c r="F527" s="801"/>
    </row>
    <row r="528" spans="5:6" ht="15.75">
      <c r="E528" s="800"/>
      <c r="F528" s="801"/>
    </row>
    <row r="529" spans="5:6" ht="15.75">
      <c r="E529" s="800"/>
      <c r="F529" s="801"/>
    </row>
    <row r="530" spans="5:6" ht="15.75">
      <c r="E530" s="800"/>
      <c r="F530" s="801"/>
    </row>
    <row r="531" spans="5:6" ht="15.75">
      <c r="E531" s="800"/>
      <c r="F531" s="801"/>
    </row>
    <row r="532" spans="5:6" ht="15.75">
      <c r="E532" s="800"/>
      <c r="F532" s="801"/>
    </row>
    <row r="533" spans="5:6" ht="15.75">
      <c r="E533" s="800"/>
      <c r="F533" s="801"/>
    </row>
    <row r="534" spans="5:6" ht="15.75">
      <c r="E534" s="800"/>
      <c r="F534" s="801"/>
    </row>
    <row r="535" spans="5:6" ht="15.75">
      <c r="E535" s="800"/>
      <c r="F535" s="801"/>
    </row>
    <row r="536" spans="5:6" ht="15.75">
      <c r="E536" s="800"/>
      <c r="F536" s="801"/>
    </row>
    <row r="537" spans="5:6" ht="15.75">
      <c r="E537" s="800"/>
      <c r="F537" s="801"/>
    </row>
    <row r="538" spans="5:6" ht="15.75">
      <c r="E538" s="800"/>
      <c r="F538" s="801"/>
    </row>
    <row r="539" spans="5:6" ht="15.75">
      <c r="E539" s="800"/>
      <c r="F539" s="801"/>
    </row>
    <row r="540" spans="5:6" ht="15.75">
      <c r="E540" s="800"/>
      <c r="F540" s="801"/>
    </row>
    <row r="541" spans="5:6" ht="15.75">
      <c r="E541" s="800"/>
      <c r="F541" s="801"/>
    </row>
    <row r="542" spans="5:6" ht="15.75">
      <c r="E542" s="800"/>
      <c r="F542" s="801"/>
    </row>
    <row r="543" spans="5:6" ht="15.75">
      <c r="E543" s="800"/>
      <c r="F543" s="801"/>
    </row>
    <row r="544" spans="5:6" ht="15.75">
      <c r="E544" s="800"/>
      <c r="F544" s="801"/>
    </row>
    <row r="545" spans="5:6" ht="15.75">
      <c r="E545" s="800"/>
      <c r="F545" s="801"/>
    </row>
    <row r="546" spans="5:6" ht="15.75">
      <c r="E546" s="800"/>
      <c r="F546" s="801"/>
    </row>
    <row r="547" spans="5:6" ht="15.75">
      <c r="E547" s="800"/>
      <c r="F547" s="801"/>
    </row>
    <row r="548" spans="5:6" ht="15.75">
      <c r="E548" s="800"/>
      <c r="F548" s="801"/>
    </row>
    <row r="549" spans="5:6" ht="15.75">
      <c r="E549" s="800"/>
      <c r="F549" s="801"/>
    </row>
    <row r="550" spans="5:6" ht="15.75">
      <c r="E550" s="800"/>
      <c r="F550" s="801"/>
    </row>
    <row r="551" spans="5:6" ht="15.75">
      <c r="E551" s="800"/>
      <c r="F551" s="801"/>
    </row>
    <row r="552" spans="5:6" ht="15.75">
      <c r="E552" s="800"/>
      <c r="F552" s="801"/>
    </row>
    <row r="553" spans="5:6" ht="15.75">
      <c r="E553" s="800"/>
      <c r="F553" s="801"/>
    </row>
    <row r="554" spans="5:6" ht="15.75">
      <c r="E554" s="800"/>
      <c r="F554" s="801"/>
    </row>
    <row r="555" spans="5:6" ht="15.75">
      <c r="E555" s="800"/>
      <c r="F555" s="801"/>
    </row>
    <row r="556" spans="5:6" ht="15.75">
      <c r="E556" s="800"/>
      <c r="F556" s="801"/>
    </row>
    <row r="557" spans="5:6" ht="15.75">
      <c r="E557" s="800"/>
      <c r="F557" s="801"/>
    </row>
    <row r="558" spans="5:6" ht="15.75">
      <c r="E558" s="800"/>
      <c r="F558" s="801"/>
    </row>
    <row r="559" spans="5:6" ht="15.75">
      <c r="E559" s="800"/>
      <c r="F559" s="801"/>
    </row>
    <row r="560" spans="5:6" ht="15.75">
      <c r="E560" s="800"/>
      <c r="F560" s="801"/>
    </row>
    <row r="561" spans="5:6" ht="15.75">
      <c r="E561" s="800"/>
      <c r="F561" s="801"/>
    </row>
    <row r="562" spans="5:6" ht="15.75">
      <c r="E562" s="800"/>
      <c r="F562" s="801"/>
    </row>
    <row r="563" spans="5:6" ht="15.75">
      <c r="E563" s="800"/>
      <c r="F563" s="801"/>
    </row>
    <row r="564" spans="5:6" ht="15.75">
      <c r="E564" s="800"/>
      <c r="F564" s="801"/>
    </row>
    <row r="565" spans="5:6" ht="15.75">
      <c r="E565" s="800"/>
      <c r="F565" s="801"/>
    </row>
    <row r="566" spans="5:6" ht="15.75">
      <c r="E566" s="800"/>
      <c r="F566" s="801"/>
    </row>
    <row r="567" spans="5:6" ht="15.75">
      <c r="E567" s="800"/>
      <c r="F567" s="801"/>
    </row>
    <row r="568" spans="5:6" ht="15.75">
      <c r="E568" s="800"/>
      <c r="F568" s="801"/>
    </row>
    <row r="569" spans="5:6" ht="15.75">
      <c r="E569" s="800"/>
      <c r="F569" s="801"/>
    </row>
    <row r="570" spans="5:6" ht="15.75">
      <c r="E570" s="800"/>
      <c r="F570" s="801"/>
    </row>
    <row r="571" spans="5:6" ht="15.75">
      <c r="E571" s="800"/>
      <c r="F571" s="801"/>
    </row>
    <row r="572" spans="5:6" ht="15.75">
      <c r="E572" s="800"/>
      <c r="F572" s="801"/>
    </row>
    <row r="573" spans="5:6" ht="15.75">
      <c r="E573" s="800"/>
      <c r="F573" s="801"/>
    </row>
    <row r="574" spans="5:6" ht="15.75">
      <c r="E574" s="800"/>
      <c r="F574" s="801"/>
    </row>
    <row r="575" spans="5:6" ht="15.75">
      <c r="E575" s="800"/>
      <c r="F575" s="801"/>
    </row>
    <row r="576" spans="5:6" ht="15.75">
      <c r="E576" s="800"/>
      <c r="F576" s="801"/>
    </row>
    <row r="577" spans="5:6" ht="15.75">
      <c r="E577" s="800"/>
      <c r="F577" s="801"/>
    </row>
    <row r="578" spans="5:6" ht="15.75">
      <c r="E578" s="800"/>
      <c r="F578" s="801"/>
    </row>
    <row r="579" spans="5:6" ht="15.75">
      <c r="E579" s="800"/>
      <c r="F579" s="801"/>
    </row>
    <row r="580" spans="5:6" ht="15.75">
      <c r="E580" s="800"/>
      <c r="F580" s="801"/>
    </row>
    <row r="581" spans="5:6" ht="15.75">
      <c r="E581" s="800"/>
      <c r="F581" s="801"/>
    </row>
    <row r="582" spans="5:6" ht="15.75">
      <c r="E582" s="800"/>
      <c r="F582" s="801"/>
    </row>
    <row r="583" spans="5:6" ht="15.75">
      <c r="E583" s="800"/>
      <c r="F583" s="801"/>
    </row>
    <row r="584" spans="5:6" ht="15.75">
      <c r="E584" s="800"/>
      <c r="F584" s="801"/>
    </row>
    <row r="585" spans="5:6" ht="15.75">
      <c r="E585" s="800"/>
      <c r="F585" s="801"/>
    </row>
    <row r="586" spans="5:6" ht="15.75">
      <c r="E586" s="800"/>
      <c r="F586" s="801"/>
    </row>
    <row r="587" spans="5:6" ht="15.75">
      <c r="E587" s="800"/>
      <c r="F587" s="801"/>
    </row>
    <row r="588" spans="5:6" ht="15.75">
      <c r="E588" s="800"/>
      <c r="F588" s="801"/>
    </row>
    <row r="589" spans="5:6" ht="15.75">
      <c r="E589" s="800"/>
      <c r="F589" s="801"/>
    </row>
    <row r="590" spans="5:6" ht="15.75">
      <c r="E590" s="800"/>
      <c r="F590" s="801"/>
    </row>
    <row r="591" spans="5:6" ht="15.75">
      <c r="E591" s="800"/>
      <c r="F591" s="801"/>
    </row>
    <row r="592" spans="5:6" ht="15.75">
      <c r="E592" s="800"/>
      <c r="F592" s="801"/>
    </row>
    <row r="593" spans="5:6" ht="15.75">
      <c r="E593" s="800"/>
      <c r="F593" s="801"/>
    </row>
    <row r="594" spans="5:6" ht="15.75">
      <c r="E594" s="800"/>
      <c r="F594" s="801"/>
    </row>
    <row r="595" spans="5:6" ht="15.75">
      <c r="E595" s="800"/>
      <c r="F595" s="801"/>
    </row>
    <row r="596" spans="5:6" ht="15.75">
      <c r="E596" s="800"/>
      <c r="F596" s="801"/>
    </row>
    <row r="597" spans="5:6" ht="15.75">
      <c r="E597" s="800"/>
      <c r="F597" s="801"/>
    </row>
    <row r="598" spans="5:6" ht="15.75">
      <c r="E598" s="800"/>
      <c r="F598" s="801"/>
    </row>
    <row r="599" spans="5:6" ht="15.75">
      <c r="E599" s="800"/>
      <c r="F599" s="801"/>
    </row>
    <row r="600" spans="5:6" ht="15.75">
      <c r="E600" s="800"/>
      <c r="F600" s="801"/>
    </row>
    <row r="601" spans="5:6" ht="15.75">
      <c r="E601" s="800"/>
      <c r="F601" s="801"/>
    </row>
    <row r="602" spans="5:6" ht="15.75">
      <c r="E602" s="800"/>
      <c r="F602" s="801"/>
    </row>
    <row r="603" spans="5:6" ht="15.75">
      <c r="E603" s="800"/>
      <c r="F603" s="801"/>
    </row>
    <row r="604" spans="5:6" ht="15.75">
      <c r="E604" s="800"/>
      <c r="F604" s="801"/>
    </row>
    <row r="605" spans="5:6" ht="15.75">
      <c r="E605" s="800"/>
      <c r="F605" s="801"/>
    </row>
    <row r="606" spans="5:6" ht="15.75">
      <c r="E606" s="800"/>
      <c r="F606" s="801"/>
    </row>
    <row r="607" spans="5:6" ht="15.75">
      <c r="E607" s="800"/>
      <c r="F607" s="801"/>
    </row>
    <row r="608" spans="5:6" ht="15.75">
      <c r="E608" s="800"/>
      <c r="F608" s="801"/>
    </row>
    <row r="609" spans="5:6" ht="15.75">
      <c r="E609" s="800"/>
      <c r="F609" s="801"/>
    </row>
    <row r="610" spans="5:6" ht="15.75">
      <c r="E610" s="800"/>
      <c r="F610" s="801"/>
    </row>
    <row r="611" spans="5:6" ht="15.75">
      <c r="E611" s="800"/>
      <c r="F611" s="801"/>
    </row>
    <row r="612" spans="5:6" ht="15.75">
      <c r="E612" s="800"/>
      <c r="F612" s="801"/>
    </row>
    <row r="613" spans="5:6" ht="15.75">
      <c r="E613" s="800"/>
      <c r="F613" s="801"/>
    </row>
    <row r="614" spans="5:6" ht="15.75">
      <c r="E614" s="800"/>
      <c r="F614" s="801"/>
    </row>
    <row r="615" spans="5:6" ht="15.75">
      <c r="E615" s="800"/>
      <c r="F615" s="801"/>
    </row>
    <row r="616" spans="5:6" ht="15.75">
      <c r="E616" s="800"/>
      <c r="F616" s="801"/>
    </row>
    <row r="617" spans="5:6" ht="15.75">
      <c r="E617" s="800"/>
      <c r="F617" s="801"/>
    </row>
    <row r="618" spans="5:6" ht="15.75">
      <c r="E618" s="800"/>
      <c r="F618" s="801"/>
    </row>
    <row r="619" spans="5:6" ht="15.75">
      <c r="E619" s="800"/>
      <c r="F619" s="801"/>
    </row>
    <row r="620" spans="5:6" ht="15.75">
      <c r="E620" s="800"/>
      <c r="F620" s="801"/>
    </row>
    <row r="621" spans="5:6" ht="15.75">
      <c r="E621" s="800"/>
      <c r="F621" s="801"/>
    </row>
    <row r="622" spans="5:6" ht="15.75">
      <c r="E622" s="800"/>
      <c r="F622" s="801"/>
    </row>
    <row r="623" spans="5:6" ht="15.75">
      <c r="E623" s="800"/>
      <c r="F623" s="801"/>
    </row>
    <row r="624" spans="5:6" ht="15.75">
      <c r="E624" s="800"/>
      <c r="F624" s="801"/>
    </row>
    <row r="625" spans="5:6" ht="15.75">
      <c r="E625" s="800"/>
      <c r="F625" s="801"/>
    </row>
    <row r="626" spans="5:6" ht="15.75">
      <c r="E626" s="800"/>
      <c r="F626" s="801"/>
    </row>
    <row r="627" spans="5:6" ht="15.75">
      <c r="E627" s="800"/>
      <c r="F627" s="801"/>
    </row>
    <row r="628" spans="5:6" ht="15.75">
      <c r="E628" s="800"/>
      <c r="F628" s="801"/>
    </row>
    <row r="629" spans="5:6" ht="15.75">
      <c r="E629" s="800"/>
      <c r="F629" s="801"/>
    </row>
    <row r="630" spans="5:6" ht="15.75">
      <c r="E630" s="800"/>
      <c r="F630" s="801"/>
    </row>
    <row r="631" spans="5:6" ht="15.75">
      <c r="E631" s="800"/>
      <c r="F631" s="801"/>
    </row>
    <row r="632" spans="5:6" ht="15.75">
      <c r="E632" s="800"/>
      <c r="F632" s="801"/>
    </row>
    <row r="633" spans="5:6" ht="15.75">
      <c r="E633" s="800"/>
      <c r="F633" s="801"/>
    </row>
    <row r="634" spans="5:6" ht="15.75">
      <c r="E634" s="800"/>
      <c r="F634" s="801"/>
    </row>
    <row r="635" spans="5:6" ht="15.75">
      <c r="E635" s="800"/>
      <c r="F635" s="801"/>
    </row>
    <row r="636" spans="5:6" ht="15.75">
      <c r="E636" s="800"/>
      <c r="F636" s="801"/>
    </row>
    <row r="637" spans="5:6" ht="15.75">
      <c r="E637" s="800"/>
      <c r="F637" s="801"/>
    </row>
    <row r="638" spans="5:6" ht="15.75">
      <c r="E638" s="800"/>
      <c r="F638" s="801"/>
    </row>
    <row r="639" spans="5:6" ht="15.75">
      <c r="E639" s="800"/>
      <c r="F639" s="801"/>
    </row>
    <row r="640" spans="5:6" ht="15.75">
      <c r="E640" s="800"/>
      <c r="F640" s="801"/>
    </row>
    <row r="641" spans="5:6" ht="15.75">
      <c r="E641" s="800"/>
      <c r="F641" s="801"/>
    </row>
    <row r="642" spans="5:6" ht="15.75">
      <c r="E642" s="800"/>
      <c r="F642" s="801"/>
    </row>
    <row r="643" spans="5:6" ht="15.75">
      <c r="E643" s="800"/>
      <c r="F643" s="801"/>
    </row>
    <row r="644" spans="5:6" ht="15.75">
      <c r="E644" s="800"/>
      <c r="F644" s="801"/>
    </row>
    <row r="645" spans="5:6" ht="15.75">
      <c r="E645" s="800"/>
      <c r="F645" s="801"/>
    </row>
    <row r="646" spans="5:6" ht="15.75">
      <c r="E646" s="800"/>
      <c r="F646" s="801"/>
    </row>
    <row r="647" spans="5:6" ht="15.75">
      <c r="E647" s="800"/>
      <c r="F647" s="801"/>
    </row>
    <row r="648" spans="5:6" ht="15.75">
      <c r="E648" s="800"/>
      <c r="F648" s="801"/>
    </row>
    <row r="649" spans="5:6" ht="15.75">
      <c r="E649" s="800"/>
      <c r="F649" s="801"/>
    </row>
    <row r="650" spans="5:6" ht="15.75">
      <c r="E650" s="800"/>
      <c r="F650" s="801"/>
    </row>
    <row r="651" spans="5:6" ht="15.75">
      <c r="E651" s="800"/>
      <c r="F651" s="801"/>
    </row>
    <row r="652" spans="5:6" ht="15.75">
      <c r="E652" s="800"/>
      <c r="F652" s="801"/>
    </row>
    <row r="653" spans="5:6" ht="15.75">
      <c r="E653" s="800"/>
      <c r="F653" s="801"/>
    </row>
    <row r="654" spans="5:6" ht="15.75">
      <c r="E654" s="800"/>
      <c r="F654" s="801"/>
    </row>
    <row r="655" spans="5:6" ht="15.75">
      <c r="E655" s="800"/>
      <c r="F655" s="801"/>
    </row>
    <row r="656" spans="5:6" ht="15.75">
      <c r="E656" s="800"/>
      <c r="F656" s="801"/>
    </row>
    <row r="657" spans="5:6" ht="15.75">
      <c r="E657" s="800"/>
      <c r="F657" s="801"/>
    </row>
    <row r="658" spans="5:6" ht="15.75">
      <c r="E658" s="800"/>
      <c r="F658" s="801"/>
    </row>
    <row r="659" spans="5:6" ht="15.75">
      <c r="E659" s="800"/>
      <c r="F659" s="801"/>
    </row>
    <row r="660" spans="5:6" ht="15.75">
      <c r="E660" s="800"/>
      <c r="F660" s="801"/>
    </row>
    <row r="661" spans="5:6" ht="15.75">
      <c r="E661" s="800"/>
      <c r="F661" s="801"/>
    </row>
    <row r="662" spans="5:6" ht="15.75">
      <c r="E662" s="800"/>
      <c r="F662" s="801"/>
    </row>
    <row r="663" spans="5:6" ht="15.75">
      <c r="E663" s="800"/>
      <c r="F663" s="801"/>
    </row>
    <row r="664" spans="5:6" ht="15.75">
      <c r="E664" s="800"/>
      <c r="F664" s="801"/>
    </row>
    <row r="665" spans="5:6" ht="15.75">
      <c r="E665" s="800"/>
      <c r="F665" s="801"/>
    </row>
    <row r="666" spans="5:6" ht="15.75">
      <c r="E666" s="800"/>
      <c r="F666" s="801"/>
    </row>
    <row r="667" spans="5:6" ht="15.75">
      <c r="E667" s="800"/>
      <c r="F667" s="801"/>
    </row>
    <row r="668" spans="5:6" ht="15.75">
      <c r="E668" s="800"/>
      <c r="F668" s="801"/>
    </row>
    <row r="669" spans="5:6" ht="15.75">
      <c r="E669" s="800"/>
      <c r="F669" s="801"/>
    </row>
    <row r="670" spans="5:6" ht="15.75">
      <c r="E670" s="800"/>
      <c r="F670" s="801"/>
    </row>
    <row r="671" spans="5:6" ht="15.75">
      <c r="E671" s="800"/>
      <c r="F671" s="801"/>
    </row>
    <row r="672" spans="5:6" ht="15.75">
      <c r="E672" s="800"/>
      <c r="F672" s="801"/>
    </row>
    <row r="673" spans="5:6" ht="15.75">
      <c r="E673" s="800"/>
      <c r="F673" s="801"/>
    </row>
    <row r="674" spans="5:6" ht="15.75">
      <c r="E674" s="800"/>
      <c r="F674" s="801"/>
    </row>
    <row r="675" spans="5:6" ht="15.75">
      <c r="E675" s="800"/>
      <c r="F675" s="801"/>
    </row>
    <row r="676" spans="5:6" ht="15.75">
      <c r="E676" s="800"/>
      <c r="F676" s="801"/>
    </row>
    <row r="677" spans="5:6" ht="15.75">
      <c r="E677" s="800"/>
      <c r="F677" s="801"/>
    </row>
    <row r="678" spans="5:6" ht="15.75">
      <c r="E678" s="800"/>
      <c r="F678" s="801"/>
    </row>
    <row r="679" spans="5:6" ht="15.75">
      <c r="E679" s="800"/>
      <c r="F679" s="801"/>
    </row>
    <row r="680" spans="5:6" ht="15.75">
      <c r="E680" s="800"/>
      <c r="F680" s="801"/>
    </row>
    <row r="681" spans="5:6" ht="15.75">
      <c r="E681" s="800"/>
      <c r="F681" s="801"/>
    </row>
    <row r="682" spans="5:6" ht="15.75">
      <c r="E682" s="800"/>
      <c r="F682" s="801"/>
    </row>
    <row r="683" spans="5:6" ht="15.75">
      <c r="E683" s="800"/>
      <c r="F683" s="801"/>
    </row>
    <row r="684" spans="5:6" ht="15.75">
      <c r="E684" s="800"/>
      <c r="F684" s="801"/>
    </row>
    <row r="685" spans="5:6" ht="15.75">
      <c r="E685" s="800"/>
      <c r="F685" s="801"/>
    </row>
    <row r="686" spans="5:6" ht="15.75">
      <c r="E686" s="800"/>
      <c r="F686" s="801"/>
    </row>
    <row r="687" spans="5:6" ht="15.75">
      <c r="E687" s="800"/>
      <c r="F687" s="801"/>
    </row>
    <row r="688" spans="5:6" ht="15.75">
      <c r="E688" s="800"/>
      <c r="F688" s="801"/>
    </row>
    <row r="689" spans="5:6" ht="15.75">
      <c r="E689" s="800"/>
      <c r="F689" s="801"/>
    </row>
    <row r="690" spans="5:6" ht="15.75">
      <c r="E690" s="800"/>
      <c r="F690" s="801"/>
    </row>
    <row r="691" spans="5:6" ht="15.75">
      <c r="E691" s="800"/>
      <c r="F691" s="801"/>
    </row>
    <row r="692" spans="5:6" ht="15.75">
      <c r="E692" s="800"/>
      <c r="F692" s="801"/>
    </row>
    <row r="693" spans="5:6" ht="15.75">
      <c r="E693" s="800"/>
      <c r="F693" s="801"/>
    </row>
    <row r="694" spans="5:6" ht="15.75">
      <c r="E694" s="800"/>
      <c r="F694" s="801"/>
    </row>
    <row r="695" spans="5:6" ht="15.75">
      <c r="E695" s="800"/>
      <c r="F695" s="801"/>
    </row>
    <row r="696" spans="5:6" ht="15.75">
      <c r="E696" s="800"/>
      <c r="F696" s="801"/>
    </row>
    <row r="697" spans="5:6" ht="15.75">
      <c r="E697" s="800"/>
      <c r="F697" s="801"/>
    </row>
    <row r="698" spans="5:6" ht="15.75">
      <c r="E698" s="800"/>
      <c r="F698" s="801"/>
    </row>
    <row r="699" spans="5:6" ht="15.75">
      <c r="E699" s="800"/>
      <c r="F699" s="801"/>
    </row>
    <row r="700" spans="5:6" ht="15.75">
      <c r="E700" s="800"/>
      <c r="F700" s="801"/>
    </row>
    <row r="701" spans="5:6" ht="15.75">
      <c r="E701" s="800"/>
      <c r="F701" s="801"/>
    </row>
    <row r="702" spans="5:6" ht="15.75">
      <c r="E702" s="800"/>
      <c r="F702" s="801"/>
    </row>
    <row r="703" spans="5:6" ht="15.75">
      <c r="E703" s="800"/>
      <c r="F703" s="801"/>
    </row>
    <row r="704" spans="5:6" ht="15.75">
      <c r="E704" s="800"/>
      <c r="F704" s="801"/>
    </row>
    <row r="705" spans="5:6" ht="15.75">
      <c r="E705" s="800"/>
      <c r="F705" s="801"/>
    </row>
    <row r="706" spans="5:6" ht="15.75">
      <c r="E706" s="800"/>
      <c r="F706" s="801"/>
    </row>
    <row r="707" spans="5:6" ht="15.75">
      <c r="E707" s="800"/>
      <c r="F707" s="801"/>
    </row>
    <row r="708" spans="5:6" ht="15.75">
      <c r="E708" s="800"/>
      <c r="F708" s="801"/>
    </row>
    <row r="709" spans="5:6" ht="15.75">
      <c r="E709" s="800"/>
      <c r="F709" s="801"/>
    </row>
    <row r="710" spans="5:6" ht="15.75">
      <c r="E710" s="800"/>
      <c r="F710" s="801"/>
    </row>
    <row r="711" spans="5:6" ht="15.75">
      <c r="E711" s="800"/>
      <c r="F711" s="801"/>
    </row>
    <row r="712" spans="5:6" ht="15.75">
      <c r="E712" s="800"/>
      <c r="F712" s="801"/>
    </row>
    <row r="713" spans="5:6" ht="15.75">
      <c r="E713" s="800"/>
      <c r="F713" s="801"/>
    </row>
    <row r="714" spans="5:6" ht="15.75">
      <c r="E714" s="800"/>
      <c r="F714" s="801"/>
    </row>
    <row r="715" spans="5:6" ht="15.75">
      <c r="E715" s="800"/>
      <c r="F715" s="801"/>
    </row>
    <row r="716" spans="5:6" ht="15.75">
      <c r="E716" s="800"/>
      <c r="F716" s="801"/>
    </row>
    <row r="717" spans="5:6" ht="15.75">
      <c r="E717" s="800"/>
      <c r="F717" s="801"/>
    </row>
    <row r="718" spans="5:6" ht="15.75">
      <c r="E718" s="800"/>
      <c r="F718" s="801"/>
    </row>
    <row r="719" spans="5:6" ht="15.75">
      <c r="E719" s="800"/>
      <c r="F719" s="801"/>
    </row>
    <row r="720" spans="5:6" ht="15.75">
      <c r="E720" s="800"/>
      <c r="F720" s="801"/>
    </row>
    <row r="721" spans="5:6" ht="15.75">
      <c r="E721" s="800"/>
      <c r="F721" s="801"/>
    </row>
    <row r="722" spans="5:6" ht="15.75">
      <c r="E722" s="800"/>
      <c r="F722" s="801"/>
    </row>
    <row r="723" spans="5:6" ht="15.75">
      <c r="E723" s="800"/>
      <c r="F723" s="801"/>
    </row>
    <row r="724" spans="5:6" ht="15.75">
      <c r="E724" s="800"/>
      <c r="F724" s="801"/>
    </row>
    <row r="725" spans="5:6" ht="15.75">
      <c r="E725" s="800"/>
      <c r="F725" s="801"/>
    </row>
    <row r="726" spans="5:6" ht="15.75">
      <c r="E726" s="800"/>
      <c r="F726" s="801"/>
    </row>
    <row r="727" spans="5:6" ht="15.75">
      <c r="E727" s="800"/>
      <c r="F727" s="801"/>
    </row>
    <row r="728" spans="5:6" ht="15.75">
      <c r="E728" s="800"/>
      <c r="F728" s="801"/>
    </row>
    <row r="729" spans="5:6" ht="15.75">
      <c r="E729" s="800"/>
      <c r="F729" s="801"/>
    </row>
    <row r="730" spans="5:6" ht="15.75">
      <c r="E730" s="800"/>
      <c r="F730" s="801"/>
    </row>
    <row r="731" spans="5:6" ht="15.75">
      <c r="E731" s="800"/>
      <c r="F731" s="801"/>
    </row>
    <row r="732" spans="5:6" ht="15.75">
      <c r="E732" s="800"/>
      <c r="F732" s="801"/>
    </row>
    <row r="733" spans="5:6" ht="15.75">
      <c r="E733" s="800"/>
      <c r="F733" s="801"/>
    </row>
    <row r="734" spans="5:6" ht="15.75">
      <c r="E734" s="800"/>
      <c r="F734" s="801"/>
    </row>
    <row r="735" spans="5:6" ht="15.75">
      <c r="E735" s="800"/>
      <c r="F735" s="801"/>
    </row>
    <row r="736" spans="5:6" ht="15.75">
      <c r="E736" s="800"/>
      <c r="F736" s="801"/>
    </row>
    <row r="737" spans="5:6" ht="15.75">
      <c r="E737" s="800"/>
      <c r="F737" s="801"/>
    </row>
    <row r="738" spans="5:6" ht="15.75">
      <c r="E738" s="800"/>
      <c r="F738" s="801"/>
    </row>
    <row r="739" spans="5:6" ht="15.75">
      <c r="E739" s="800"/>
      <c r="F739" s="801"/>
    </row>
    <row r="740" spans="5:6" ht="15.75">
      <c r="E740" s="800"/>
      <c r="F740" s="801"/>
    </row>
    <row r="741" spans="5:6" ht="15.75">
      <c r="E741" s="800"/>
      <c r="F741" s="801"/>
    </row>
    <row r="742" spans="5:6" ht="15.75">
      <c r="E742" s="800"/>
      <c r="F742" s="801"/>
    </row>
    <row r="743" spans="5:6" ht="15.75">
      <c r="E743" s="800"/>
      <c r="F743" s="801"/>
    </row>
    <row r="744" spans="5:6" ht="15.75">
      <c r="E744" s="800"/>
      <c r="F744" s="801"/>
    </row>
    <row r="745" spans="5:6" ht="15.75">
      <c r="E745" s="800"/>
      <c r="F745" s="801"/>
    </row>
    <row r="746" spans="5:6" ht="15.75">
      <c r="E746" s="800"/>
      <c r="F746" s="801"/>
    </row>
    <row r="747" spans="5:6" ht="15.75">
      <c r="E747" s="800"/>
      <c r="F747" s="801"/>
    </row>
    <row r="748" spans="5:6" ht="15.75">
      <c r="E748" s="800"/>
      <c r="F748" s="801"/>
    </row>
    <row r="749" spans="5:6" ht="15.75">
      <c r="E749" s="800"/>
      <c r="F749" s="801"/>
    </row>
    <row r="750" spans="5:6" ht="15.75">
      <c r="E750" s="800"/>
      <c r="F750" s="801"/>
    </row>
    <row r="751" spans="5:6" ht="15.75">
      <c r="E751" s="800"/>
      <c r="F751" s="801"/>
    </row>
    <row r="752" spans="5:6" ht="15.75">
      <c r="E752" s="800"/>
      <c r="F752" s="801"/>
    </row>
    <row r="753" spans="5:6" ht="15.75">
      <c r="E753" s="800"/>
      <c r="F753" s="801"/>
    </row>
    <row r="754" spans="5:6" ht="15.75">
      <c r="E754" s="800"/>
      <c r="F754" s="801"/>
    </row>
    <row r="755" spans="5:6" ht="15.75">
      <c r="E755" s="800"/>
      <c r="F755" s="801"/>
    </row>
    <row r="756" spans="5:6" ht="15.75">
      <c r="E756" s="800"/>
      <c r="F756" s="801"/>
    </row>
    <row r="757" spans="5:6" ht="15.75">
      <c r="E757" s="800"/>
      <c r="F757" s="801"/>
    </row>
    <row r="758" spans="5:6" ht="15.75">
      <c r="E758" s="800"/>
      <c r="F758" s="801"/>
    </row>
    <row r="759" spans="5:6" ht="15.75">
      <c r="E759" s="800"/>
      <c r="F759" s="801"/>
    </row>
    <row r="760" spans="5:6" ht="15.75">
      <c r="E760" s="800"/>
      <c r="F760" s="801"/>
    </row>
    <row r="761" spans="5:6" ht="15.75">
      <c r="E761" s="800"/>
      <c r="F761" s="801"/>
    </row>
    <row r="762" spans="5:6" ht="15.75">
      <c r="E762" s="800"/>
      <c r="F762" s="801"/>
    </row>
    <row r="763" spans="5:6" ht="15.75">
      <c r="E763" s="800"/>
      <c r="F763" s="801"/>
    </row>
    <row r="764" spans="5:6" ht="15.75">
      <c r="E764" s="800"/>
      <c r="F764" s="801"/>
    </row>
    <row r="765" spans="5:6" ht="15.75">
      <c r="E765" s="800"/>
      <c r="F765" s="801"/>
    </row>
    <row r="766" spans="5:6" ht="15.75">
      <c r="E766" s="800"/>
      <c r="F766" s="801"/>
    </row>
    <row r="767" spans="5:6" ht="15.75">
      <c r="E767" s="800"/>
      <c r="F767" s="801"/>
    </row>
    <row r="768" spans="5:6" ht="15.75">
      <c r="E768" s="800"/>
      <c r="F768" s="801"/>
    </row>
    <row r="769" spans="5:6" ht="15.75">
      <c r="E769" s="800"/>
      <c r="F769" s="801"/>
    </row>
    <row r="770" spans="5:6" ht="15.75">
      <c r="E770" s="800"/>
      <c r="F770" s="801"/>
    </row>
    <row r="771" spans="5:6" ht="15.75">
      <c r="E771" s="800"/>
      <c r="F771" s="801"/>
    </row>
    <row r="772" spans="5:6" ht="15.75">
      <c r="E772" s="800"/>
      <c r="F772" s="801"/>
    </row>
    <row r="773" spans="5:6" ht="15.75">
      <c r="E773" s="800"/>
      <c r="F773" s="801"/>
    </row>
    <row r="774" spans="5:6" ht="15.75">
      <c r="E774" s="800"/>
      <c r="F774" s="801"/>
    </row>
    <row r="775" spans="5:6" ht="15.75">
      <c r="E775" s="800"/>
      <c r="F775" s="801"/>
    </row>
    <row r="776" spans="5:6" ht="15.75">
      <c r="E776" s="800"/>
      <c r="F776" s="801"/>
    </row>
    <row r="777" spans="5:6" ht="15.75">
      <c r="E777" s="800"/>
      <c r="F777" s="801"/>
    </row>
    <row r="778" spans="5:6" ht="15.75">
      <c r="E778" s="800"/>
      <c r="F778" s="801"/>
    </row>
    <row r="779" spans="5:6" ht="15.75">
      <c r="E779" s="800"/>
      <c r="F779" s="801"/>
    </row>
    <row r="780" spans="5:6" ht="15.75">
      <c r="E780" s="800"/>
      <c r="F780" s="801"/>
    </row>
    <row r="781" spans="5:6" ht="15.75">
      <c r="E781" s="800"/>
      <c r="F781" s="801"/>
    </row>
    <row r="782" spans="5:6" ht="15.75">
      <c r="E782" s="800"/>
      <c r="F782" s="801"/>
    </row>
    <row r="783" spans="5:6" ht="15.75">
      <c r="E783" s="800"/>
      <c r="F783" s="801"/>
    </row>
    <row r="784" spans="5:6" ht="15.75">
      <c r="E784" s="800"/>
      <c r="F784" s="801"/>
    </row>
    <row r="785" spans="5:6" ht="15.75">
      <c r="E785" s="800"/>
      <c r="F785" s="801"/>
    </row>
    <row r="786" spans="5:6" ht="15.75">
      <c r="E786" s="800"/>
      <c r="F786" s="801"/>
    </row>
    <row r="787" spans="5:6" ht="15.75">
      <c r="E787" s="800"/>
      <c r="F787" s="801"/>
    </row>
    <row r="788" spans="5:6" ht="15.75">
      <c r="E788" s="800"/>
      <c r="F788" s="801"/>
    </row>
    <row r="789" spans="5:6" ht="15.75">
      <c r="E789" s="800"/>
      <c r="F789" s="801"/>
    </row>
    <row r="790" spans="5:6" ht="15.75">
      <c r="E790" s="800"/>
      <c r="F790" s="801"/>
    </row>
    <row r="791" spans="5:6" ht="15.75">
      <c r="E791" s="800"/>
      <c r="F791" s="801"/>
    </row>
    <row r="792" spans="5:6" ht="15.75">
      <c r="E792" s="800"/>
      <c r="F792" s="801"/>
    </row>
    <row r="793" spans="5:6" ht="15.75">
      <c r="E793" s="800"/>
      <c r="F793" s="801"/>
    </row>
    <row r="794" spans="5:6" ht="15.75">
      <c r="E794" s="800"/>
      <c r="F794" s="801"/>
    </row>
    <row r="795" spans="5:6" ht="15.75">
      <c r="E795" s="800"/>
      <c r="F795" s="801"/>
    </row>
    <row r="796" spans="5:6" ht="15.75">
      <c r="E796" s="800"/>
      <c r="F796" s="801"/>
    </row>
    <row r="797" spans="5:6" ht="15.75">
      <c r="E797" s="800"/>
      <c r="F797" s="801"/>
    </row>
    <row r="798" spans="5:6" ht="15.75">
      <c r="E798" s="800"/>
      <c r="F798" s="801"/>
    </row>
    <row r="799" spans="5:6" ht="15.75">
      <c r="E799" s="800"/>
      <c r="F799" s="801"/>
    </row>
    <row r="800" spans="5:6" ht="15.75">
      <c r="E800" s="800"/>
      <c r="F800" s="801"/>
    </row>
    <row r="801" spans="5:6" ht="15.75">
      <c r="E801" s="800"/>
      <c r="F801" s="801"/>
    </row>
    <row r="802" spans="5:6" ht="15.75">
      <c r="E802" s="800"/>
      <c r="F802" s="801"/>
    </row>
    <row r="803" spans="5:6" ht="15.75">
      <c r="E803" s="800"/>
      <c r="F803" s="801"/>
    </row>
    <row r="804" spans="5:6" ht="15.75">
      <c r="E804" s="800"/>
      <c r="F804" s="801"/>
    </row>
    <row r="805" spans="5:6" ht="15.75">
      <c r="E805" s="800"/>
      <c r="F805" s="801"/>
    </row>
    <row r="806" spans="5:6" ht="15.75">
      <c r="E806" s="800"/>
      <c r="F806" s="801"/>
    </row>
    <row r="807" spans="5:6" ht="15.75">
      <c r="E807" s="800"/>
      <c r="F807" s="801"/>
    </row>
    <row r="808" spans="5:6" ht="15.75">
      <c r="E808" s="800"/>
      <c r="F808" s="801"/>
    </row>
    <row r="809" spans="5:6" ht="15.75">
      <c r="E809" s="800"/>
      <c r="F809" s="801"/>
    </row>
    <row r="810" spans="5:6" ht="15.75">
      <c r="E810" s="800"/>
      <c r="F810" s="801"/>
    </row>
    <row r="811" spans="5:6" ht="15.75">
      <c r="E811" s="800"/>
      <c r="F811" s="801"/>
    </row>
    <row r="812" spans="5:6" ht="15.75">
      <c r="E812" s="800"/>
      <c r="F812" s="801"/>
    </row>
    <row r="813" spans="5:6" ht="15.75">
      <c r="E813" s="800"/>
      <c r="F813" s="801"/>
    </row>
    <row r="814" spans="5:6" ht="15.75">
      <c r="E814" s="800"/>
      <c r="F814" s="801"/>
    </row>
    <row r="815" spans="5:6" ht="15.75">
      <c r="E815" s="800"/>
      <c r="F815" s="801"/>
    </row>
    <row r="816" spans="5:6" ht="15.75">
      <c r="E816" s="800"/>
      <c r="F816" s="801"/>
    </row>
    <row r="817" spans="5:6" ht="15.75">
      <c r="E817" s="800"/>
      <c r="F817" s="801"/>
    </row>
    <row r="818" spans="5:6" ht="15.75">
      <c r="E818" s="800"/>
      <c r="F818" s="801"/>
    </row>
    <row r="819" spans="5:6" ht="15.75">
      <c r="E819" s="800"/>
      <c r="F819" s="801"/>
    </row>
    <row r="820" spans="5:6" ht="15.75">
      <c r="E820" s="800"/>
      <c r="F820" s="801"/>
    </row>
    <row r="821" spans="5:6" ht="15.75">
      <c r="E821" s="800"/>
      <c r="F821" s="801"/>
    </row>
    <row r="822" spans="5:6" ht="15.75">
      <c r="E822" s="800"/>
      <c r="F822" s="801"/>
    </row>
    <row r="823" spans="5:6" ht="15.75">
      <c r="E823" s="800"/>
      <c r="F823" s="801"/>
    </row>
    <row r="824" spans="5:6" ht="15.75">
      <c r="E824" s="800"/>
      <c r="F824" s="801"/>
    </row>
    <row r="825" spans="5:6" ht="15.75">
      <c r="E825" s="800"/>
      <c r="F825" s="801"/>
    </row>
    <row r="826" spans="5:6" ht="15.75">
      <c r="E826" s="800"/>
      <c r="F826" s="801"/>
    </row>
    <row r="827" spans="5:6" ht="15.75">
      <c r="E827" s="800"/>
      <c r="F827" s="801"/>
    </row>
    <row r="828" spans="5:6" ht="15.75">
      <c r="E828" s="800"/>
      <c r="F828" s="801"/>
    </row>
    <row r="829" spans="5:6" ht="15.75">
      <c r="E829" s="800"/>
      <c r="F829" s="801"/>
    </row>
    <row r="830" spans="5:6" ht="15.75">
      <c r="E830" s="800"/>
      <c r="F830" s="801"/>
    </row>
    <row r="831" spans="5:6" ht="15.75">
      <c r="E831" s="800"/>
      <c r="F831" s="801"/>
    </row>
    <row r="832" spans="5:6" ht="15.75">
      <c r="E832" s="800"/>
      <c r="F832" s="801"/>
    </row>
    <row r="833" spans="5:6" ht="15.75">
      <c r="E833" s="800"/>
      <c r="F833" s="801"/>
    </row>
    <row r="834" spans="5:6" ht="15.75">
      <c r="E834" s="800"/>
      <c r="F834" s="801"/>
    </row>
    <row r="835" spans="5:6" ht="15.75">
      <c r="E835" s="800"/>
      <c r="F835" s="801"/>
    </row>
    <row r="836" spans="5:6" ht="15.75">
      <c r="E836" s="800"/>
      <c r="F836" s="801"/>
    </row>
    <row r="837" spans="5:6" ht="15.75">
      <c r="E837" s="800"/>
      <c r="F837" s="801"/>
    </row>
    <row r="838" spans="5:6" ht="15.75">
      <c r="E838" s="800"/>
      <c r="F838" s="801"/>
    </row>
    <row r="839" spans="5:6" ht="15.75">
      <c r="E839" s="800"/>
      <c r="F839" s="801"/>
    </row>
    <row r="840" spans="5:6" ht="15.75">
      <c r="E840" s="800"/>
      <c r="F840" s="801"/>
    </row>
    <row r="841" spans="5:6" ht="15.75">
      <c r="E841" s="800"/>
      <c r="F841" s="801"/>
    </row>
    <row r="842" spans="5:6" ht="15.75">
      <c r="E842" s="800"/>
      <c r="F842" s="801"/>
    </row>
    <row r="843" spans="5:6" ht="15.75">
      <c r="E843" s="800"/>
      <c r="F843" s="801"/>
    </row>
    <row r="844" spans="5:6" ht="15.75">
      <c r="E844" s="800"/>
      <c r="F844" s="801"/>
    </row>
    <row r="845" spans="5:6" ht="15.75">
      <c r="E845" s="800"/>
      <c r="F845" s="801"/>
    </row>
    <row r="846" spans="5:6" ht="15.75">
      <c r="E846" s="800"/>
      <c r="F846" s="801"/>
    </row>
    <row r="847" spans="5:6" ht="15.75">
      <c r="E847" s="800"/>
      <c r="F847" s="801"/>
    </row>
    <row r="848" spans="5:6" ht="15.75">
      <c r="E848" s="800"/>
      <c r="F848" s="801"/>
    </row>
    <row r="849" spans="5:6" ht="15.75">
      <c r="E849" s="800"/>
      <c r="F849" s="801"/>
    </row>
    <row r="850" spans="5:6" ht="15.75">
      <c r="E850" s="800"/>
      <c r="F850" s="801"/>
    </row>
    <row r="851" spans="5:6" ht="15.75">
      <c r="E851" s="800"/>
      <c r="F851" s="801"/>
    </row>
    <row r="852" spans="5:6" ht="15.75">
      <c r="E852" s="800"/>
      <c r="F852" s="801"/>
    </row>
    <row r="853" spans="5:6" ht="15.75">
      <c r="E853" s="800"/>
      <c r="F853" s="801"/>
    </row>
    <row r="854" spans="5:6" ht="15.75">
      <c r="E854" s="800"/>
      <c r="F854" s="801"/>
    </row>
    <row r="855" spans="5:6" ht="15.75">
      <c r="E855" s="800"/>
      <c r="F855" s="801"/>
    </row>
    <row r="856" spans="5:6" ht="15.75">
      <c r="E856" s="800"/>
      <c r="F856" s="801"/>
    </row>
    <row r="857" spans="5:6" ht="15.75">
      <c r="E857" s="800"/>
      <c r="F857" s="801"/>
    </row>
    <row r="858" spans="5:6" ht="15.75">
      <c r="E858" s="800"/>
      <c r="F858" s="801"/>
    </row>
    <row r="859" spans="5:6" ht="15.75">
      <c r="E859" s="800"/>
      <c r="F859" s="801"/>
    </row>
    <row r="860" spans="5:6" ht="15.75">
      <c r="E860" s="800"/>
      <c r="F860" s="801"/>
    </row>
    <row r="861" spans="5:6" ht="15.75">
      <c r="E861" s="800"/>
      <c r="F861" s="801"/>
    </row>
    <row r="862" spans="5:6" ht="15.75">
      <c r="E862" s="800"/>
      <c r="F862" s="801"/>
    </row>
    <row r="863" spans="5:6" ht="15.75">
      <c r="E863" s="800"/>
      <c r="F863" s="801"/>
    </row>
    <row r="864" spans="5:6" ht="15.75">
      <c r="E864" s="800"/>
      <c r="F864" s="801"/>
    </row>
    <row r="865" spans="5:6" ht="15.75">
      <c r="E865" s="800"/>
      <c r="F865" s="801"/>
    </row>
    <row r="866" spans="5:6" ht="15.75">
      <c r="E866" s="800"/>
      <c r="F866" s="801"/>
    </row>
    <row r="867" spans="5:6" ht="15.75">
      <c r="E867" s="800"/>
      <c r="F867" s="801"/>
    </row>
    <row r="868" spans="5:6" ht="15.75">
      <c r="E868" s="800"/>
      <c r="F868" s="801"/>
    </row>
    <row r="869" spans="5:6" ht="15.75">
      <c r="E869" s="800"/>
      <c r="F869" s="801"/>
    </row>
    <row r="870" spans="5:6" ht="15.75">
      <c r="E870" s="800"/>
      <c r="F870" s="801"/>
    </row>
    <row r="871" spans="5:6" ht="15.75">
      <c r="E871" s="800"/>
      <c r="F871" s="801"/>
    </row>
    <row r="872" spans="5:6" ht="15.75">
      <c r="E872" s="800"/>
      <c r="F872" s="801"/>
    </row>
    <row r="873" spans="5:6" ht="15.75">
      <c r="E873" s="800"/>
      <c r="F873" s="801"/>
    </row>
    <row r="874" spans="5:6" ht="15.75">
      <c r="E874" s="800"/>
      <c r="F874" s="801"/>
    </row>
    <row r="875" spans="5:6" ht="15.75">
      <c r="E875" s="800"/>
      <c r="F875" s="801"/>
    </row>
    <row r="876" spans="5:6" ht="15.75">
      <c r="E876" s="800"/>
      <c r="F876" s="801"/>
    </row>
    <row r="877" spans="5:6" ht="15.75">
      <c r="E877" s="800"/>
      <c r="F877" s="801"/>
    </row>
    <row r="878" spans="5:6" ht="15.75">
      <c r="E878" s="800"/>
      <c r="F878" s="801"/>
    </row>
    <row r="879" spans="5:6" ht="15.75">
      <c r="E879" s="800"/>
      <c r="F879" s="801"/>
    </row>
    <row r="880" spans="5:6" ht="15.75">
      <c r="E880" s="800"/>
      <c r="F880" s="801"/>
    </row>
    <row r="881" spans="5:6" ht="15.75">
      <c r="E881" s="800"/>
      <c r="F881" s="801"/>
    </row>
    <row r="882" spans="5:6" ht="15.75">
      <c r="E882" s="800"/>
      <c r="F882" s="801"/>
    </row>
    <row r="883" spans="5:6" ht="15.75">
      <c r="E883" s="800"/>
      <c r="F883" s="801"/>
    </row>
    <row r="884" spans="5:6" ht="15.75">
      <c r="E884" s="800"/>
      <c r="F884" s="801"/>
    </row>
    <row r="885" spans="5:6" ht="15.75">
      <c r="E885" s="800"/>
      <c r="F885" s="801"/>
    </row>
    <row r="886" spans="5:6" ht="15.75">
      <c r="E886" s="800"/>
      <c r="F886" s="801"/>
    </row>
    <row r="887" spans="5:6" ht="15.75">
      <c r="E887" s="800"/>
      <c r="F887" s="801"/>
    </row>
    <row r="888" spans="5:6" ht="15.75">
      <c r="E888" s="800"/>
      <c r="F888" s="801"/>
    </row>
    <row r="889" spans="5:6" ht="15.75">
      <c r="E889" s="800"/>
      <c r="F889" s="801"/>
    </row>
    <row r="890" spans="5:6" ht="15.75">
      <c r="E890" s="800"/>
      <c r="F890" s="801"/>
    </row>
    <row r="891" spans="5:6" ht="15.75">
      <c r="E891" s="800"/>
      <c r="F891" s="801"/>
    </row>
    <row r="892" spans="5:6" ht="15.75">
      <c r="E892" s="800"/>
      <c r="F892" s="801"/>
    </row>
    <row r="893" spans="5:6" ht="15.75">
      <c r="E893" s="800"/>
      <c r="F893" s="801"/>
    </row>
    <row r="894" spans="5:6" ht="15.75">
      <c r="E894" s="800"/>
      <c r="F894" s="801"/>
    </row>
    <row r="895" spans="5:6" ht="15.75">
      <c r="E895" s="800"/>
      <c r="F895" s="801"/>
    </row>
    <row r="896" spans="5:6" ht="15.75">
      <c r="E896" s="800"/>
      <c r="F896" s="801"/>
    </row>
    <row r="897" spans="5:6" ht="15.75">
      <c r="E897" s="800"/>
      <c r="F897" s="801"/>
    </row>
    <row r="898" spans="5:6" ht="15.75">
      <c r="E898" s="800"/>
      <c r="F898" s="801"/>
    </row>
    <row r="899" spans="5:6" ht="15.75">
      <c r="E899" s="800"/>
      <c r="F899" s="801"/>
    </row>
    <row r="900" spans="5:6" ht="15.75">
      <c r="E900" s="800"/>
      <c r="F900" s="801"/>
    </row>
    <row r="901" spans="5:6" ht="15.75">
      <c r="E901" s="800"/>
      <c r="F901" s="801"/>
    </row>
    <row r="902" spans="5:6" ht="15.75">
      <c r="E902" s="800"/>
      <c r="F902" s="801"/>
    </row>
    <row r="903" spans="5:6" ht="15.75">
      <c r="E903" s="800"/>
      <c r="F903" s="801"/>
    </row>
    <row r="904" spans="5:6" ht="15.75">
      <c r="E904" s="800"/>
      <c r="F904" s="801"/>
    </row>
    <row r="905" spans="5:6" ht="15.75">
      <c r="E905" s="800"/>
      <c r="F905" s="801"/>
    </row>
    <row r="906" spans="5:6" ht="15.75">
      <c r="E906" s="800"/>
      <c r="F906" s="801"/>
    </row>
    <row r="907" spans="5:6" ht="15.75">
      <c r="E907" s="800"/>
      <c r="F907" s="801"/>
    </row>
    <row r="908" spans="5:6" ht="15.75">
      <c r="E908" s="800"/>
      <c r="F908" s="801"/>
    </row>
    <row r="909" spans="5:6" ht="15.75">
      <c r="E909" s="800"/>
      <c r="F909" s="801"/>
    </row>
    <row r="910" spans="5:6" ht="15.75">
      <c r="E910" s="800"/>
      <c r="F910" s="801"/>
    </row>
    <row r="911" spans="5:6" ht="15.75">
      <c r="E911" s="800"/>
      <c r="F911" s="801"/>
    </row>
    <row r="912" spans="5:6" ht="15.75">
      <c r="E912" s="800"/>
      <c r="F912" s="801"/>
    </row>
    <row r="913" spans="5:6" ht="15.75">
      <c r="E913" s="800"/>
      <c r="F913" s="801"/>
    </row>
    <row r="914" spans="5:6" ht="15.75">
      <c r="E914" s="800"/>
      <c r="F914" s="801"/>
    </row>
    <row r="915" spans="5:6" ht="15.75">
      <c r="E915" s="800"/>
      <c r="F915" s="801"/>
    </row>
    <row r="916" spans="5:6" ht="15.75">
      <c r="E916" s="800"/>
      <c r="F916" s="801"/>
    </row>
    <row r="917" spans="5:6" ht="15.75">
      <c r="E917" s="800"/>
      <c r="F917" s="801"/>
    </row>
    <row r="918" spans="5:6" ht="15.75">
      <c r="E918" s="800"/>
      <c r="F918" s="801"/>
    </row>
    <row r="919" spans="5:6" ht="15.75">
      <c r="E919" s="800"/>
      <c r="F919" s="801"/>
    </row>
    <row r="920" spans="5:6" ht="15.75">
      <c r="E920" s="800"/>
      <c r="F920" s="801"/>
    </row>
    <row r="921" spans="5:6" ht="15.75">
      <c r="E921" s="800"/>
      <c r="F921" s="801"/>
    </row>
    <row r="922" spans="5:6" ht="15.75">
      <c r="E922" s="800"/>
      <c r="F922" s="801"/>
    </row>
    <row r="923" spans="5:6" ht="15.75">
      <c r="E923" s="800"/>
      <c r="F923" s="801"/>
    </row>
    <row r="924" spans="5:6" ht="15.75">
      <c r="E924" s="800"/>
      <c r="F924" s="801"/>
    </row>
    <row r="925" spans="5:6" ht="15.75">
      <c r="E925" s="800"/>
      <c r="F925" s="801"/>
    </row>
    <row r="926" spans="5:6" ht="15.75">
      <c r="E926" s="800"/>
      <c r="F926" s="801"/>
    </row>
    <row r="927" spans="5:6" ht="15.75">
      <c r="E927" s="800"/>
      <c r="F927" s="801"/>
    </row>
    <row r="928" spans="5:6" ht="15.75">
      <c r="E928" s="800"/>
      <c r="F928" s="801"/>
    </row>
    <row r="929" spans="5:6" ht="15.75">
      <c r="E929" s="800"/>
      <c r="F929" s="801"/>
    </row>
    <row r="930" spans="5:6" ht="15.75">
      <c r="E930" s="800"/>
      <c r="F930" s="801"/>
    </row>
    <row r="931" spans="5:6" ht="15.75">
      <c r="E931" s="800"/>
      <c r="F931" s="801"/>
    </row>
    <row r="932" spans="5:6" ht="15.75">
      <c r="E932" s="800"/>
      <c r="F932" s="801"/>
    </row>
    <row r="933" spans="5:6" ht="15.75">
      <c r="E933" s="800"/>
      <c r="F933" s="801"/>
    </row>
    <row r="934" spans="5:6" ht="15.75">
      <c r="E934" s="800"/>
      <c r="F934" s="801"/>
    </row>
    <row r="935" spans="5:6" ht="15.75">
      <c r="E935" s="800"/>
      <c r="F935" s="801"/>
    </row>
    <row r="936" spans="5:6" ht="15.75">
      <c r="E936" s="800"/>
      <c r="F936" s="801"/>
    </row>
    <row r="937" spans="5:6" ht="15.75">
      <c r="E937" s="800"/>
      <c r="F937" s="801"/>
    </row>
    <row r="938" spans="5:6" ht="15.75">
      <c r="E938" s="800"/>
      <c r="F938" s="801"/>
    </row>
    <row r="939" spans="5:6" ht="15.75">
      <c r="E939" s="800"/>
      <c r="F939" s="801"/>
    </row>
    <row r="940" spans="5:6" ht="15.75">
      <c r="E940" s="800"/>
      <c r="F940" s="801"/>
    </row>
    <row r="941" spans="5:6" ht="15.75">
      <c r="E941" s="800"/>
      <c r="F941" s="801"/>
    </row>
    <row r="942" spans="5:6" ht="15.75">
      <c r="E942" s="800"/>
      <c r="F942" s="801"/>
    </row>
    <row r="943" spans="5:6" ht="15.75">
      <c r="E943" s="800"/>
      <c r="F943" s="801"/>
    </row>
    <row r="944" spans="5:6" ht="15.75">
      <c r="E944" s="800"/>
      <c r="F944" s="801"/>
    </row>
    <row r="945" spans="5:6" ht="15.75">
      <c r="E945" s="800"/>
      <c r="F945" s="801"/>
    </row>
    <row r="946" spans="5:6" ht="15.75">
      <c r="E946" s="800"/>
      <c r="F946" s="801"/>
    </row>
    <row r="947" spans="5:6" ht="15.75">
      <c r="E947" s="800"/>
      <c r="F947" s="801"/>
    </row>
    <row r="948" spans="5:6" ht="15.75">
      <c r="E948" s="800"/>
      <c r="F948" s="801"/>
    </row>
    <row r="949" spans="5:6" ht="15.75">
      <c r="E949" s="800"/>
      <c r="F949" s="801"/>
    </row>
    <row r="950" spans="5:6" ht="15.75">
      <c r="E950" s="800"/>
      <c r="F950" s="801"/>
    </row>
    <row r="951" spans="5:6" ht="15.75">
      <c r="E951" s="800"/>
      <c r="F951" s="801"/>
    </row>
    <row r="952" spans="5:6" ht="15.75">
      <c r="E952" s="800"/>
      <c r="F952" s="801"/>
    </row>
    <row r="953" spans="5:6" ht="15.75">
      <c r="E953" s="800"/>
      <c r="F953" s="801"/>
    </row>
    <row r="954" spans="5:6" ht="15.75">
      <c r="E954" s="800"/>
      <c r="F954" s="801"/>
    </row>
    <row r="955" spans="5:6" ht="15.75">
      <c r="E955" s="800"/>
      <c r="F955" s="801"/>
    </row>
    <row r="956" spans="5:6" ht="15.75">
      <c r="E956" s="800"/>
      <c r="F956" s="801"/>
    </row>
    <row r="957" spans="5:6" ht="15.75">
      <c r="E957" s="800"/>
      <c r="F957" s="801"/>
    </row>
    <row r="958" spans="5:6" ht="15.75">
      <c r="E958" s="800"/>
      <c r="F958" s="801"/>
    </row>
    <row r="959" spans="5:6" ht="15.75">
      <c r="E959" s="800"/>
      <c r="F959" s="801"/>
    </row>
    <row r="960" spans="5:6" ht="15.75">
      <c r="E960" s="800"/>
      <c r="F960" s="801"/>
    </row>
    <row r="961" spans="5:6" ht="15.75">
      <c r="E961" s="800"/>
      <c r="F961" s="801"/>
    </row>
    <row r="962" spans="5:6" ht="15.75">
      <c r="E962" s="800"/>
      <c r="F962" s="801"/>
    </row>
    <row r="963" spans="5:6" ht="15.75">
      <c r="E963" s="800"/>
      <c r="F963" s="801"/>
    </row>
    <row r="964" spans="5:6" ht="15.75">
      <c r="E964" s="800"/>
      <c r="F964" s="801"/>
    </row>
    <row r="965" spans="5:6" ht="15.75">
      <c r="E965" s="800"/>
      <c r="F965" s="801"/>
    </row>
    <row r="966" spans="5:6" ht="15.75">
      <c r="E966" s="800"/>
      <c r="F966" s="801"/>
    </row>
    <row r="967" spans="5:6" ht="15.75">
      <c r="E967" s="800"/>
      <c r="F967" s="801"/>
    </row>
    <row r="968" spans="5:6" ht="15.75">
      <c r="E968" s="800"/>
      <c r="F968" s="801"/>
    </row>
    <row r="969" spans="5:6" ht="15.75">
      <c r="E969" s="800"/>
      <c r="F969" s="801"/>
    </row>
    <row r="970" spans="5:6" ht="15.75">
      <c r="E970" s="800"/>
      <c r="F970" s="801"/>
    </row>
    <row r="971" spans="5:6" ht="15.75">
      <c r="E971" s="800"/>
      <c r="F971" s="801"/>
    </row>
    <row r="972" spans="5:6" ht="15.75">
      <c r="E972" s="800"/>
      <c r="F972" s="801"/>
    </row>
    <row r="973" spans="5:6" ht="15.75">
      <c r="E973" s="800"/>
      <c r="F973" s="801"/>
    </row>
    <row r="974" spans="5:6" ht="15.75">
      <c r="E974" s="800"/>
      <c r="F974" s="801"/>
    </row>
    <row r="975" spans="5:6" ht="15.75">
      <c r="E975" s="800"/>
      <c r="F975" s="801"/>
    </row>
    <row r="976" spans="5:6" ht="15.75">
      <c r="E976" s="800"/>
      <c r="F976" s="801"/>
    </row>
    <row r="977" spans="5:6" ht="15.75">
      <c r="E977" s="800"/>
      <c r="F977" s="801"/>
    </row>
    <row r="978" spans="5:6" ht="15.75">
      <c r="E978" s="800"/>
      <c r="F978" s="801"/>
    </row>
    <row r="979" spans="5:6" ht="15.75">
      <c r="E979" s="800"/>
      <c r="F979" s="801"/>
    </row>
    <row r="980" spans="5:6" ht="15.75">
      <c r="E980" s="800"/>
      <c r="F980" s="801"/>
    </row>
    <row r="981" spans="5:6" ht="15.75">
      <c r="E981" s="800"/>
      <c r="F981" s="801"/>
    </row>
    <row r="982" spans="5:6" ht="15.75">
      <c r="E982" s="800"/>
      <c r="F982" s="801"/>
    </row>
    <row r="983" spans="5:6" ht="15.75">
      <c r="E983" s="800"/>
      <c r="F983" s="801"/>
    </row>
    <row r="984" spans="5:6" ht="15.75">
      <c r="E984" s="800"/>
      <c r="F984" s="801"/>
    </row>
    <row r="985" spans="5:6" ht="15.75">
      <c r="E985" s="800"/>
      <c r="F985" s="801"/>
    </row>
    <row r="986" spans="5:6" ht="15.75">
      <c r="E986" s="800"/>
      <c r="F986" s="801"/>
    </row>
    <row r="987" spans="5:6" ht="15.75">
      <c r="E987" s="800"/>
      <c r="F987" s="801"/>
    </row>
    <row r="988" spans="5:6" ht="15.75">
      <c r="E988" s="800"/>
      <c r="F988" s="801"/>
    </row>
    <row r="989" spans="5:6" ht="15.75">
      <c r="E989" s="800"/>
      <c r="F989" s="801"/>
    </row>
    <row r="990" spans="5:6" ht="15.75">
      <c r="E990" s="800"/>
      <c r="F990" s="801"/>
    </row>
    <row r="991" spans="5:6" ht="15.75">
      <c r="E991" s="800"/>
      <c r="F991" s="801"/>
    </row>
    <row r="992" spans="5:6" ht="15.75">
      <c r="E992" s="800"/>
      <c r="F992" s="801"/>
    </row>
    <row r="993" spans="5:6" ht="15.75">
      <c r="E993" s="800"/>
      <c r="F993" s="801"/>
    </row>
    <row r="994" spans="5:6" ht="15.75">
      <c r="E994" s="800"/>
      <c r="F994" s="801"/>
    </row>
    <row r="995" spans="5:6" ht="15.75">
      <c r="E995" s="800"/>
      <c r="F995" s="801"/>
    </row>
    <row r="996" spans="5:6" ht="15.75">
      <c r="E996" s="800"/>
      <c r="F996" s="801"/>
    </row>
    <row r="997" spans="5:6" ht="15.75">
      <c r="E997" s="800"/>
      <c r="F997" s="801"/>
    </row>
    <row r="998" spans="5:6" ht="15.75">
      <c r="E998" s="800"/>
      <c r="F998" s="801"/>
    </row>
    <row r="999" spans="5:6" ht="15.75">
      <c r="E999" s="800"/>
      <c r="F999" s="801"/>
    </row>
    <row r="1000" spans="5:6" ht="15.75">
      <c r="E1000" s="800"/>
      <c r="F1000" s="801"/>
    </row>
  </sheetData>
  <mergeCells count="16">
    <mergeCell ref="B2:E2"/>
    <mergeCell ref="B4:C4"/>
    <mergeCell ref="D4:E4"/>
    <mergeCell ref="F4:G4"/>
    <mergeCell ref="H4:I4"/>
    <mergeCell ref="J4:K4"/>
    <mergeCell ref="B6:C6"/>
    <mergeCell ref="B10:C10"/>
    <mergeCell ref="B12:E12"/>
    <mergeCell ref="B7:C7"/>
    <mergeCell ref="D7:E7"/>
    <mergeCell ref="F7:G7"/>
    <mergeCell ref="H7:I7"/>
    <mergeCell ref="J7:K7"/>
    <mergeCell ref="B8:C8"/>
    <mergeCell ref="B9:C9"/>
  </mergeCells>
  <conditionalFormatting sqref="E84">
    <cfRule type="expression" dxfId="69" priority="1">
      <formula>$K$14&gt;0</formula>
    </cfRule>
  </conditionalFormatting>
  <conditionalFormatting sqref="E85">
    <cfRule type="expression" dxfId="68" priority="2">
      <formula>$K$15&gt;0</formula>
    </cfRule>
  </conditionalFormatting>
  <conditionalFormatting sqref="E86">
    <cfRule type="expression" dxfId="67" priority="3">
      <formula>$K$16&gt;0</formula>
    </cfRule>
  </conditionalFormatting>
  <conditionalFormatting sqref="E87">
    <cfRule type="expression" dxfId="66" priority="4">
      <formula>$K$17&gt;0</formula>
    </cfRule>
  </conditionalFormatting>
  <conditionalFormatting sqref="E88">
    <cfRule type="expression" dxfId="65" priority="5">
      <formula>$K$18&gt;0</formula>
    </cfRule>
  </conditionalFormatting>
  <conditionalFormatting sqref="E88">
    <cfRule type="expression" dxfId="64" priority="6">
      <formula>$K$17&gt;0</formula>
    </cfRule>
  </conditionalFormatting>
  <conditionalFormatting sqref="E84 E89">
    <cfRule type="expression" dxfId="63" priority="7">
      <formula>$K$19&gt;0</formula>
    </cfRule>
  </conditionalFormatting>
  <conditionalFormatting sqref="E90">
    <cfRule type="expression" dxfId="62" priority="8">
      <formula>$K$20&gt;0</formula>
    </cfRule>
  </conditionalFormatting>
  <conditionalFormatting sqref="E91">
    <cfRule type="expression" dxfId="61" priority="9">
      <formula>$K$21&gt;0</formula>
    </cfRule>
  </conditionalFormatting>
  <conditionalFormatting sqref="E92">
    <cfRule type="expression" dxfId="60" priority="10">
      <formula>$K$22&gt;0</formula>
    </cfRule>
  </conditionalFormatting>
  <conditionalFormatting sqref="E93">
    <cfRule type="expression" dxfId="59" priority="11">
      <formula>$K$23&gt;0</formula>
    </cfRule>
  </conditionalFormatting>
  <conditionalFormatting sqref="E94">
    <cfRule type="expression" dxfId="58" priority="12">
      <formula>$K$24&gt;0</formula>
    </cfRule>
  </conditionalFormatting>
  <conditionalFormatting sqref="E95">
    <cfRule type="expression" dxfId="57" priority="13">
      <formula>$K$25&gt;0</formula>
    </cfRule>
  </conditionalFormatting>
  <conditionalFormatting sqref="E14:F14 F28 F42 F56 F70 F84 F98 F112 F126 F140 F154 F168">
    <cfRule type="expression" dxfId="56" priority="14">
      <formula>$J$14&gt;0</formula>
    </cfRule>
  </conditionalFormatting>
  <conditionalFormatting sqref="E15:F15 F29 F43 F57 F71 F85 F99 F113 F127 F141 F155 F169">
    <cfRule type="expression" dxfId="55" priority="15">
      <formula>$J$15&gt;0</formula>
    </cfRule>
  </conditionalFormatting>
  <conditionalFormatting sqref="E16:F16 F30 F44 F58 F72 F86 F100 F114 F128 F142 F156 F170">
    <cfRule type="expression" dxfId="54" priority="16">
      <formula>$J$16&gt;0</formula>
    </cfRule>
  </conditionalFormatting>
  <conditionalFormatting sqref="E17:F18 F31:F32 F45:F46 F59:F60 F73:F74 F87:F88 F101:F102 F115:F116 F129:F130 F143:F144 F157:F158 F171:F172">
    <cfRule type="expression" dxfId="53" priority="17">
      <formula>$J$17&gt;0</formula>
    </cfRule>
  </conditionalFormatting>
  <conditionalFormatting sqref="E18:F18 F32 F46 F60 F74 F88 F102 F116 F130 F144 F158 F172">
    <cfRule type="expression" dxfId="52" priority="18">
      <formula>$J$18&gt;0</formula>
    </cfRule>
  </conditionalFormatting>
  <conditionalFormatting sqref="E18:F18 F32 F46 F60 F74 F88 F102 F116 F130 F144 F158 F172">
    <cfRule type="expression" dxfId="51" priority="19">
      <formula>$J$17&gt;0</formula>
    </cfRule>
  </conditionalFormatting>
  <conditionalFormatting sqref="E19:F19 F33 F47 F61 F75 F89 F103 F117 F131 F145 F159 F173">
    <cfRule type="expression" dxfId="50" priority="20">
      <formula>$J$19&gt;0</formula>
    </cfRule>
  </conditionalFormatting>
  <conditionalFormatting sqref="E20:F20 F34 F48 F62 F76 F90 F104 F118 F132 F146 F160 F174">
    <cfRule type="expression" dxfId="49" priority="21">
      <formula>$J$20&gt;0</formula>
    </cfRule>
  </conditionalFormatting>
  <conditionalFormatting sqref="E21:F21 F35 F49 F63 F77 F91 F105 F119 F133 F147 F161 F175">
    <cfRule type="expression" dxfId="48" priority="22">
      <formula>$J$21&gt;0</formula>
    </cfRule>
  </conditionalFormatting>
  <conditionalFormatting sqref="E22:F22 F36 F50 F64 F78 F92 F106 F120 F134 F148 F162 F176">
    <cfRule type="expression" dxfId="47" priority="23">
      <formula>$J$22&gt;0</formula>
    </cfRule>
  </conditionalFormatting>
  <conditionalFormatting sqref="E23:F23 F37 F51 F65 F79 F93 F107 F121 F135 F149 F163 F177">
    <cfRule type="expression" dxfId="46" priority="24">
      <formula>$J$23&gt;0</formula>
    </cfRule>
  </conditionalFormatting>
  <conditionalFormatting sqref="E24:F24 F38 F52 F66 F80 F94 F108 F122 F136 F150 F164 F178">
    <cfRule type="expression" dxfId="45" priority="25">
      <formula>$J$24&gt;0</formula>
    </cfRule>
  </conditionalFormatting>
  <conditionalFormatting sqref="E25:F25 F39 F53 F67 F81 F95 F109 F123 F137 F151 F165 F179">
    <cfRule type="expression" dxfId="44" priority="26">
      <formula>$J$25&gt;0</formula>
    </cfRule>
  </conditionalFormatting>
  <conditionalFormatting sqref="E14:F14 E28:F28 E42:F42 E56:F56 E70:F70 E84:F84 E98:F98 E112:F112 E126:F126 E140:E151 F140 E154:F154 E168:F168">
    <cfRule type="expression" dxfId="43" priority="27">
      <formula>#REF!&gt;0</formula>
    </cfRule>
  </conditionalFormatting>
  <conditionalFormatting sqref="E15:F15 E29:F29 E43:F43 E57:F57 E71:F71 E85:F85 E99:F99 E113:F113 E127:F127 E141:E151 F141 E155:F155 E169:F169">
    <cfRule type="expression" dxfId="42" priority="28">
      <formula>#REF!&gt;0</formula>
    </cfRule>
  </conditionalFormatting>
  <conditionalFormatting sqref="E16:F16 E30:F30 E44:F44 E58:F58 E72:F72 E86:F86 E100:F100 E114:F114 E128:F128 E142:E151 F142 E156:F156 E170:F170">
    <cfRule type="expression" dxfId="41" priority="29">
      <formula>#REF!&gt;0</formula>
    </cfRule>
  </conditionalFormatting>
  <conditionalFormatting sqref="E17:F17 E31:F31 E45:F45 E59:F59 E73:F73 E87:F87 E101:F101 E115:F115 E129:E137 F129 E143:E151 F143 E157:F157 E171:F171">
    <cfRule type="expression" dxfId="40" priority="30">
      <formula>#REF!&gt;0</formula>
    </cfRule>
  </conditionalFormatting>
  <conditionalFormatting sqref="E18:F18 E32:F32 E46:F46 E60:F60 E74:F74 E88:F88 E102:F102 E116:F116 E130:E137 F130 E144:E151 F144 E158:F158 E172:F172">
    <cfRule type="expression" dxfId="39" priority="31">
      <formula>#REF!&gt;0</formula>
    </cfRule>
  </conditionalFormatting>
  <conditionalFormatting sqref="E18:F18 E32:F32 E46:F46 E60:F60 E74:F74 E88:F88 E102:F102 E116:F116 E130:E137 F130 E144:E151 F144 E158:F158 E172:F172">
    <cfRule type="expression" dxfId="38" priority="32">
      <formula>#REF!&gt;0</formula>
    </cfRule>
  </conditionalFormatting>
  <conditionalFormatting sqref="E19:F19 E33:F33 E47:F47 E61:F61 E75:F75 E84 E89:F89 E103:F103 E117:F117 E131:E137 F131 E145:E151 F145 E159:F159 E173:F173">
    <cfRule type="expression" dxfId="37" priority="33">
      <formula>#REF!&gt;0</formula>
    </cfRule>
  </conditionalFormatting>
  <conditionalFormatting sqref="E20:F20 E34:F34 E48:F48 E62:F62 E76:F76 E90:F90 E104:F104 E118:F118 E132:E137 F132 E146:E151 F146 E160:F160 E174:F174">
    <cfRule type="expression" dxfId="36" priority="34">
      <formula>#REF!&gt;0</formula>
    </cfRule>
  </conditionalFormatting>
  <conditionalFormatting sqref="E21:F21 E35:F35 E49:F49 E63:F63 E77:F77 E91:F91 E105:F105 E119:F119 E133:E137 F133 E147:E151 F147 E161:F161 E175:F175">
    <cfRule type="expression" dxfId="35" priority="35">
      <formula>#REF!&gt;0</formula>
    </cfRule>
  </conditionalFormatting>
  <conditionalFormatting sqref="E22:F22 E36:F36 E50:F50 E64:F64 E78:F78 E92:F92 E106:F106 E120:F120 E134:E137 F134 E148:E151 F148 E162:F162 E176:F176">
    <cfRule type="expression" dxfId="34" priority="36">
      <formula>#REF!&gt;0</formula>
    </cfRule>
  </conditionalFormatting>
  <conditionalFormatting sqref="E23:F23 E37:F37 E51:F51 E65:F65 E79:F79 E93:F93 E107:F107 E121:F121 E135:E137 F135 E149:E151 F149 E163:F163 E177:F177">
    <cfRule type="expression" dxfId="33" priority="37">
      <formula>#REF!&gt;0</formula>
    </cfRule>
  </conditionalFormatting>
  <conditionalFormatting sqref="E24:F24 E38:F38 E52:F52 E66:F66 E80:F80 E94:F94 E108:F108 E122:F122 E136:E137 F136 E150:E151 F150 E164:F164 E178:F178">
    <cfRule type="expression" dxfId="32" priority="38">
      <formula>#REF!&gt;0</formula>
    </cfRule>
  </conditionalFormatting>
  <conditionalFormatting sqref="E25:F25 E39:F39 E53:F53 E67:F67 E81:F81 E95:F95 E109:F109 E123:F123 E137:F137 E151:F151 E165:F165 E179:F179">
    <cfRule type="expression" dxfId="31" priority="39">
      <formula>#REF!&gt;0</formula>
    </cfRule>
  </conditionalFormatting>
  <conditionalFormatting sqref="F12:F14 D14:D25 D28 D42 D56 D58:D67 D70 D72:D81 D84 E84:E93 D86:D95 D98 D112 D114:E123 D126 D128:E137 D140 D142:E151 D154 D156:D165 D168">
    <cfRule type="cellIs" dxfId="30" priority="40" operator="greaterThan">
      <formula>0</formula>
    </cfRule>
  </conditionalFormatting>
  <conditionalFormatting sqref="D14:D15 D28 D42 D56 D70 D84 D98 D112 D126 D140 D154 D168">
    <cfRule type="cellIs" dxfId="29" priority="41" operator="greaterThan">
      <formula>0</formula>
    </cfRule>
  </conditionalFormatting>
  <conditionalFormatting sqref="D15:D16 D29:D30 D43:D44 D57:D58 D71:D73 D85:D86 D99:D100 D113:D114 D127:D128 D141:D142 D155:D156 D169:D170">
    <cfRule type="cellIs" dxfId="28" priority="42" operator="greaterThan">
      <formula>0</formula>
    </cfRule>
  </conditionalFormatting>
  <conditionalFormatting sqref="D15:D16 D29:D30 D43:D44 D57:D58 D71:D73 D85:D86 D99:D100 D113:D114 D127:D128 D141:D142 D155:D156 D169:D170">
    <cfRule type="cellIs" dxfId="27" priority="43" operator="greaterThan">
      <formula>0</formula>
    </cfRule>
  </conditionalFormatting>
  <conditionalFormatting sqref="D16:D25 D30:D39 D44:D53 D58:D67 D72:D81 D86:D95 D100:D109 D114:D123 D128:D137 D142:D151 D156:D165 D170:D179">
    <cfRule type="cellIs" dxfId="26" priority="44" operator="greaterThan">
      <formula>0</formula>
    </cfRule>
  </conditionalFormatting>
  <conditionalFormatting sqref="D16:D25 D30:D39 D44:D53 D58:D67 D72:D81 D86:D95 D100:D109 D114:D123 D128:D137 D142:D151 D156:D165 D170:D179">
    <cfRule type="cellIs" dxfId="25" priority="45" operator="greaterThan">
      <formula>0</formula>
    </cfRule>
  </conditionalFormatting>
  <conditionalFormatting sqref="B14:C14 B28:C28 B42:C42 B56:C56 B70:C70 B84:C84 B98:C98 B112:C112 B126:C126 B140:C140 B154:C154 B168:C168">
    <cfRule type="expression" dxfId="24" priority="46">
      <formula>$D$14&gt;0</formula>
    </cfRule>
  </conditionalFormatting>
  <conditionalFormatting sqref="B14:C14 B28:C28 B42:C42 B56:C56 B70:C70 B84:C84 B98:C98 B112:C112 B126:C126 B140:C140 B154:C154 B168:C168">
    <cfRule type="expression" dxfId="23" priority="47">
      <formula>$C$14&gt;0</formula>
    </cfRule>
  </conditionalFormatting>
  <conditionalFormatting sqref="B16:C16 B30:C30 B44:C44 B58:C58 B72:C72 B86:C86 B100:C100 B114:C114 B128:C128 B142:C142 B156:C156 B170:C170">
    <cfRule type="expression" dxfId="22" priority="48">
      <formula>$D$16&gt;0</formula>
    </cfRule>
  </conditionalFormatting>
  <conditionalFormatting sqref="B17:C17 B31:C31 B45:C45 B59:C59 B73:C73 B87:C87 B101:C101 B115:C115 B129:C129 B143:C143 B157:C157 B171:C171">
    <cfRule type="expression" dxfId="21" priority="49">
      <formula>$D$17&gt;0</formula>
    </cfRule>
  </conditionalFormatting>
  <conditionalFormatting sqref="B18:C18 B32:C32 B46:C46 B60:C60 B74:C74 B88:C88 B102:C102 B116:C116 B130:C130 B144:C144 B158:C158 B172:C172">
    <cfRule type="expression" dxfId="20" priority="50">
      <formula>$D$18&gt;0</formula>
    </cfRule>
  </conditionalFormatting>
  <conditionalFormatting sqref="B19:C19 B33:C33 B47:C47 B61:C61 B75:C75 B89:C89 B103:C103 B117:C117 B131:C131 B145:C145 B159:C159 B173:C173">
    <cfRule type="expression" dxfId="19" priority="51">
      <formula>$D$19&gt;0</formula>
    </cfRule>
  </conditionalFormatting>
  <conditionalFormatting sqref="B20:C20 B34:C34 B48:C48 B62:C62 B76:C76 B90:C90 B104:C104 B118:C118 B132:C132 B146:C146 B160:C160 B174:C174">
    <cfRule type="expression" dxfId="18" priority="52">
      <formula>$D$20&gt;0</formula>
    </cfRule>
  </conditionalFormatting>
  <conditionalFormatting sqref="B21:C21 B35:C35 B49:C49 B63:C63 B77:C77 B91:C91 B105:C105 B119:C119 B133:C133 B147:C147 B161:C161 B175:C175">
    <cfRule type="expression" dxfId="17" priority="53">
      <formula>$D$21&gt;0</formula>
    </cfRule>
  </conditionalFormatting>
  <conditionalFormatting sqref="B22:C22 B36:C36 B50:C50 B64:C64 B78:C78 B92:C92 B106:C106 B120:C120 B134:C134 B148:C148 B162:C162 B176:C176">
    <cfRule type="expression" dxfId="16" priority="54">
      <formula>$D$22&gt;0</formula>
    </cfRule>
  </conditionalFormatting>
  <conditionalFormatting sqref="B23:C23 B37:C37 B51:C51 B65:C65 B79:C79 B93:C93 B107:C107 B121:C121 B135:C135 B149:C149 B163:C163 B177:C177">
    <cfRule type="expression" dxfId="15" priority="55">
      <formula>$D$23&gt;0</formula>
    </cfRule>
  </conditionalFormatting>
  <conditionalFormatting sqref="B24:C24 B38:C38 B52:C52 B66:C66 B80:C80 B94:C94 B108:C108 B122:C122 B136:C136 B150:C150 B164:C164 B178:C178">
    <cfRule type="expression" dxfId="14" priority="56">
      <formula>$D$24&gt;0</formula>
    </cfRule>
  </conditionalFormatting>
  <conditionalFormatting sqref="B25:C25 B39:C39 B53:C53 B67:C67 B81:C81 B95:C95 B109:C109 B123:C123 B137:C137 B151:C151 B165:C165 B179:C179">
    <cfRule type="expression" dxfId="13" priority="57">
      <formula>$D$25&gt;0</formula>
    </cfRule>
  </conditionalFormatting>
  <conditionalFormatting sqref="C14:C15 B15:B25 B29:B39 C29 B43:B53 C43 B57:B67 C57 B71:B81 C71 B85:B95 C85 B99:B109 C99 B113:B123 C113 B127:B137 C127 B141:B151 C141 B155:B165 C155 B169:B179 C169">
    <cfRule type="expression" dxfId="12" priority="58">
      <formula>$D$15&gt;0</formula>
    </cfRule>
  </conditionalFormatting>
  <conditionalFormatting sqref="F13 D15:D16 D24 D29:D30 D43:D44 D57:D58 D66 D71:D73 D80 D85:D86 E92 D94 D99:D100 D113:D114 D122:E122 D127:D128 D136 D141:D142 D150 D155:D156 D164 D169:D170">
    <cfRule type="cellIs" dxfId="11" priority="59" operator="greaterThan">
      <formula>0</formula>
    </cfRule>
  </conditionalFormatting>
  <conditionalFormatting sqref="D14:D15 D28 D42 D56 D70 D84 D98 D112 D126 D140 D154 D168">
    <cfRule type="cellIs" dxfId="10" priority="60" operator="greaterThan">
      <formula>0</formula>
    </cfRule>
  </conditionalFormatting>
  <conditionalFormatting sqref="D16 D30 D44 D58 D72 E84 D86 D100 D114:E114 D128:E128 D142 E142:E151 D156 D170">
    <cfRule type="cellIs" dxfId="9" priority="61" operator="greaterThan">
      <formula>0</formula>
    </cfRule>
  </conditionalFormatting>
  <conditionalFormatting sqref="D17 D31 D45 D59 D73 D87 D101 D115 D129 D143 D157 D171">
    <cfRule type="cellIs" dxfId="8" priority="62" operator="greaterThan">
      <formula>0</formula>
    </cfRule>
  </conditionalFormatting>
  <conditionalFormatting sqref="D18 D32 D46 D60 D74 D88 D102 D116 D130 D144 D158 D172">
    <cfRule type="cellIs" dxfId="7" priority="63" operator="greaterThan">
      <formula>0</formula>
    </cfRule>
  </conditionalFormatting>
  <conditionalFormatting sqref="D19 D33 D47 D61 D75 D89 D103 D117 D131 D145 D159 D173">
    <cfRule type="cellIs" dxfId="6" priority="64" operator="greaterThan">
      <formula>0</formula>
    </cfRule>
  </conditionalFormatting>
  <conditionalFormatting sqref="F14 D20 D25 D34 D48 D62 D67 D76 D81 D90 E93 D95 D104 D118 D123:E123 D132 D137:E137 D146 D151:E151 D160 D165 D174">
    <cfRule type="cellIs" dxfId="5" priority="65" operator="lessThan">
      <formula>0</formula>
    </cfRule>
  </conditionalFormatting>
  <conditionalFormatting sqref="D21 D35 D49 D63 D77 E84 E89 D91 D105 D119:E119 D133 E133:E137 D147 E147:E151 D161 D175">
    <cfRule type="cellIs" dxfId="4" priority="66" operator="greaterThan">
      <formula>0</formula>
    </cfRule>
  </conditionalFormatting>
  <conditionalFormatting sqref="D22 D36 D50 D64 D78 D92 D106 D120 D134 D148 D162 D176">
    <cfRule type="cellIs" dxfId="3" priority="67" operator="greaterThan">
      <formula>0</formula>
    </cfRule>
  </conditionalFormatting>
  <conditionalFormatting sqref="D23 D37 D51 D65 D79 D93 D107 D121 D135 D149 D163 D177">
    <cfRule type="cellIs" dxfId="2" priority="68" operator="greaterThan">
      <formula>0</formula>
    </cfRule>
  </conditionalFormatting>
  <conditionalFormatting sqref="D24 D38 D52 D66 D80 D94 D108 D122 D136 D150 D164 D178">
    <cfRule type="cellIs" dxfId="1" priority="69" operator="greaterThan">
      <formula>0</formula>
    </cfRule>
  </conditionalFormatting>
  <conditionalFormatting sqref="D25 D39 D53 D67 D81 D95 D109 D123 D137 D151 D165 D179">
    <cfRule type="cellIs" dxfId="0" priority="70" operator="greaterThan">
      <formula>0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3BC"/>
    <pageSetUpPr fitToPage="1"/>
  </sheetPr>
  <dimension ref="A1:HN59"/>
  <sheetViews>
    <sheetView workbookViewId="0">
      <pane xSplit="4" topLeftCell="E1" activePane="topRight" state="frozen"/>
      <selection pane="topRight" activeCell="D6" sqref="D6:D9"/>
    </sheetView>
  </sheetViews>
  <sheetFormatPr defaultColWidth="14.42578125" defaultRowHeight="15" customHeight="1"/>
  <cols>
    <col min="1" max="1" width="1.5703125" hidden="1" customWidth="1"/>
    <col min="2" max="2" width="11.42578125" customWidth="1"/>
    <col min="3" max="3" width="26.85546875" customWidth="1"/>
    <col min="4" max="4" width="19.7109375" customWidth="1"/>
    <col min="5" max="5" width="13.28515625" customWidth="1"/>
    <col min="6" max="6" width="9.5703125" customWidth="1"/>
    <col min="7" max="7" width="5.28515625" customWidth="1"/>
    <col min="8" max="8" width="9.7109375" customWidth="1"/>
    <col min="9" max="9" width="21.140625" hidden="1" customWidth="1"/>
    <col min="10" max="10" width="20" hidden="1" customWidth="1"/>
    <col min="11" max="11" width="13.28515625" hidden="1" customWidth="1"/>
    <col min="12" max="12" width="20" hidden="1" customWidth="1"/>
    <col min="13" max="13" width="16.85546875" hidden="1" customWidth="1"/>
    <col min="14" max="14" width="16.5703125" hidden="1" customWidth="1"/>
    <col min="15" max="15" width="27.85546875" hidden="1" customWidth="1"/>
    <col min="16" max="16" width="20.140625" hidden="1" customWidth="1"/>
    <col min="17" max="17" width="19.5703125" hidden="1" customWidth="1"/>
    <col min="18" max="18" width="24.42578125" hidden="1" customWidth="1"/>
    <col min="19" max="20" width="13.7109375" hidden="1" customWidth="1"/>
    <col min="21" max="21" width="9.140625" hidden="1" customWidth="1"/>
    <col min="22" max="22" width="13.7109375" hidden="1" customWidth="1"/>
    <col min="23" max="23" width="15.28515625" hidden="1" customWidth="1"/>
    <col min="24" max="24" width="6.5703125" customWidth="1"/>
    <col min="25" max="25" width="9.7109375" customWidth="1"/>
    <col min="26" max="26" width="19.28515625" hidden="1" customWidth="1"/>
    <col min="27" max="27" width="20" hidden="1" customWidth="1"/>
    <col min="28" max="28" width="10.5703125" hidden="1" customWidth="1"/>
    <col min="29" max="30" width="15.28515625" hidden="1" customWidth="1"/>
    <col min="31" max="31" width="17.28515625" hidden="1" customWidth="1"/>
    <col min="32" max="32" width="27.85546875" hidden="1" customWidth="1"/>
    <col min="33" max="33" width="20.140625" hidden="1" customWidth="1"/>
    <col min="34" max="34" width="19.5703125" hidden="1" customWidth="1"/>
    <col min="35" max="35" width="24.42578125" hidden="1" customWidth="1"/>
    <col min="36" max="37" width="15.28515625" hidden="1" customWidth="1"/>
    <col min="38" max="38" width="8" hidden="1" customWidth="1"/>
    <col min="39" max="39" width="15.28515625" hidden="1" customWidth="1"/>
    <col min="40" max="40" width="9.7109375" hidden="1" customWidth="1"/>
    <col min="41" max="41" width="7.28515625" customWidth="1"/>
    <col min="42" max="42" width="10" customWidth="1"/>
    <col min="43" max="43" width="20.85546875" hidden="1" customWidth="1"/>
    <col min="44" max="44" width="20" hidden="1" customWidth="1"/>
    <col min="45" max="45" width="14.42578125" hidden="1" customWidth="1"/>
    <col min="46" max="46" width="18.5703125" hidden="1" customWidth="1"/>
    <col min="47" max="48" width="14.42578125" hidden="1" customWidth="1"/>
    <col min="49" max="49" width="27.85546875" hidden="1" customWidth="1"/>
    <col min="50" max="50" width="20.140625" hidden="1" customWidth="1"/>
    <col min="51" max="51" width="19.5703125" hidden="1" customWidth="1"/>
    <col min="52" max="52" width="24.42578125" hidden="1" customWidth="1"/>
    <col min="53" max="53" width="18.42578125" hidden="1" customWidth="1"/>
    <col min="54" max="54" width="15.28515625" hidden="1" customWidth="1"/>
    <col min="55" max="55" width="8" hidden="1" customWidth="1"/>
    <col min="56" max="56" width="15.28515625" hidden="1" customWidth="1"/>
    <col min="57" max="57" width="11.7109375" hidden="1" customWidth="1"/>
    <col min="58" max="58" width="7" customWidth="1"/>
    <col min="59" max="59" width="9.7109375" hidden="1" customWidth="1"/>
    <col min="60" max="60" width="15.28515625" hidden="1" customWidth="1"/>
    <col min="61" max="61" width="20" hidden="1" customWidth="1"/>
    <col min="62" max="63" width="14.42578125" hidden="1" customWidth="1"/>
    <col min="64" max="64" width="17.28515625" hidden="1" customWidth="1"/>
    <col min="65" max="65" width="14.42578125" hidden="1" customWidth="1"/>
    <col min="66" max="66" width="27.85546875" hidden="1" customWidth="1"/>
    <col min="67" max="67" width="20.140625" hidden="1" customWidth="1"/>
    <col min="68" max="68" width="19.5703125" hidden="1" customWidth="1"/>
    <col min="69" max="69" width="24.85546875" hidden="1" customWidth="1"/>
    <col min="70" max="70" width="18.42578125" hidden="1" customWidth="1"/>
    <col min="71" max="71" width="15.28515625" hidden="1" customWidth="1"/>
    <col min="72" max="72" width="8" hidden="1" customWidth="1"/>
    <col min="73" max="73" width="15.28515625" hidden="1" customWidth="1"/>
    <col min="74" max="74" width="11.7109375" hidden="1" customWidth="1"/>
    <col min="75" max="75" width="6.28515625" customWidth="1"/>
    <col min="76" max="76" width="10" hidden="1" customWidth="1"/>
    <col min="77" max="77" width="15.28515625" hidden="1" customWidth="1"/>
    <col min="78" max="78" width="20" hidden="1" customWidth="1"/>
    <col min="79" max="82" width="14.42578125" hidden="1" customWidth="1"/>
    <col min="83" max="83" width="27.85546875" hidden="1" customWidth="1"/>
    <col min="84" max="84" width="20.140625" hidden="1" customWidth="1"/>
    <col min="85" max="85" width="19.5703125" hidden="1" customWidth="1"/>
    <col min="86" max="86" width="24.85546875" hidden="1" customWidth="1"/>
    <col min="87" max="87" width="18.42578125" hidden="1" customWidth="1"/>
    <col min="88" max="88" width="15.28515625" hidden="1" customWidth="1"/>
    <col min="89" max="89" width="8" hidden="1" customWidth="1"/>
    <col min="90" max="90" width="15.28515625" hidden="1" customWidth="1"/>
    <col min="91" max="91" width="11.7109375" hidden="1" customWidth="1"/>
    <col min="92" max="92" width="7" customWidth="1"/>
    <col min="93" max="93" width="9.7109375" hidden="1" customWidth="1"/>
    <col min="94" max="94" width="15.28515625" hidden="1" customWidth="1"/>
    <col min="95" max="95" width="20" hidden="1" customWidth="1"/>
    <col min="96" max="99" width="14.42578125" hidden="1" customWidth="1"/>
    <col min="100" max="100" width="27.85546875" hidden="1" customWidth="1"/>
    <col min="101" max="101" width="20.140625" hidden="1" customWidth="1"/>
    <col min="102" max="102" width="19.5703125" hidden="1" customWidth="1"/>
    <col min="103" max="103" width="24.42578125" hidden="1" customWidth="1"/>
    <col min="104" max="104" width="18.42578125" hidden="1" customWidth="1"/>
    <col min="105" max="105" width="15.28515625" hidden="1" customWidth="1"/>
    <col min="106" max="106" width="8" hidden="1" customWidth="1"/>
    <col min="107" max="107" width="15.28515625" hidden="1" customWidth="1"/>
    <col min="108" max="108" width="11.7109375" hidden="1" customWidth="1"/>
    <col min="109" max="109" width="7.28515625" customWidth="1"/>
    <col min="110" max="110" width="9.7109375" hidden="1" customWidth="1"/>
    <col min="111" max="111" width="15.28515625" hidden="1" customWidth="1"/>
    <col min="112" max="112" width="20" hidden="1" customWidth="1"/>
    <col min="113" max="116" width="14.42578125" hidden="1" customWidth="1"/>
    <col min="117" max="117" width="27.85546875" hidden="1" customWidth="1"/>
    <col min="118" max="118" width="20.140625" hidden="1" customWidth="1"/>
    <col min="119" max="119" width="19.5703125" hidden="1" customWidth="1"/>
    <col min="120" max="120" width="24.42578125" hidden="1" customWidth="1"/>
    <col min="121" max="121" width="18.42578125" hidden="1" customWidth="1"/>
    <col min="122" max="122" width="15.28515625" hidden="1" customWidth="1"/>
    <col min="123" max="123" width="8" hidden="1" customWidth="1"/>
    <col min="124" max="124" width="15.28515625" hidden="1" customWidth="1"/>
    <col min="125" max="125" width="11.7109375" hidden="1" customWidth="1"/>
    <col min="126" max="126" width="7.28515625" customWidth="1"/>
    <col min="127" max="127" width="9.7109375" hidden="1" customWidth="1"/>
    <col min="128" max="128" width="15.28515625" hidden="1" customWidth="1"/>
    <col min="129" max="129" width="20" hidden="1" customWidth="1"/>
    <col min="130" max="133" width="14.42578125" hidden="1" customWidth="1"/>
    <col min="134" max="134" width="27.85546875" hidden="1" customWidth="1"/>
    <col min="135" max="135" width="20.140625" hidden="1" customWidth="1"/>
    <col min="136" max="136" width="19.5703125" hidden="1" customWidth="1"/>
    <col min="137" max="137" width="24.42578125" hidden="1" customWidth="1"/>
    <col min="138" max="138" width="18.42578125" hidden="1" customWidth="1"/>
    <col min="139" max="139" width="15.28515625" hidden="1" customWidth="1"/>
    <col min="140" max="140" width="8" hidden="1" customWidth="1"/>
    <col min="141" max="141" width="15.28515625" hidden="1" customWidth="1"/>
    <col min="142" max="142" width="11.7109375" hidden="1" customWidth="1"/>
    <col min="143" max="143" width="9" customWidth="1"/>
    <col min="144" max="144" width="9.7109375" hidden="1" customWidth="1"/>
    <col min="145" max="145" width="15.28515625" hidden="1" customWidth="1"/>
    <col min="146" max="146" width="20" hidden="1" customWidth="1"/>
    <col min="147" max="150" width="14.42578125" hidden="1" customWidth="1"/>
    <col min="151" max="151" width="27.85546875" hidden="1" customWidth="1"/>
    <col min="152" max="152" width="20.140625" hidden="1" customWidth="1"/>
    <col min="153" max="153" width="19.5703125" hidden="1" customWidth="1"/>
    <col min="154" max="154" width="24.42578125" hidden="1" customWidth="1"/>
    <col min="155" max="155" width="18.42578125" hidden="1" customWidth="1"/>
    <col min="156" max="156" width="15.28515625" hidden="1" customWidth="1"/>
    <col min="157" max="157" width="8" hidden="1" customWidth="1"/>
    <col min="158" max="158" width="15.28515625" hidden="1" customWidth="1"/>
    <col min="159" max="159" width="11.7109375" hidden="1" customWidth="1"/>
    <col min="160" max="160" width="8.7109375" customWidth="1"/>
    <col min="161" max="161" width="9.7109375" hidden="1" customWidth="1"/>
    <col min="162" max="162" width="15.28515625" hidden="1" customWidth="1"/>
    <col min="163" max="163" width="20" hidden="1" customWidth="1"/>
    <col min="164" max="167" width="14.42578125" hidden="1" customWidth="1"/>
    <col min="168" max="168" width="27.85546875" hidden="1" customWidth="1"/>
    <col min="169" max="169" width="20.140625" hidden="1" customWidth="1"/>
    <col min="170" max="170" width="19.5703125" hidden="1" customWidth="1"/>
    <col min="171" max="171" width="24.42578125" hidden="1" customWidth="1"/>
    <col min="172" max="172" width="18.42578125" hidden="1" customWidth="1"/>
    <col min="173" max="173" width="15.28515625" hidden="1" customWidth="1"/>
    <col min="174" max="174" width="8" hidden="1" customWidth="1"/>
    <col min="175" max="175" width="15.28515625" hidden="1" customWidth="1"/>
    <col min="176" max="176" width="11.7109375" hidden="1" customWidth="1"/>
    <col min="177" max="177" width="8.42578125" customWidth="1"/>
    <col min="178" max="178" width="9.7109375" hidden="1" customWidth="1"/>
    <col min="179" max="179" width="15.28515625" hidden="1" customWidth="1"/>
    <col min="180" max="180" width="20" hidden="1" customWidth="1"/>
    <col min="181" max="184" width="14.42578125" hidden="1" customWidth="1"/>
    <col min="185" max="185" width="27.85546875" hidden="1" customWidth="1"/>
    <col min="186" max="186" width="20.140625" hidden="1" customWidth="1"/>
    <col min="187" max="187" width="19.5703125" hidden="1" customWidth="1"/>
    <col min="188" max="188" width="24.42578125" hidden="1" customWidth="1"/>
    <col min="189" max="189" width="18.42578125" hidden="1" customWidth="1"/>
    <col min="190" max="190" width="15.28515625" hidden="1" customWidth="1"/>
    <col min="191" max="191" width="8" hidden="1" customWidth="1"/>
    <col min="192" max="192" width="15.28515625" hidden="1" customWidth="1"/>
    <col min="193" max="193" width="11.7109375" hidden="1" customWidth="1"/>
    <col min="194" max="194" width="7.28515625" customWidth="1"/>
    <col min="195" max="195" width="9.7109375" hidden="1" customWidth="1"/>
    <col min="196" max="196" width="15.28515625" hidden="1" customWidth="1"/>
    <col min="197" max="197" width="20" hidden="1" customWidth="1"/>
    <col min="198" max="201" width="14.42578125" hidden="1" customWidth="1"/>
    <col min="202" max="202" width="27.85546875" hidden="1" customWidth="1"/>
    <col min="203" max="203" width="20.140625" hidden="1" customWidth="1"/>
    <col min="204" max="204" width="15.28515625" hidden="1" customWidth="1"/>
    <col min="205" max="205" width="24.42578125" hidden="1" customWidth="1"/>
    <col min="206" max="206" width="18.42578125" hidden="1" customWidth="1"/>
    <col min="207" max="207" width="15.28515625" hidden="1" customWidth="1"/>
    <col min="208" max="208" width="9.7109375" hidden="1" customWidth="1"/>
    <col min="209" max="209" width="15.28515625" hidden="1" customWidth="1"/>
    <col min="210" max="210" width="11.7109375" hidden="1" customWidth="1"/>
    <col min="211" max="212" width="14.42578125" customWidth="1"/>
    <col min="213" max="222" width="14.42578125" hidden="1"/>
  </cols>
  <sheetData>
    <row r="1" spans="1:222" ht="35.25" customHeight="1">
      <c r="A1" s="1"/>
      <c r="B1" s="881" t="s">
        <v>136</v>
      </c>
      <c r="C1" s="882"/>
      <c r="D1" s="882"/>
      <c r="E1" s="56">
        <v>5</v>
      </c>
      <c r="F1" s="1">
        <f t="shared" ref="F1:HC1" si="0">E1+1</f>
        <v>6</v>
      </c>
      <c r="G1" s="1">
        <f t="shared" si="0"/>
        <v>7</v>
      </c>
      <c r="H1" s="1">
        <f t="shared" si="0"/>
        <v>8</v>
      </c>
      <c r="I1" s="1">
        <f t="shared" si="0"/>
        <v>9</v>
      </c>
      <c r="J1" s="1">
        <f t="shared" si="0"/>
        <v>10</v>
      </c>
      <c r="K1" s="1">
        <f t="shared" si="0"/>
        <v>11</v>
      </c>
      <c r="L1" s="1">
        <f t="shared" si="0"/>
        <v>12</v>
      </c>
      <c r="M1" s="1">
        <f t="shared" si="0"/>
        <v>13</v>
      </c>
      <c r="N1" s="1">
        <f t="shared" si="0"/>
        <v>14</v>
      </c>
      <c r="O1" s="1">
        <f t="shared" si="0"/>
        <v>15</v>
      </c>
      <c r="P1" s="1">
        <f t="shared" si="0"/>
        <v>16</v>
      </c>
      <c r="Q1" s="1">
        <f t="shared" si="0"/>
        <v>17</v>
      </c>
      <c r="R1" s="1">
        <f t="shared" si="0"/>
        <v>18</v>
      </c>
      <c r="S1" s="1">
        <f t="shared" si="0"/>
        <v>19</v>
      </c>
      <c r="T1" s="1">
        <f t="shared" si="0"/>
        <v>20</v>
      </c>
      <c r="U1" s="1">
        <f t="shared" si="0"/>
        <v>21</v>
      </c>
      <c r="V1" s="1">
        <f t="shared" si="0"/>
        <v>22</v>
      </c>
      <c r="W1" s="1">
        <f t="shared" si="0"/>
        <v>23</v>
      </c>
      <c r="X1" s="1">
        <f t="shared" si="0"/>
        <v>24</v>
      </c>
      <c r="Y1" s="1">
        <f t="shared" si="0"/>
        <v>25</v>
      </c>
      <c r="Z1" s="1">
        <f t="shared" si="0"/>
        <v>26</v>
      </c>
      <c r="AA1" s="1">
        <f t="shared" si="0"/>
        <v>27</v>
      </c>
      <c r="AB1" s="1">
        <f t="shared" si="0"/>
        <v>28</v>
      </c>
      <c r="AC1" s="1">
        <f t="shared" si="0"/>
        <v>29</v>
      </c>
      <c r="AD1" s="1">
        <f t="shared" si="0"/>
        <v>30</v>
      </c>
      <c r="AE1" s="1">
        <f t="shared" si="0"/>
        <v>31</v>
      </c>
      <c r="AF1" s="1">
        <f t="shared" si="0"/>
        <v>32</v>
      </c>
      <c r="AG1" s="1">
        <f t="shared" si="0"/>
        <v>33</v>
      </c>
      <c r="AH1" s="1">
        <f t="shared" si="0"/>
        <v>34</v>
      </c>
      <c r="AI1" s="1">
        <f t="shared" si="0"/>
        <v>35</v>
      </c>
      <c r="AJ1" s="1">
        <f t="shared" si="0"/>
        <v>36</v>
      </c>
      <c r="AK1" s="1">
        <f t="shared" si="0"/>
        <v>37</v>
      </c>
      <c r="AL1" s="1">
        <f t="shared" si="0"/>
        <v>38</v>
      </c>
      <c r="AM1" s="1">
        <f t="shared" si="0"/>
        <v>39</v>
      </c>
      <c r="AN1" s="1">
        <f t="shared" si="0"/>
        <v>40</v>
      </c>
      <c r="AO1" s="1">
        <f t="shared" si="0"/>
        <v>41</v>
      </c>
      <c r="AP1" s="1">
        <f t="shared" si="0"/>
        <v>42</v>
      </c>
      <c r="AQ1" s="1">
        <f t="shared" si="0"/>
        <v>43</v>
      </c>
      <c r="AR1" s="1">
        <f t="shared" si="0"/>
        <v>44</v>
      </c>
      <c r="AS1" s="1">
        <f t="shared" si="0"/>
        <v>45</v>
      </c>
      <c r="AT1" s="1">
        <f t="shared" si="0"/>
        <v>46</v>
      </c>
      <c r="AU1" s="1">
        <f t="shared" si="0"/>
        <v>47</v>
      </c>
      <c r="AV1" s="1">
        <f t="shared" si="0"/>
        <v>48</v>
      </c>
      <c r="AW1" s="1">
        <f t="shared" si="0"/>
        <v>49</v>
      </c>
      <c r="AX1" s="1">
        <f t="shared" si="0"/>
        <v>50</v>
      </c>
      <c r="AY1" s="1">
        <f t="shared" si="0"/>
        <v>51</v>
      </c>
      <c r="AZ1" s="1">
        <f t="shared" si="0"/>
        <v>52</v>
      </c>
      <c r="BA1" s="1">
        <f t="shared" si="0"/>
        <v>53</v>
      </c>
      <c r="BB1" s="1">
        <f t="shared" si="0"/>
        <v>54</v>
      </c>
      <c r="BC1" s="1">
        <f t="shared" si="0"/>
        <v>55</v>
      </c>
      <c r="BD1" s="1">
        <f t="shared" si="0"/>
        <v>56</v>
      </c>
      <c r="BE1" s="1">
        <f t="shared" si="0"/>
        <v>57</v>
      </c>
      <c r="BF1" s="1">
        <f t="shared" si="0"/>
        <v>58</v>
      </c>
      <c r="BG1" s="1">
        <f t="shared" si="0"/>
        <v>59</v>
      </c>
      <c r="BH1" s="1">
        <f t="shared" si="0"/>
        <v>60</v>
      </c>
      <c r="BI1" s="1">
        <f t="shared" si="0"/>
        <v>61</v>
      </c>
      <c r="BJ1" s="1">
        <f t="shared" si="0"/>
        <v>62</v>
      </c>
      <c r="BK1" s="1">
        <f t="shared" si="0"/>
        <v>63</v>
      </c>
      <c r="BL1" s="1">
        <f t="shared" si="0"/>
        <v>64</v>
      </c>
      <c r="BM1" s="1">
        <f t="shared" si="0"/>
        <v>65</v>
      </c>
      <c r="BN1" s="1">
        <f t="shared" si="0"/>
        <v>66</v>
      </c>
      <c r="BO1" s="1">
        <f t="shared" si="0"/>
        <v>67</v>
      </c>
      <c r="BP1" s="1">
        <f t="shared" si="0"/>
        <v>68</v>
      </c>
      <c r="BQ1" s="1">
        <f t="shared" si="0"/>
        <v>69</v>
      </c>
      <c r="BR1" s="1">
        <f t="shared" si="0"/>
        <v>70</v>
      </c>
      <c r="BS1" s="1">
        <f t="shared" si="0"/>
        <v>71</v>
      </c>
      <c r="BT1" s="1">
        <f t="shared" si="0"/>
        <v>72</v>
      </c>
      <c r="BU1" s="1">
        <f t="shared" si="0"/>
        <v>73</v>
      </c>
      <c r="BV1" s="1">
        <f t="shared" si="0"/>
        <v>74</v>
      </c>
      <c r="BW1" s="1">
        <f t="shared" si="0"/>
        <v>75</v>
      </c>
      <c r="BX1" s="1">
        <f t="shared" si="0"/>
        <v>76</v>
      </c>
      <c r="BY1" s="1">
        <f t="shared" si="0"/>
        <v>77</v>
      </c>
      <c r="BZ1" s="1">
        <f t="shared" si="0"/>
        <v>78</v>
      </c>
      <c r="CA1" s="1">
        <f t="shared" si="0"/>
        <v>79</v>
      </c>
      <c r="CB1" s="1">
        <f t="shared" si="0"/>
        <v>80</v>
      </c>
      <c r="CC1" s="1">
        <f t="shared" si="0"/>
        <v>81</v>
      </c>
      <c r="CD1" s="1">
        <f t="shared" si="0"/>
        <v>82</v>
      </c>
      <c r="CE1" s="1">
        <f t="shared" si="0"/>
        <v>83</v>
      </c>
      <c r="CF1" s="1">
        <f t="shared" si="0"/>
        <v>84</v>
      </c>
      <c r="CG1" s="1">
        <f t="shared" si="0"/>
        <v>85</v>
      </c>
      <c r="CH1" s="1">
        <f t="shared" si="0"/>
        <v>86</v>
      </c>
      <c r="CI1" s="1">
        <f t="shared" si="0"/>
        <v>87</v>
      </c>
      <c r="CJ1" s="1">
        <f t="shared" si="0"/>
        <v>88</v>
      </c>
      <c r="CK1" s="1">
        <f t="shared" si="0"/>
        <v>89</v>
      </c>
      <c r="CL1" s="1">
        <f t="shared" si="0"/>
        <v>90</v>
      </c>
      <c r="CM1" s="1">
        <f t="shared" si="0"/>
        <v>91</v>
      </c>
      <c r="CN1" s="1">
        <f t="shared" si="0"/>
        <v>92</v>
      </c>
      <c r="CO1" s="1">
        <f t="shared" si="0"/>
        <v>93</v>
      </c>
      <c r="CP1" s="1">
        <f t="shared" si="0"/>
        <v>94</v>
      </c>
      <c r="CQ1" s="1">
        <f t="shared" si="0"/>
        <v>95</v>
      </c>
      <c r="CR1" s="1">
        <f t="shared" si="0"/>
        <v>96</v>
      </c>
      <c r="CS1" s="1">
        <f t="shared" si="0"/>
        <v>97</v>
      </c>
      <c r="CT1" s="1">
        <f t="shared" si="0"/>
        <v>98</v>
      </c>
      <c r="CU1" s="1">
        <f t="shared" si="0"/>
        <v>99</v>
      </c>
      <c r="CV1" s="1">
        <f t="shared" si="0"/>
        <v>100</v>
      </c>
      <c r="CW1" s="1">
        <f t="shared" si="0"/>
        <v>101</v>
      </c>
      <c r="CX1" s="1">
        <f t="shared" si="0"/>
        <v>102</v>
      </c>
      <c r="CY1" s="1">
        <f t="shared" si="0"/>
        <v>103</v>
      </c>
      <c r="CZ1" s="1">
        <f t="shared" si="0"/>
        <v>104</v>
      </c>
      <c r="DA1" s="1">
        <f t="shared" si="0"/>
        <v>105</v>
      </c>
      <c r="DB1" s="1">
        <f t="shared" si="0"/>
        <v>106</v>
      </c>
      <c r="DC1" s="1">
        <f t="shared" si="0"/>
        <v>107</v>
      </c>
      <c r="DD1" s="1">
        <f t="shared" si="0"/>
        <v>108</v>
      </c>
      <c r="DE1" s="1">
        <f t="shared" si="0"/>
        <v>109</v>
      </c>
      <c r="DF1" s="1">
        <f t="shared" si="0"/>
        <v>110</v>
      </c>
      <c r="DG1" s="1">
        <f t="shared" si="0"/>
        <v>111</v>
      </c>
      <c r="DH1" s="1">
        <f t="shared" si="0"/>
        <v>112</v>
      </c>
      <c r="DI1" s="1">
        <f t="shared" si="0"/>
        <v>113</v>
      </c>
      <c r="DJ1" s="1">
        <f t="shared" si="0"/>
        <v>114</v>
      </c>
      <c r="DK1" s="1">
        <f t="shared" si="0"/>
        <v>115</v>
      </c>
      <c r="DL1" s="1">
        <f t="shared" si="0"/>
        <v>116</v>
      </c>
      <c r="DM1" s="1">
        <f t="shared" si="0"/>
        <v>117</v>
      </c>
      <c r="DN1" s="1">
        <f t="shared" si="0"/>
        <v>118</v>
      </c>
      <c r="DO1" s="1">
        <f t="shared" si="0"/>
        <v>119</v>
      </c>
      <c r="DP1" s="1">
        <f t="shared" si="0"/>
        <v>120</v>
      </c>
      <c r="DQ1" s="1">
        <f t="shared" si="0"/>
        <v>121</v>
      </c>
      <c r="DR1" s="1">
        <f t="shared" si="0"/>
        <v>122</v>
      </c>
      <c r="DS1" s="1">
        <f t="shared" si="0"/>
        <v>123</v>
      </c>
      <c r="DT1" s="1">
        <f t="shared" si="0"/>
        <v>124</v>
      </c>
      <c r="DU1" s="1">
        <f t="shared" si="0"/>
        <v>125</v>
      </c>
      <c r="DV1" s="1">
        <f t="shared" si="0"/>
        <v>126</v>
      </c>
      <c r="DW1" s="1">
        <f t="shared" si="0"/>
        <v>127</v>
      </c>
      <c r="DX1" s="1">
        <f t="shared" si="0"/>
        <v>128</v>
      </c>
      <c r="DY1" s="1">
        <f t="shared" si="0"/>
        <v>129</v>
      </c>
      <c r="DZ1" s="1">
        <f t="shared" si="0"/>
        <v>130</v>
      </c>
      <c r="EA1" s="1">
        <f t="shared" si="0"/>
        <v>131</v>
      </c>
      <c r="EB1" s="1">
        <f t="shared" si="0"/>
        <v>132</v>
      </c>
      <c r="EC1" s="1">
        <f t="shared" si="0"/>
        <v>133</v>
      </c>
      <c r="ED1" s="1">
        <f t="shared" si="0"/>
        <v>134</v>
      </c>
      <c r="EE1" s="1">
        <f t="shared" si="0"/>
        <v>135</v>
      </c>
      <c r="EF1" s="1">
        <f t="shared" si="0"/>
        <v>136</v>
      </c>
      <c r="EG1" s="1">
        <f t="shared" si="0"/>
        <v>137</v>
      </c>
      <c r="EH1" s="1">
        <f t="shared" si="0"/>
        <v>138</v>
      </c>
      <c r="EI1" s="1">
        <f t="shared" si="0"/>
        <v>139</v>
      </c>
      <c r="EJ1" s="1">
        <f t="shared" si="0"/>
        <v>140</v>
      </c>
      <c r="EK1" s="1">
        <f t="shared" si="0"/>
        <v>141</v>
      </c>
      <c r="EL1" s="1">
        <f t="shared" si="0"/>
        <v>142</v>
      </c>
      <c r="EM1" s="1">
        <f t="shared" si="0"/>
        <v>143</v>
      </c>
      <c r="EN1" s="1">
        <f t="shared" si="0"/>
        <v>144</v>
      </c>
      <c r="EO1" s="1">
        <f t="shared" si="0"/>
        <v>145</v>
      </c>
      <c r="EP1" s="1">
        <f t="shared" si="0"/>
        <v>146</v>
      </c>
      <c r="EQ1" s="1">
        <f t="shared" si="0"/>
        <v>147</v>
      </c>
      <c r="ER1" s="1">
        <f t="shared" si="0"/>
        <v>148</v>
      </c>
      <c r="ES1" s="1">
        <f t="shared" si="0"/>
        <v>149</v>
      </c>
      <c r="ET1" s="1">
        <f t="shared" si="0"/>
        <v>150</v>
      </c>
      <c r="EU1" s="1">
        <f t="shared" si="0"/>
        <v>151</v>
      </c>
      <c r="EV1" s="1">
        <f t="shared" si="0"/>
        <v>152</v>
      </c>
      <c r="EW1" s="1">
        <f t="shared" si="0"/>
        <v>153</v>
      </c>
      <c r="EX1" s="1">
        <f t="shared" si="0"/>
        <v>154</v>
      </c>
      <c r="EY1" s="1">
        <f t="shared" si="0"/>
        <v>155</v>
      </c>
      <c r="EZ1" s="1">
        <f t="shared" si="0"/>
        <v>156</v>
      </c>
      <c r="FA1" s="1">
        <f t="shared" si="0"/>
        <v>157</v>
      </c>
      <c r="FB1" s="1">
        <f t="shared" si="0"/>
        <v>158</v>
      </c>
      <c r="FC1" s="1">
        <f t="shared" si="0"/>
        <v>159</v>
      </c>
      <c r="FD1" s="1">
        <f t="shared" si="0"/>
        <v>160</v>
      </c>
      <c r="FE1" s="1">
        <f t="shared" si="0"/>
        <v>161</v>
      </c>
      <c r="FF1" s="1">
        <f t="shared" si="0"/>
        <v>162</v>
      </c>
      <c r="FG1" s="1">
        <f t="shared" si="0"/>
        <v>163</v>
      </c>
      <c r="FH1" s="1">
        <f t="shared" si="0"/>
        <v>164</v>
      </c>
      <c r="FI1" s="1">
        <f t="shared" si="0"/>
        <v>165</v>
      </c>
      <c r="FJ1" s="1">
        <f t="shared" si="0"/>
        <v>166</v>
      </c>
      <c r="FK1" s="1">
        <f t="shared" si="0"/>
        <v>167</v>
      </c>
      <c r="FL1" s="1">
        <f t="shared" si="0"/>
        <v>168</v>
      </c>
      <c r="FM1" s="1">
        <f t="shared" si="0"/>
        <v>169</v>
      </c>
      <c r="FN1" s="1">
        <f t="shared" si="0"/>
        <v>170</v>
      </c>
      <c r="FO1" s="1">
        <f t="shared" si="0"/>
        <v>171</v>
      </c>
      <c r="FP1" s="1">
        <f t="shared" si="0"/>
        <v>172</v>
      </c>
      <c r="FQ1" s="1">
        <f t="shared" si="0"/>
        <v>173</v>
      </c>
      <c r="FR1" s="1">
        <f t="shared" si="0"/>
        <v>174</v>
      </c>
      <c r="FS1" s="1">
        <f t="shared" si="0"/>
        <v>175</v>
      </c>
      <c r="FT1" s="1">
        <f t="shared" si="0"/>
        <v>176</v>
      </c>
      <c r="FU1" s="1">
        <f t="shared" si="0"/>
        <v>177</v>
      </c>
      <c r="FV1" s="1">
        <f t="shared" si="0"/>
        <v>178</v>
      </c>
      <c r="FW1" s="1">
        <f t="shared" si="0"/>
        <v>179</v>
      </c>
      <c r="FX1" s="1">
        <f t="shared" si="0"/>
        <v>180</v>
      </c>
      <c r="FY1" s="1">
        <f t="shared" si="0"/>
        <v>181</v>
      </c>
      <c r="FZ1" s="1">
        <f t="shared" si="0"/>
        <v>182</v>
      </c>
      <c r="GA1" s="1">
        <f t="shared" si="0"/>
        <v>183</v>
      </c>
      <c r="GB1" s="1">
        <f t="shared" si="0"/>
        <v>184</v>
      </c>
      <c r="GC1" s="1">
        <f t="shared" si="0"/>
        <v>185</v>
      </c>
      <c r="GD1" s="1">
        <f t="shared" si="0"/>
        <v>186</v>
      </c>
      <c r="GE1" s="1">
        <f t="shared" si="0"/>
        <v>187</v>
      </c>
      <c r="GF1" s="1">
        <f t="shared" si="0"/>
        <v>188</v>
      </c>
      <c r="GG1" s="1">
        <f t="shared" si="0"/>
        <v>189</v>
      </c>
      <c r="GH1" s="1">
        <f t="shared" si="0"/>
        <v>190</v>
      </c>
      <c r="GI1" s="1">
        <f t="shared" si="0"/>
        <v>191</v>
      </c>
      <c r="GJ1" s="1">
        <f t="shared" si="0"/>
        <v>192</v>
      </c>
      <c r="GK1" s="1">
        <f t="shared" si="0"/>
        <v>193</v>
      </c>
      <c r="GL1" s="1">
        <f t="shared" si="0"/>
        <v>194</v>
      </c>
      <c r="GM1" s="1">
        <f t="shared" si="0"/>
        <v>195</v>
      </c>
      <c r="GN1" s="1">
        <f t="shared" si="0"/>
        <v>196</v>
      </c>
      <c r="GO1" s="1">
        <f t="shared" si="0"/>
        <v>197</v>
      </c>
      <c r="GP1" s="1">
        <f t="shared" si="0"/>
        <v>198</v>
      </c>
      <c r="GQ1" s="1">
        <f t="shared" si="0"/>
        <v>199</v>
      </c>
      <c r="GR1" s="1">
        <f t="shared" si="0"/>
        <v>200</v>
      </c>
      <c r="GS1" s="1">
        <f t="shared" si="0"/>
        <v>201</v>
      </c>
      <c r="GT1" s="1">
        <f t="shared" si="0"/>
        <v>202</v>
      </c>
      <c r="GU1" s="1">
        <f t="shared" si="0"/>
        <v>203</v>
      </c>
      <c r="GV1" s="1">
        <f t="shared" si="0"/>
        <v>204</v>
      </c>
      <c r="GW1" s="1">
        <f t="shared" si="0"/>
        <v>205</v>
      </c>
      <c r="GX1" s="1">
        <f t="shared" si="0"/>
        <v>206</v>
      </c>
      <c r="GY1" s="1">
        <f t="shared" si="0"/>
        <v>207</v>
      </c>
      <c r="GZ1" s="1">
        <f t="shared" si="0"/>
        <v>208</v>
      </c>
      <c r="HA1" s="1">
        <f t="shared" si="0"/>
        <v>209</v>
      </c>
      <c r="HB1" s="1">
        <f t="shared" si="0"/>
        <v>210</v>
      </c>
      <c r="HC1" s="1">
        <f t="shared" si="0"/>
        <v>211</v>
      </c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ht="36" customHeight="1">
      <c r="A2" s="1"/>
      <c r="B2" s="57"/>
      <c r="C2" s="57"/>
      <c r="D2" s="57"/>
      <c r="E2" s="58"/>
      <c r="F2" s="59"/>
      <c r="G2" s="60"/>
      <c r="H2" s="60"/>
      <c r="I2" s="5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ht="39.75" customHeight="1">
      <c r="A3" s="1"/>
      <c r="B3" s="61" t="s">
        <v>137</v>
      </c>
      <c r="C3" s="62"/>
      <c r="D3" s="62"/>
      <c r="E3" s="59"/>
      <c r="F3" s="59"/>
      <c r="G3" s="63">
        <v>1</v>
      </c>
      <c r="H3" s="60"/>
      <c r="I3" s="60">
        <f t="shared" ref="I3:W3" si="1">H3+1</f>
        <v>1</v>
      </c>
      <c r="J3" s="60">
        <f t="shared" si="1"/>
        <v>2</v>
      </c>
      <c r="K3" s="60">
        <f t="shared" si="1"/>
        <v>3</v>
      </c>
      <c r="L3" s="60">
        <f t="shared" si="1"/>
        <v>4</v>
      </c>
      <c r="M3" s="60">
        <f t="shared" si="1"/>
        <v>5</v>
      </c>
      <c r="N3" s="60">
        <f t="shared" si="1"/>
        <v>6</v>
      </c>
      <c r="O3" s="60">
        <f t="shared" si="1"/>
        <v>7</v>
      </c>
      <c r="P3" s="60">
        <f t="shared" si="1"/>
        <v>8</v>
      </c>
      <c r="Q3" s="60">
        <f t="shared" si="1"/>
        <v>9</v>
      </c>
      <c r="R3" s="60">
        <f t="shared" si="1"/>
        <v>10</v>
      </c>
      <c r="S3" s="60">
        <f t="shared" si="1"/>
        <v>11</v>
      </c>
      <c r="T3" s="60">
        <f t="shared" si="1"/>
        <v>12</v>
      </c>
      <c r="U3" s="60">
        <f t="shared" si="1"/>
        <v>13</v>
      </c>
      <c r="V3" s="60">
        <f t="shared" si="1"/>
        <v>14</v>
      </c>
      <c r="W3" s="60">
        <f t="shared" si="1"/>
        <v>15</v>
      </c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>
        <f>56+17</f>
        <v>73</v>
      </c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ht="52.5" customHeight="1">
      <c r="A4" s="64"/>
      <c r="B4" s="65"/>
      <c r="C4" s="65"/>
      <c r="D4" s="65"/>
      <c r="E4" s="64">
        <v>2</v>
      </c>
      <c r="F4" s="64">
        <f t="shared" ref="F4:HC4" si="2">E4+1</f>
        <v>3</v>
      </c>
      <c r="G4" s="66">
        <f t="shared" si="2"/>
        <v>4</v>
      </c>
      <c r="H4" s="64">
        <f t="shared" si="2"/>
        <v>5</v>
      </c>
      <c r="I4" s="64">
        <f t="shared" si="2"/>
        <v>6</v>
      </c>
      <c r="J4" s="64">
        <f t="shared" si="2"/>
        <v>7</v>
      </c>
      <c r="K4" s="64">
        <f t="shared" si="2"/>
        <v>8</v>
      </c>
      <c r="L4" s="64">
        <f t="shared" si="2"/>
        <v>9</v>
      </c>
      <c r="M4" s="64">
        <f t="shared" si="2"/>
        <v>10</v>
      </c>
      <c r="N4" s="64">
        <f t="shared" si="2"/>
        <v>11</v>
      </c>
      <c r="O4" s="67">
        <f t="shared" si="2"/>
        <v>12</v>
      </c>
      <c r="P4" s="64">
        <f t="shared" si="2"/>
        <v>13</v>
      </c>
      <c r="Q4" s="64">
        <f t="shared" si="2"/>
        <v>14</v>
      </c>
      <c r="R4" s="64">
        <f t="shared" si="2"/>
        <v>15</v>
      </c>
      <c r="S4" s="64">
        <f t="shared" si="2"/>
        <v>16</v>
      </c>
      <c r="T4" s="64">
        <f t="shared" si="2"/>
        <v>17</v>
      </c>
      <c r="U4" s="64">
        <f t="shared" si="2"/>
        <v>18</v>
      </c>
      <c r="V4" s="64">
        <f t="shared" si="2"/>
        <v>19</v>
      </c>
      <c r="W4" s="64">
        <f t="shared" si="2"/>
        <v>20</v>
      </c>
      <c r="X4" s="66">
        <f t="shared" si="2"/>
        <v>21</v>
      </c>
      <c r="Y4" s="64">
        <f t="shared" si="2"/>
        <v>22</v>
      </c>
      <c r="Z4" s="64">
        <f t="shared" si="2"/>
        <v>23</v>
      </c>
      <c r="AA4" s="64">
        <f t="shared" si="2"/>
        <v>24</v>
      </c>
      <c r="AB4" s="64">
        <f t="shared" si="2"/>
        <v>25</v>
      </c>
      <c r="AC4" s="64">
        <f t="shared" si="2"/>
        <v>26</v>
      </c>
      <c r="AD4" s="64">
        <f t="shared" si="2"/>
        <v>27</v>
      </c>
      <c r="AE4" s="64">
        <f t="shared" si="2"/>
        <v>28</v>
      </c>
      <c r="AF4" s="67">
        <f t="shared" si="2"/>
        <v>29</v>
      </c>
      <c r="AG4" s="64">
        <f t="shared" si="2"/>
        <v>30</v>
      </c>
      <c r="AH4" s="64">
        <f t="shared" si="2"/>
        <v>31</v>
      </c>
      <c r="AI4" s="64">
        <f t="shared" si="2"/>
        <v>32</v>
      </c>
      <c r="AJ4" s="64">
        <f t="shared" si="2"/>
        <v>33</v>
      </c>
      <c r="AK4" s="64">
        <f t="shared" si="2"/>
        <v>34</v>
      </c>
      <c r="AL4" s="64">
        <f t="shared" si="2"/>
        <v>35</v>
      </c>
      <c r="AM4" s="64">
        <f t="shared" si="2"/>
        <v>36</v>
      </c>
      <c r="AN4" s="64">
        <f t="shared" si="2"/>
        <v>37</v>
      </c>
      <c r="AO4" s="66">
        <f t="shared" si="2"/>
        <v>38</v>
      </c>
      <c r="AP4" s="64">
        <f t="shared" si="2"/>
        <v>39</v>
      </c>
      <c r="AQ4" s="64">
        <f t="shared" si="2"/>
        <v>40</v>
      </c>
      <c r="AR4" s="64">
        <f t="shared" si="2"/>
        <v>41</v>
      </c>
      <c r="AS4" s="64">
        <f t="shared" si="2"/>
        <v>42</v>
      </c>
      <c r="AT4" s="64">
        <f t="shared" si="2"/>
        <v>43</v>
      </c>
      <c r="AU4" s="64">
        <f t="shared" si="2"/>
        <v>44</v>
      </c>
      <c r="AV4" s="64">
        <f t="shared" si="2"/>
        <v>45</v>
      </c>
      <c r="AW4" s="67">
        <f t="shared" si="2"/>
        <v>46</v>
      </c>
      <c r="AX4" s="64">
        <f t="shared" si="2"/>
        <v>47</v>
      </c>
      <c r="AY4" s="64">
        <f t="shared" si="2"/>
        <v>48</v>
      </c>
      <c r="AZ4" s="64">
        <f t="shared" si="2"/>
        <v>49</v>
      </c>
      <c r="BA4" s="64">
        <f t="shared" si="2"/>
        <v>50</v>
      </c>
      <c r="BB4" s="64">
        <f t="shared" si="2"/>
        <v>51</v>
      </c>
      <c r="BC4" s="64">
        <f t="shared" si="2"/>
        <v>52</v>
      </c>
      <c r="BD4" s="64">
        <f t="shared" si="2"/>
        <v>53</v>
      </c>
      <c r="BE4" s="64">
        <f t="shared" si="2"/>
        <v>54</v>
      </c>
      <c r="BF4" s="66">
        <f t="shared" si="2"/>
        <v>55</v>
      </c>
      <c r="BG4" s="64">
        <f t="shared" si="2"/>
        <v>56</v>
      </c>
      <c r="BH4" s="64">
        <f t="shared" si="2"/>
        <v>57</v>
      </c>
      <c r="BI4" s="64">
        <f t="shared" si="2"/>
        <v>58</v>
      </c>
      <c r="BJ4" s="64">
        <f t="shared" si="2"/>
        <v>59</v>
      </c>
      <c r="BK4" s="64">
        <f t="shared" si="2"/>
        <v>60</v>
      </c>
      <c r="BL4" s="64">
        <f t="shared" si="2"/>
        <v>61</v>
      </c>
      <c r="BM4" s="64">
        <f t="shared" si="2"/>
        <v>62</v>
      </c>
      <c r="BN4" s="67">
        <f t="shared" si="2"/>
        <v>63</v>
      </c>
      <c r="BO4" s="64">
        <f t="shared" si="2"/>
        <v>64</v>
      </c>
      <c r="BP4" s="64">
        <f t="shared" si="2"/>
        <v>65</v>
      </c>
      <c r="BQ4" s="64">
        <f t="shared" si="2"/>
        <v>66</v>
      </c>
      <c r="BR4" s="64">
        <f t="shared" si="2"/>
        <v>67</v>
      </c>
      <c r="BS4" s="64">
        <f t="shared" si="2"/>
        <v>68</v>
      </c>
      <c r="BT4" s="64">
        <f t="shared" si="2"/>
        <v>69</v>
      </c>
      <c r="BU4" s="64">
        <f t="shared" si="2"/>
        <v>70</v>
      </c>
      <c r="BV4" s="64">
        <f t="shared" si="2"/>
        <v>71</v>
      </c>
      <c r="BW4" s="66">
        <f t="shared" si="2"/>
        <v>72</v>
      </c>
      <c r="BX4" s="64">
        <f t="shared" si="2"/>
        <v>73</v>
      </c>
      <c r="BY4" s="64">
        <f t="shared" si="2"/>
        <v>74</v>
      </c>
      <c r="BZ4" s="64">
        <f t="shared" si="2"/>
        <v>75</v>
      </c>
      <c r="CA4" s="64">
        <f t="shared" si="2"/>
        <v>76</v>
      </c>
      <c r="CB4" s="64">
        <f t="shared" si="2"/>
        <v>77</v>
      </c>
      <c r="CC4" s="64">
        <f t="shared" si="2"/>
        <v>78</v>
      </c>
      <c r="CD4" s="64">
        <f t="shared" si="2"/>
        <v>79</v>
      </c>
      <c r="CE4" s="67">
        <f t="shared" si="2"/>
        <v>80</v>
      </c>
      <c r="CF4" s="64">
        <f t="shared" si="2"/>
        <v>81</v>
      </c>
      <c r="CG4" s="64">
        <f t="shared" si="2"/>
        <v>82</v>
      </c>
      <c r="CH4" s="64">
        <f t="shared" si="2"/>
        <v>83</v>
      </c>
      <c r="CI4" s="64">
        <f t="shared" si="2"/>
        <v>84</v>
      </c>
      <c r="CJ4" s="64">
        <f t="shared" si="2"/>
        <v>85</v>
      </c>
      <c r="CK4" s="64">
        <f t="shared" si="2"/>
        <v>86</v>
      </c>
      <c r="CL4" s="64">
        <f t="shared" si="2"/>
        <v>87</v>
      </c>
      <c r="CM4" s="64">
        <f t="shared" si="2"/>
        <v>88</v>
      </c>
      <c r="CN4" s="66">
        <f t="shared" si="2"/>
        <v>89</v>
      </c>
      <c r="CO4" s="64">
        <f t="shared" si="2"/>
        <v>90</v>
      </c>
      <c r="CP4" s="64">
        <f t="shared" si="2"/>
        <v>91</v>
      </c>
      <c r="CQ4" s="64">
        <f t="shared" si="2"/>
        <v>92</v>
      </c>
      <c r="CR4" s="64">
        <f t="shared" si="2"/>
        <v>93</v>
      </c>
      <c r="CS4" s="64">
        <f t="shared" si="2"/>
        <v>94</v>
      </c>
      <c r="CT4" s="64">
        <f t="shared" si="2"/>
        <v>95</v>
      </c>
      <c r="CU4" s="64">
        <f t="shared" si="2"/>
        <v>96</v>
      </c>
      <c r="CV4" s="67">
        <f t="shared" si="2"/>
        <v>97</v>
      </c>
      <c r="CW4" s="64">
        <f t="shared" si="2"/>
        <v>98</v>
      </c>
      <c r="CX4" s="64">
        <f t="shared" si="2"/>
        <v>99</v>
      </c>
      <c r="CY4" s="64">
        <f t="shared" si="2"/>
        <v>100</v>
      </c>
      <c r="CZ4" s="64">
        <f t="shared" si="2"/>
        <v>101</v>
      </c>
      <c r="DA4" s="64">
        <f t="shared" si="2"/>
        <v>102</v>
      </c>
      <c r="DB4" s="64">
        <f t="shared" si="2"/>
        <v>103</v>
      </c>
      <c r="DC4" s="64">
        <f t="shared" si="2"/>
        <v>104</v>
      </c>
      <c r="DD4" s="64">
        <f t="shared" si="2"/>
        <v>105</v>
      </c>
      <c r="DE4" s="66">
        <f t="shared" si="2"/>
        <v>106</v>
      </c>
      <c r="DF4" s="64">
        <f t="shared" si="2"/>
        <v>107</v>
      </c>
      <c r="DG4" s="64">
        <f t="shared" si="2"/>
        <v>108</v>
      </c>
      <c r="DH4" s="64">
        <f t="shared" si="2"/>
        <v>109</v>
      </c>
      <c r="DI4" s="64">
        <f t="shared" si="2"/>
        <v>110</v>
      </c>
      <c r="DJ4" s="64">
        <f t="shared" si="2"/>
        <v>111</v>
      </c>
      <c r="DK4" s="64">
        <f t="shared" si="2"/>
        <v>112</v>
      </c>
      <c r="DL4" s="64">
        <f t="shared" si="2"/>
        <v>113</v>
      </c>
      <c r="DM4" s="67">
        <f t="shared" si="2"/>
        <v>114</v>
      </c>
      <c r="DN4" s="64">
        <f t="shared" si="2"/>
        <v>115</v>
      </c>
      <c r="DO4" s="64">
        <f t="shared" si="2"/>
        <v>116</v>
      </c>
      <c r="DP4" s="64">
        <f t="shared" si="2"/>
        <v>117</v>
      </c>
      <c r="DQ4" s="64">
        <f t="shared" si="2"/>
        <v>118</v>
      </c>
      <c r="DR4" s="64">
        <f t="shared" si="2"/>
        <v>119</v>
      </c>
      <c r="DS4" s="64">
        <f t="shared" si="2"/>
        <v>120</v>
      </c>
      <c r="DT4" s="64">
        <f t="shared" si="2"/>
        <v>121</v>
      </c>
      <c r="DU4" s="64">
        <f t="shared" si="2"/>
        <v>122</v>
      </c>
      <c r="DV4" s="66">
        <f t="shared" si="2"/>
        <v>123</v>
      </c>
      <c r="DW4" s="64">
        <f t="shared" si="2"/>
        <v>124</v>
      </c>
      <c r="DX4" s="64">
        <f t="shared" si="2"/>
        <v>125</v>
      </c>
      <c r="DY4" s="64">
        <f t="shared" si="2"/>
        <v>126</v>
      </c>
      <c r="DZ4" s="64">
        <f t="shared" si="2"/>
        <v>127</v>
      </c>
      <c r="EA4" s="64">
        <f t="shared" si="2"/>
        <v>128</v>
      </c>
      <c r="EB4" s="64">
        <f t="shared" si="2"/>
        <v>129</v>
      </c>
      <c r="EC4" s="64">
        <f t="shared" si="2"/>
        <v>130</v>
      </c>
      <c r="ED4" s="67">
        <f t="shared" si="2"/>
        <v>131</v>
      </c>
      <c r="EE4" s="64">
        <f t="shared" si="2"/>
        <v>132</v>
      </c>
      <c r="EF4" s="64">
        <f t="shared" si="2"/>
        <v>133</v>
      </c>
      <c r="EG4" s="64">
        <f t="shared" si="2"/>
        <v>134</v>
      </c>
      <c r="EH4" s="64">
        <f t="shared" si="2"/>
        <v>135</v>
      </c>
      <c r="EI4" s="64">
        <f t="shared" si="2"/>
        <v>136</v>
      </c>
      <c r="EJ4" s="64">
        <f t="shared" si="2"/>
        <v>137</v>
      </c>
      <c r="EK4" s="64">
        <f t="shared" si="2"/>
        <v>138</v>
      </c>
      <c r="EL4" s="64">
        <f t="shared" si="2"/>
        <v>139</v>
      </c>
      <c r="EM4" s="66">
        <f t="shared" si="2"/>
        <v>140</v>
      </c>
      <c r="EN4" s="64">
        <f t="shared" si="2"/>
        <v>141</v>
      </c>
      <c r="EO4" s="64">
        <f t="shared" si="2"/>
        <v>142</v>
      </c>
      <c r="EP4" s="64">
        <f t="shared" si="2"/>
        <v>143</v>
      </c>
      <c r="EQ4" s="64">
        <f t="shared" si="2"/>
        <v>144</v>
      </c>
      <c r="ER4" s="64">
        <f t="shared" si="2"/>
        <v>145</v>
      </c>
      <c r="ES4" s="64">
        <f t="shared" si="2"/>
        <v>146</v>
      </c>
      <c r="ET4" s="64">
        <f t="shared" si="2"/>
        <v>147</v>
      </c>
      <c r="EU4" s="67">
        <f t="shared" si="2"/>
        <v>148</v>
      </c>
      <c r="EV4" s="64">
        <f t="shared" si="2"/>
        <v>149</v>
      </c>
      <c r="EW4" s="64">
        <f t="shared" si="2"/>
        <v>150</v>
      </c>
      <c r="EX4" s="64">
        <f t="shared" si="2"/>
        <v>151</v>
      </c>
      <c r="EY4" s="64">
        <f t="shared" si="2"/>
        <v>152</v>
      </c>
      <c r="EZ4" s="64">
        <f t="shared" si="2"/>
        <v>153</v>
      </c>
      <c r="FA4" s="64">
        <f t="shared" si="2"/>
        <v>154</v>
      </c>
      <c r="FB4" s="64">
        <f t="shared" si="2"/>
        <v>155</v>
      </c>
      <c r="FC4" s="64">
        <f t="shared" si="2"/>
        <v>156</v>
      </c>
      <c r="FD4" s="66">
        <f t="shared" si="2"/>
        <v>157</v>
      </c>
      <c r="FE4" s="64">
        <f t="shared" si="2"/>
        <v>158</v>
      </c>
      <c r="FF4" s="64">
        <f t="shared" si="2"/>
        <v>159</v>
      </c>
      <c r="FG4" s="64">
        <f t="shared" si="2"/>
        <v>160</v>
      </c>
      <c r="FH4" s="64">
        <f t="shared" si="2"/>
        <v>161</v>
      </c>
      <c r="FI4" s="64">
        <f t="shared" si="2"/>
        <v>162</v>
      </c>
      <c r="FJ4" s="64">
        <f t="shared" si="2"/>
        <v>163</v>
      </c>
      <c r="FK4" s="64">
        <f t="shared" si="2"/>
        <v>164</v>
      </c>
      <c r="FL4" s="67">
        <f t="shared" si="2"/>
        <v>165</v>
      </c>
      <c r="FM4" s="64">
        <f t="shared" si="2"/>
        <v>166</v>
      </c>
      <c r="FN4" s="64">
        <f t="shared" si="2"/>
        <v>167</v>
      </c>
      <c r="FO4" s="64">
        <f t="shared" si="2"/>
        <v>168</v>
      </c>
      <c r="FP4" s="64">
        <f t="shared" si="2"/>
        <v>169</v>
      </c>
      <c r="FQ4" s="64">
        <f t="shared" si="2"/>
        <v>170</v>
      </c>
      <c r="FR4" s="64">
        <f t="shared" si="2"/>
        <v>171</v>
      </c>
      <c r="FS4" s="64">
        <f t="shared" si="2"/>
        <v>172</v>
      </c>
      <c r="FT4" s="64">
        <f t="shared" si="2"/>
        <v>173</v>
      </c>
      <c r="FU4" s="66">
        <f t="shared" si="2"/>
        <v>174</v>
      </c>
      <c r="FV4" s="64">
        <f t="shared" si="2"/>
        <v>175</v>
      </c>
      <c r="FW4" s="64">
        <f t="shared" si="2"/>
        <v>176</v>
      </c>
      <c r="FX4" s="64">
        <f t="shared" si="2"/>
        <v>177</v>
      </c>
      <c r="FY4" s="64">
        <f t="shared" si="2"/>
        <v>178</v>
      </c>
      <c r="FZ4" s="64">
        <f t="shared" si="2"/>
        <v>179</v>
      </c>
      <c r="GA4" s="64">
        <f t="shared" si="2"/>
        <v>180</v>
      </c>
      <c r="GB4" s="64">
        <f t="shared" si="2"/>
        <v>181</v>
      </c>
      <c r="GC4" s="67">
        <f t="shared" si="2"/>
        <v>182</v>
      </c>
      <c r="GD4" s="64">
        <f t="shared" si="2"/>
        <v>183</v>
      </c>
      <c r="GE4" s="64">
        <f t="shared" si="2"/>
        <v>184</v>
      </c>
      <c r="GF4" s="64">
        <f t="shared" si="2"/>
        <v>185</v>
      </c>
      <c r="GG4" s="64">
        <f t="shared" si="2"/>
        <v>186</v>
      </c>
      <c r="GH4" s="64">
        <f t="shared" si="2"/>
        <v>187</v>
      </c>
      <c r="GI4" s="64">
        <f t="shared" si="2"/>
        <v>188</v>
      </c>
      <c r="GJ4" s="64">
        <f t="shared" si="2"/>
        <v>189</v>
      </c>
      <c r="GK4" s="64">
        <f t="shared" si="2"/>
        <v>190</v>
      </c>
      <c r="GL4" s="66">
        <f t="shared" si="2"/>
        <v>191</v>
      </c>
      <c r="GM4" s="64">
        <f t="shared" si="2"/>
        <v>192</v>
      </c>
      <c r="GN4" s="64">
        <f t="shared" si="2"/>
        <v>193</v>
      </c>
      <c r="GO4" s="64">
        <f t="shared" si="2"/>
        <v>194</v>
      </c>
      <c r="GP4" s="64">
        <f t="shared" si="2"/>
        <v>195</v>
      </c>
      <c r="GQ4" s="64">
        <f t="shared" si="2"/>
        <v>196</v>
      </c>
      <c r="GR4" s="64">
        <f t="shared" si="2"/>
        <v>197</v>
      </c>
      <c r="GS4" s="64">
        <f t="shared" si="2"/>
        <v>198</v>
      </c>
      <c r="GT4" s="67">
        <f t="shared" si="2"/>
        <v>199</v>
      </c>
      <c r="GU4" s="64">
        <f t="shared" si="2"/>
        <v>200</v>
      </c>
      <c r="GV4" s="64">
        <f t="shared" si="2"/>
        <v>201</v>
      </c>
      <c r="GW4" s="64">
        <f t="shared" si="2"/>
        <v>202</v>
      </c>
      <c r="GX4" s="64">
        <f t="shared" si="2"/>
        <v>203</v>
      </c>
      <c r="GY4" s="64">
        <f t="shared" si="2"/>
        <v>204</v>
      </c>
      <c r="GZ4" s="64">
        <f t="shared" si="2"/>
        <v>205</v>
      </c>
      <c r="HA4" s="64">
        <f t="shared" si="2"/>
        <v>206</v>
      </c>
      <c r="HB4" s="64">
        <f t="shared" si="2"/>
        <v>207</v>
      </c>
      <c r="HC4" s="64">
        <f t="shared" si="2"/>
        <v>208</v>
      </c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</row>
    <row r="5" spans="1:222" ht="22.5" customHeight="1">
      <c r="A5" s="1"/>
      <c r="B5" s="883" t="s">
        <v>138</v>
      </c>
      <c r="C5" s="884"/>
      <c r="D5" s="885"/>
      <c r="E5" s="68" t="s">
        <v>139</v>
      </c>
      <c r="F5" s="69"/>
      <c r="G5" s="886" t="s">
        <v>140</v>
      </c>
      <c r="H5" s="879"/>
      <c r="I5" s="879"/>
      <c r="J5" s="879"/>
      <c r="K5" s="879"/>
      <c r="L5" s="879"/>
      <c r="M5" s="879"/>
      <c r="N5" s="879"/>
      <c r="O5" s="879"/>
      <c r="P5" s="879"/>
      <c r="Q5" s="879"/>
      <c r="R5" s="879"/>
      <c r="S5" s="879"/>
      <c r="T5" s="879"/>
      <c r="U5" s="879"/>
      <c r="V5" s="879"/>
      <c r="W5" s="880"/>
      <c r="X5" s="887" t="str">
        <f>G5</f>
        <v xml:space="preserve"> S E R V I Ç O S     -    A G R O P E C U A R I O S </v>
      </c>
      <c r="Y5" s="879"/>
      <c r="Z5" s="879"/>
      <c r="AA5" s="879"/>
      <c r="AB5" s="879"/>
      <c r="AC5" s="879"/>
      <c r="AD5" s="879"/>
      <c r="AE5" s="879"/>
      <c r="AF5" s="879"/>
      <c r="AG5" s="879"/>
      <c r="AH5" s="879"/>
      <c r="AI5" s="879"/>
      <c r="AJ5" s="879"/>
      <c r="AK5" s="879"/>
      <c r="AL5" s="879"/>
      <c r="AM5" s="879"/>
      <c r="AN5" s="880"/>
      <c r="AO5" s="887" t="str">
        <f>X5</f>
        <v xml:space="preserve"> S E R V I Ç O S     -    A G R O P E C U A R I O S </v>
      </c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79"/>
      <c r="BA5" s="879"/>
      <c r="BB5" s="879"/>
      <c r="BC5" s="879"/>
      <c r="BD5" s="879"/>
      <c r="BE5" s="880"/>
      <c r="BF5" s="888" t="str">
        <f>AO5</f>
        <v xml:space="preserve"> S E R V I Ç O S     -    A G R O P E C U A R I O S </v>
      </c>
      <c r="BG5" s="889"/>
      <c r="BH5" s="889"/>
      <c r="BI5" s="889"/>
      <c r="BJ5" s="889"/>
      <c r="BK5" s="889"/>
      <c r="BL5" s="889"/>
      <c r="BM5" s="889"/>
      <c r="BN5" s="889"/>
      <c r="BO5" s="889"/>
      <c r="BP5" s="889"/>
      <c r="BQ5" s="889"/>
      <c r="BR5" s="889"/>
      <c r="BS5" s="889"/>
      <c r="BT5" s="889"/>
      <c r="BU5" s="889"/>
      <c r="BV5" s="890"/>
      <c r="BW5" s="878" t="str">
        <f>AO5</f>
        <v xml:space="preserve"> S E R V I Ç O S     -    A G R O P E C U A R I O S </v>
      </c>
      <c r="BX5" s="879"/>
      <c r="BY5" s="879"/>
      <c r="BZ5" s="879"/>
      <c r="CA5" s="879"/>
      <c r="CB5" s="879"/>
      <c r="CC5" s="879"/>
      <c r="CD5" s="879"/>
      <c r="CE5" s="879"/>
      <c r="CF5" s="879"/>
      <c r="CG5" s="879"/>
      <c r="CH5" s="879"/>
      <c r="CI5" s="879"/>
      <c r="CJ5" s="879"/>
      <c r="CK5" s="879"/>
      <c r="CL5" s="879"/>
      <c r="CM5" s="880"/>
      <c r="CN5" s="878" t="str">
        <f>AO5</f>
        <v xml:space="preserve"> S E R V I Ç O S     -    A G R O P E C U A R I O S </v>
      </c>
      <c r="CO5" s="879"/>
      <c r="CP5" s="879"/>
      <c r="CQ5" s="879"/>
      <c r="CR5" s="879"/>
      <c r="CS5" s="879"/>
      <c r="CT5" s="879"/>
      <c r="CU5" s="879"/>
      <c r="CV5" s="879"/>
      <c r="CW5" s="879"/>
      <c r="CX5" s="879"/>
      <c r="CY5" s="879"/>
      <c r="CZ5" s="879"/>
      <c r="DA5" s="879"/>
      <c r="DB5" s="879"/>
      <c r="DC5" s="879"/>
      <c r="DD5" s="880"/>
      <c r="DE5" s="878" t="str">
        <f>AO5</f>
        <v xml:space="preserve"> S E R V I Ç O S     -    A G R O P E C U A R I O S </v>
      </c>
      <c r="DF5" s="879"/>
      <c r="DG5" s="879"/>
      <c r="DH5" s="879"/>
      <c r="DI5" s="879"/>
      <c r="DJ5" s="879"/>
      <c r="DK5" s="879"/>
      <c r="DL5" s="879"/>
      <c r="DM5" s="879"/>
      <c r="DN5" s="879"/>
      <c r="DO5" s="879"/>
      <c r="DP5" s="879"/>
      <c r="DQ5" s="879"/>
      <c r="DR5" s="879"/>
      <c r="DS5" s="879"/>
      <c r="DT5" s="879"/>
      <c r="DU5" s="880"/>
      <c r="DV5" s="878" t="str">
        <f>AO5</f>
        <v xml:space="preserve"> S E R V I Ç O S     -    A G R O P E C U A R I O S </v>
      </c>
      <c r="DW5" s="879"/>
      <c r="DX5" s="879"/>
      <c r="DY5" s="879"/>
      <c r="DZ5" s="879"/>
      <c r="EA5" s="879"/>
      <c r="EB5" s="879"/>
      <c r="EC5" s="879"/>
      <c r="ED5" s="879"/>
      <c r="EE5" s="879"/>
      <c r="EF5" s="879"/>
      <c r="EG5" s="879"/>
      <c r="EH5" s="879"/>
      <c r="EI5" s="879"/>
      <c r="EJ5" s="879"/>
      <c r="EK5" s="879"/>
      <c r="EL5" s="880"/>
      <c r="EM5" s="878" t="str">
        <f>AO5</f>
        <v xml:space="preserve"> S E R V I Ç O S     -    A G R O P E C U A R I O S </v>
      </c>
      <c r="EN5" s="879"/>
      <c r="EO5" s="879"/>
      <c r="EP5" s="879"/>
      <c r="EQ5" s="879"/>
      <c r="ER5" s="879"/>
      <c r="ES5" s="879"/>
      <c r="ET5" s="879"/>
      <c r="EU5" s="879"/>
      <c r="EV5" s="879"/>
      <c r="EW5" s="879"/>
      <c r="EX5" s="879"/>
      <c r="EY5" s="879"/>
      <c r="EZ5" s="879"/>
      <c r="FA5" s="879"/>
      <c r="FB5" s="879"/>
      <c r="FC5" s="880"/>
      <c r="FD5" s="878" t="str">
        <f>AO5</f>
        <v xml:space="preserve"> S E R V I Ç O S     -    A G R O P E C U A R I O S </v>
      </c>
      <c r="FE5" s="879"/>
      <c r="FF5" s="879"/>
      <c r="FG5" s="879"/>
      <c r="FH5" s="879"/>
      <c r="FI5" s="879"/>
      <c r="FJ5" s="879"/>
      <c r="FK5" s="879"/>
      <c r="FL5" s="879"/>
      <c r="FM5" s="879"/>
      <c r="FN5" s="879"/>
      <c r="FO5" s="879"/>
      <c r="FP5" s="879"/>
      <c r="FQ5" s="879"/>
      <c r="FR5" s="879"/>
      <c r="FS5" s="879"/>
      <c r="FT5" s="880"/>
      <c r="FU5" s="878" t="str">
        <f>AO5</f>
        <v xml:space="preserve"> S E R V I Ç O S     -    A G R O P E C U A R I O S </v>
      </c>
      <c r="FV5" s="879"/>
      <c r="FW5" s="879"/>
      <c r="FX5" s="879"/>
      <c r="FY5" s="879"/>
      <c r="FZ5" s="879"/>
      <c r="GA5" s="879"/>
      <c r="GB5" s="879"/>
      <c r="GC5" s="879"/>
      <c r="GD5" s="879"/>
      <c r="GE5" s="879"/>
      <c r="GF5" s="879"/>
      <c r="GG5" s="879"/>
      <c r="GH5" s="879"/>
      <c r="GI5" s="879"/>
      <c r="GJ5" s="879"/>
      <c r="GK5" s="880"/>
      <c r="GL5" s="878" t="str">
        <f>AO5</f>
        <v xml:space="preserve"> S E R V I Ç O S     -    A G R O P E C U A R I O S </v>
      </c>
      <c r="GM5" s="879"/>
      <c r="GN5" s="879"/>
      <c r="GO5" s="879"/>
      <c r="GP5" s="879"/>
      <c r="GQ5" s="879"/>
      <c r="GR5" s="879"/>
      <c r="GS5" s="879"/>
      <c r="GT5" s="879"/>
      <c r="GU5" s="879"/>
      <c r="GV5" s="879"/>
      <c r="GW5" s="879"/>
      <c r="GX5" s="879"/>
      <c r="GY5" s="879"/>
      <c r="GZ5" s="879"/>
      <c r="HA5" s="879"/>
      <c r="HB5" s="88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</row>
    <row r="6" spans="1:222" ht="24.75" customHeight="1">
      <c r="A6" s="71"/>
      <c r="B6" s="891" t="s">
        <v>141</v>
      </c>
      <c r="C6" s="891" t="s">
        <v>142</v>
      </c>
      <c r="D6" s="891" t="s">
        <v>143</v>
      </c>
      <c r="E6" s="894" t="s">
        <v>144</v>
      </c>
      <c r="F6" s="895" t="s">
        <v>145</v>
      </c>
      <c r="G6" s="896" t="s">
        <v>146</v>
      </c>
      <c r="H6" s="866"/>
      <c r="I6" s="866"/>
      <c r="J6" s="866"/>
      <c r="K6" s="866"/>
      <c r="L6" s="866"/>
      <c r="M6" s="866"/>
      <c r="N6" s="866"/>
      <c r="O6" s="866"/>
      <c r="P6" s="866"/>
      <c r="Q6" s="866"/>
      <c r="R6" s="866"/>
      <c r="S6" s="866"/>
      <c r="T6" s="866"/>
      <c r="U6" s="866"/>
      <c r="V6" s="866"/>
      <c r="W6" s="867"/>
      <c r="X6" s="897" t="s">
        <v>147</v>
      </c>
      <c r="Y6" s="866"/>
      <c r="Z6" s="866"/>
      <c r="AA6" s="866"/>
      <c r="AB6" s="866"/>
      <c r="AC6" s="866"/>
      <c r="AD6" s="866"/>
      <c r="AE6" s="866"/>
      <c r="AF6" s="866"/>
      <c r="AG6" s="866"/>
      <c r="AH6" s="866"/>
      <c r="AI6" s="866"/>
      <c r="AJ6" s="866"/>
      <c r="AK6" s="866"/>
      <c r="AL6" s="866"/>
      <c r="AM6" s="866"/>
      <c r="AN6" s="867"/>
      <c r="AO6" s="865" t="s">
        <v>148</v>
      </c>
      <c r="AP6" s="866"/>
      <c r="AQ6" s="866"/>
      <c r="AR6" s="866"/>
      <c r="AS6" s="866"/>
      <c r="AT6" s="866"/>
      <c r="AU6" s="866"/>
      <c r="AV6" s="866"/>
      <c r="AW6" s="866"/>
      <c r="AX6" s="866"/>
      <c r="AY6" s="866"/>
      <c r="AZ6" s="866"/>
      <c r="BA6" s="866"/>
      <c r="BB6" s="866"/>
      <c r="BC6" s="866"/>
      <c r="BD6" s="866"/>
      <c r="BE6" s="867"/>
      <c r="BF6" s="868" t="s">
        <v>131</v>
      </c>
      <c r="BG6" s="866"/>
      <c r="BH6" s="866"/>
      <c r="BI6" s="866"/>
      <c r="BJ6" s="866"/>
      <c r="BK6" s="866"/>
      <c r="BL6" s="866"/>
      <c r="BM6" s="866"/>
      <c r="BN6" s="866"/>
      <c r="BO6" s="866"/>
      <c r="BP6" s="866"/>
      <c r="BQ6" s="866"/>
      <c r="BR6" s="866"/>
      <c r="BS6" s="866"/>
      <c r="BT6" s="866"/>
      <c r="BU6" s="866"/>
      <c r="BV6" s="867"/>
      <c r="BW6" s="868" t="s">
        <v>149</v>
      </c>
      <c r="BX6" s="866"/>
      <c r="BY6" s="866"/>
      <c r="BZ6" s="866"/>
      <c r="CA6" s="866"/>
      <c r="CB6" s="866"/>
      <c r="CC6" s="866"/>
      <c r="CD6" s="866"/>
      <c r="CE6" s="866"/>
      <c r="CF6" s="866"/>
      <c r="CG6" s="866"/>
      <c r="CH6" s="866"/>
      <c r="CI6" s="866"/>
      <c r="CJ6" s="866"/>
      <c r="CK6" s="866"/>
      <c r="CL6" s="866"/>
      <c r="CM6" s="867"/>
      <c r="CN6" s="868" t="s">
        <v>150</v>
      </c>
      <c r="CO6" s="866"/>
      <c r="CP6" s="866"/>
      <c r="CQ6" s="866"/>
      <c r="CR6" s="866"/>
      <c r="CS6" s="866"/>
      <c r="CT6" s="866"/>
      <c r="CU6" s="866"/>
      <c r="CV6" s="866"/>
      <c r="CW6" s="866"/>
      <c r="CX6" s="866"/>
      <c r="CY6" s="866"/>
      <c r="CZ6" s="866"/>
      <c r="DA6" s="866"/>
      <c r="DB6" s="866"/>
      <c r="DC6" s="866"/>
      <c r="DD6" s="867"/>
      <c r="DE6" s="868" t="s">
        <v>151</v>
      </c>
      <c r="DF6" s="866"/>
      <c r="DG6" s="866"/>
      <c r="DH6" s="866"/>
      <c r="DI6" s="866"/>
      <c r="DJ6" s="866"/>
      <c r="DK6" s="866"/>
      <c r="DL6" s="866"/>
      <c r="DM6" s="866"/>
      <c r="DN6" s="866"/>
      <c r="DO6" s="866"/>
      <c r="DP6" s="866"/>
      <c r="DQ6" s="866"/>
      <c r="DR6" s="866"/>
      <c r="DS6" s="866"/>
      <c r="DT6" s="866"/>
      <c r="DU6" s="867"/>
      <c r="DV6" s="868" t="s">
        <v>152</v>
      </c>
      <c r="DW6" s="866"/>
      <c r="DX6" s="866"/>
      <c r="DY6" s="866"/>
      <c r="DZ6" s="866"/>
      <c r="EA6" s="866"/>
      <c r="EB6" s="866"/>
      <c r="EC6" s="866"/>
      <c r="ED6" s="866"/>
      <c r="EE6" s="866"/>
      <c r="EF6" s="866"/>
      <c r="EG6" s="866"/>
      <c r="EH6" s="866"/>
      <c r="EI6" s="866"/>
      <c r="EJ6" s="866"/>
      <c r="EK6" s="866"/>
      <c r="EL6" s="867"/>
      <c r="EM6" s="868" t="s">
        <v>153</v>
      </c>
      <c r="EN6" s="866"/>
      <c r="EO6" s="866"/>
      <c r="EP6" s="866"/>
      <c r="EQ6" s="866"/>
      <c r="ER6" s="866"/>
      <c r="ES6" s="866"/>
      <c r="ET6" s="866"/>
      <c r="EU6" s="866"/>
      <c r="EV6" s="866"/>
      <c r="EW6" s="866"/>
      <c r="EX6" s="866"/>
      <c r="EY6" s="866"/>
      <c r="EZ6" s="866"/>
      <c r="FA6" s="866"/>
      <c r="FB6" s="866"/>
      <c r="FC6" s="867"/>
      <c r="FD6" s="868" t="s">
        <v>154</v>
      </c>
      <c r="FE6" s="866"/>
      <c r="FF6" s="866"/>
      <c r="FG6" s="866"/>
      <c r="FH6" s="866"/>
      <c r="FI6" s="866"/>
      <c r="FJ6" s="866"/>
      <c r="FK6" s="866"/>
      <c r="FL6" s="866"/>
      <c r="FM6" s="866"/>
      <c r="FN6" s="866"/>
      <c r="FO6" s="866"/>
      <c r="FP6" s="866"/>
      <c r="FQ6" s="866"/>
      <c r="FR6" s="866"/>
      <c r="FS6" s="866"/>
      <c r="FT6" s="867"/>
      <c r="FU6" s="868" t="s">
        <v>155</v>
      </c>
      <c r="FV6" s="866"/>
      <c r="FW6" s="866"/>
      <c r="FX6" s="866"/>
      <c r="FY6" s="866"/>
      <c r="FZ6" s="866"/>
      <c r="GA6" s="866"/>
      <c r="GB6" s="866"/>
      <c r="GC6" s="866"/>
      <c r="GD6" s="866"/>
      <c r="GE6" s="866"/>
      <c r="GF6" s="866"/>
      <c r="GG6" s="866"/>
      <c r="GH6" s="866"/>
      <c r="GI6" s="866"/>
      <c r="GJ6" s="866"/>
      <c r="GK6" s="867"/>
      <c r="GL6" s="868" t="s">
        <v>156</v>
      </c>
      <c r="GM6" s="866"/>
      <c r="GN6" s="866"/>
      <c r="GO6" s="866"/>
      <c r="GP6" s="866"/>
      <c r="GQ6" s="866"/>
      <c r="GR6" s="866"/>
      <c r="GS6" s="866"/>
      <c r="GT6" s="866"/>
      <c r="GU6" s="866"/>
      <c r="GV6" s="866"/>
      <c r="GW6" s="866"/>
      <c r="GX6" s="866"/>
      <c r="GY6" s="866"/>
      <c r="GZ6" s="866"/>
      <c r="HA6" s="866"/>
      <c r="HB6" s="867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</row>
    <row r="7" spans="1:222" ht="97.5" customHeight="1">
      <c r="A7" s="1"/>
      <c r="B7" s="892"/>
      <c r="C7" s="892"/>
      <c r="D7" s="892"/>
      <c r="E7" s="892"/>
      <c r="F7" s="892"/>
      <c r="G7" s="862" t="s">
        <v>157</v>
      </c>
      <c r="H7" s="73" t="s">
        <v>158</v>
      </c>
      <c r="I7" s="850" t="s">
        <v>159</v>
      </c>
      <c r="J7" s="874" t="s">
        <v>160</v>
      </c>
      <c r="K7" s="845" t="s">
        <v>161</v>
      </c>
      <c r="L7" s="846"/>
      <c r="M7" s="847"/>
      <c r="N7" s="845"/>
      <c r="O7" s="846"/>
      <c r="P7" s="847"/>
      <c r="Q7" s="848" t="s">
        <v>162</v>
      </c>
      <c r="R7" s="848" t="s">
        <v>163</v>
      </c>
      <c r="S7" s="74" t="s">
        <v>164</v>
      </c>
      <c r="T7" s="74" t="s">
        <v>165</v>
      </c>
      <c r="U7" s="75" t="s">
        <v>166</v>
      </c>
      <c r="V7" s="858" t="s">
        <v>167</v>
      </c>
      <c r="W7" s="858" t="s">
        <v>168</v>
      </c>
      <c r="X7" s="859" t="s">
        <v>157</v>
      </c>
      <c r="Y7" s="76" t="s">
        <v>158</v>
      </c>
      <c r="Z7" s="855" t="s">
        <v>159</v>
      </c>
      <c r="AA7" s="856" t="s">
        <v>160</v>
      </c>
      <c r="AB7" s="860" t="s">
        <v>161</v>
      </c>
      <c r="AC7" s="841"/>
      <c r="AD7" s="842"/>
      <c r="AE7" s="860" t="s">
        <v>169</v>
      </c>
      <c r="AF7" s="841"/>
      <c r="AG7" s="842"/>
      <c r="AH7" s="861" t="s">
        <v>162</v>
      </c>
      <c r="AI7" s="898" t="s">
        <v>163</v>
      </c>
      <c r="AJ7" s="77" t="s">
        <v>164</v>
      </c>
      <c r="AK7" s="77" t="s">
        <v>165</v>
      </c>
      <c r="AL7" s="78" t="s">
        <v>166</v>
      </c>
      <c r="AM7" s="825" t="s">
        <v>167</v>
      </c>
      <c r="AN7" s="825" t="s">
        <v>168</v>
      </c>
      <c r="AO7" s="849" t="s">
        <v>157</v>
      </c>
      <c r="AP7" s="79" t="s">
        <v>158</v>
      </c>
      <c r="AQ7" s="850" t="s">
        <v>159</v>
      </c>
      <c r="AR7" s="851" t="s">
        <v>160</v>
      </c>
      <c r="AS7" s="852" t="s">
        <v>161</v>
      </c>
      <c r="AT7" s="841"/>
      <c r="AU7" s="842"/>
      <c r="AV7" s="852" t="s">
        <v>170</v>
      </c>
      <c r="AW7" s="841"/>
      <c r="AX7" s="842"/>
      <c r="AY7" s="853" t="s">
        <v>162</v>
      </c>
      <c r="AZ7" s="854" t="s">
        <v>163</v>
      </c>
      <c r="BA7" s="74" t="s">
        <v>164</v>
      </c>
      <c r="BB7" s="74" t="s">
        <v>165</v>
      </c>
      <c r="BC7" s="79" t="s">
        <v>166</v>
      </c>
      <c r="BD7" s="858" t="s">
        <v>167</v>
      </c>
      <c r="BE7" s="858" t="s">
        <v>168</v>
      </c>
      <c r="BF7" s="832" t="s">
        <v>157</v>
      </c>
      <c r="BG7" s="80" t="s">
        <v>158</v>
      </c>
      <c r="BH7" s="835" t="s">
        <v>159</v>
      </c>
      <c r="BI7" s="838" t="s">
        <v>160</v>
      </c>
      <c r="BJ7" s="840" t="s">
        <v>161</v>
      </c>
      <c r="BK7" s="841"/>
      <c r="BL7" s="842"/>
      <c r="BM7" s="840" t="s">
        <v>169</v>
      </c>
      <c r="BN7" s="841"/>
      <c r="BO7" s="842"/>
      <c r="BP7" s="831" t="s">
        <v>171</v>
      </c>
      <c r="BQ7" s="838" t="s">
        <v>172</v>
      </c>
      <c r="BR7" s="81" t="s">
        <v>164</v>
      </c>
      <c r="BS7" s="81" t="s">
        <v>165</v>
      </c>
      <c r="BT7" s="80" t="s">
        <v>166</v>
      </c>
      <c r="BU7" s="838" t="s">
        <v>165</v>
      </c>
      <c r="BV7" s="869" t="s">
        <v>173</v>
      </c>
      <c r="BW7" s="832" t="s">
        <v>157</v>
      </c>
      <c r="BX7" s="80" t="s">
        <v>158</v>
      </c>
      <c r="BY7" s="835" t="s">
        <v>159</v>
      </c>
      <c r="BZ7" s="838" t="s">
        <v>160</v>
      </c>
      <c r="CA7" s="840" t="s">
        <v>161</v>
      </c>
      <c r="CB7" s="841"/>
      <c r="CC7" s="842"/>
      <c r="CD7" s="840" t="s">
        <v>169</v>
      </c>
      <c r="CE7" s="841"/>
      <c r="CF7" s="842"/>
      <c r="CG7" s="831" t="s">
        <v>171</v>
      </c>
      <c r="CH7" s="838" t="s">
        <v>172</v>
      </c>
      <c r="CI7" s="81" t="s">
        <v>164</v>
      </c>
      <c r="CJ7" s="81" t="s">
        <v>165</v>
      </c>
      <c r="CK7" s="80" t="s">
        <v>166</v>
      </c>
      <c r="CL7" s="81" t="s">
        <v>174</v>
      </c>
      <c r="CM7" s="831" t="s">
        <v>174</v>
      </c>
      <c r="CN7" s="832" t="s">
        <v>157</v>
      </c>
      <c r="CO7" s="80" t="s">
        <v>158</v>
      </c>
      <c r="CP7" s="835" t="s">
        <v>159</v>
      </c>
      <c r="CQ7" s="838" t="s">
        <v>160</v>
      </c>
      <c r="CR7" s="840" t="s">
        <v>161</v>
      </c>
      <c r="CS7" s="841"/>
      <c r="CT7" s="842"/>
      <c r="CU7" s="840" t="s">
        <v>169</v>
      </c>
      <c r="CV7" s="841"/>
      <c r="CW7" s="842"/>
      <c r="CX7" s="831" t="s">
        <v>171</v>
      </c>
      <c r="CY7" s="838" t="s">
        <v>172</v>
      </c>
      <c r="CZ7" s="81" t="s">
        <v>164</v>
      </c>
      <c r="DA7" s="81" t="s">
        <v>165</v>
      </c>
      <c r="DB7" s="80" t="s">
        <v>166</v>
      </c>
      <c r="DC7" s="81" t="s">
        <v>174</v>
      </c>
      <c r="DD7" s="831" t="s">
        <v>174</v>
      </c>
      <c r="DE7" s="832" t="s">
        <v>157</v>
      </c>
      <c r="DF7" s="80" t="s">
        <v>158</v>
      </c>
      <c r="DG7" s="835" t="s">
        <v>159</v>
      </c>
      <c r="DH7" s="838" t="s">
        <v>160</v>
      </c>
      <c r="DI7" s="840" t="s">
        <v>161</v>
      </c>
      <c r="DJ7" s="841"/>
      <c r="DK7" s="842"/>
      <c r="DL7" s="840" t="s">
        <v>169</v>
      </c>
      <c r="DM7" s="841"/>
      <c r="DN7" s="842"/>
      <c r="DO7" s="831" t="s">
        <v>171</v>
      </c>
      <c r="DP7" s="838" t="s">
        <v>172</v>
      </c>
      <c r="DQ7" s="81" t="s">
        <v>164</v>
      </c>
      <c r="DR7" s="81" t="s">
        <v>165</v>
      </c>
      <c r="DS7" s="80" t="s">
        <v>166</v>
      </c>
      <c r="DT7" s="81" t="s">
        <v>174</v>
      </c>
      <c r="DU7" s="831" t="s">
        <v>174</v>
      </c>
      <c r="DV7" s="832" t="s">
        <v>157</v>
      </c>
      <c r="DW7" s="80" t="s">
        <v>158</v>
      </c>
      <c r="DX7" s="835" t="s">
        <v>159</v>
      </c>
      <c r="DY7" s="838" t="s">
        <v>160</v>
      </c>
      <c r="DZ7" s="840" t="s">
        <v>161</v>
      </c>
      <c r="EA7" s="841"/>
      <c r="EB7" s="842"/>
      <c r="EC7" s="840" t="s">
        <v>169</v>
      </c>
      <c r="ED7" s="841"/>
      <c r="EE7" s="842"/>
      <c r="EF7" s="831" t="s">
        <v>171</v>
      </c>
      <c r="EG7" s="838" t="s">
        <v>172</v>
      </c>
      <c r="EH7" s="81" t="s">
        <v>164</v>
      </c>
      <c r="EI7" s="81" t="s">
        <v>165</v>
      </c>
      <c r="EJ7" s="80" t="s">
        <v>166</v>
      </c>
      <c r="EK7" s="81" t="s">
        <v>174</v>
      </c>
      <c r="EL7" s="831" t="s">
        <v>174</v>
      </c>
      <c r="EM7" s="832" t="s">
        <v>157</v>
      </c>
      <c r="EN7" s="80" t="s">
        <v>158</v>
      </c>
      <c r="EO7" s="835" t="s">
        <v>159</v>
      </c>
      <c r="EP7" s="838" t="s">
        <v>160</v>
      </c>
      <c r="EQ7" s="840" t="s">
        <v>161</v>
      </c>
      <c r="ER7" s="841"/>
      <c r="ES7" s="842"/>
      <c r="ET7" s="840" t="s">
        <v>169</v>
      </c>
      <c r="EU7" s="841"/>
      <c r="EV7" s="842"/>
      <c r="EW7" s="831" t="s">
        <v>171</v>
      </c>
      <c r="EX7" s="838" t="s">
        <v>172</v>
      </c>
      <c r="EY7" s="81" t="s">
        <v>164</v>
      </c>
      <c r="EZ7" s="81" t="s">
        <v>165</v>
      </c>
      <c r="FA7" s="80" t="s">
        <v>166</v>
      </c>
      <c r="FB7" s="81" t="s">
        <v>174</v>
      </c>
      <c r="FC7" s="831" t="s">
        <v>174</v>
      </c>
      <c r="FD7" s="832" t="s">
        <v>157</v>
      </c>
      <c r="FE7" s="80" t="s">
        <v>158</v>
      </c>
      <c r="FF7" s="835" t="s">
        <v>159</v>
      </c>
      <c r="FG7" s="838" t="s">
        <v>160</v>
      </c>
      <c r="FH7" s="840" t="s">
        <v>161</v>
      </c>
      <c r="FI7" s="841"/>
      <c r="FJ7" s="842"/>
      <c r="FK7" s="840" t="s">
        <v>169</v>
      </c>
      <c r="FL7" s="841"/>
      <c r="FM7" s="842"/>
      <c r="FN7" s="831" t="s">
        <v>171</v>
      </c>
      <c r="FO7" s="838" t="s">
        <v>172</v>
      </c>
      <c r="FP7" s="81" t="s">
        <v>164</v>
      </c>
      <c r="FQ7" s="81" t="s">
        <v>165</v>
      </c>
      <c r="FR7" s="80" t="s">
        <v>166</v>
      </c>
      <c r="FS7" s="81" t="s">
        <v>174</v>
      </c>
      <c r="FT7" s="831" t="s">
        <v>174</v>
      </c>
      <c r="FU7" s="832" t="s">
        <v>157</v>
      </c>
      <c r="FV7" s="80" t="s">
        <v>158</v>
      </c>
      <c r="FW7" s="835" t="s">
        <v>159</v>
      </c>
      <c r="FX7" s="838" t="s">
        <v>160</v>
      </c>
      <c r="FY7" s="840" t="s">
        <v>161</v>
      </c>
      <c r="FZ7" s="841"/>
      <c r="GA7" s="842"/>
      <c r="GB7" s="840" t="s">
        <v>169</v>
      </c>
      <c r="GC7" s="841"/>
      <c r="GD7" s="842"/>
      <c r="GE7" s="831" t="s">
        <v>171</v>
      </c>
      <c r="GF7" s="838" t="s">
        <v>172</v>
      </c>
      <c r="GG7" s="81" t="s">
        <v>164</v>
      </c>
      <c r="GH7" s="81" t="s">
        <v>165</v>
      </c>
      <c r="GI7" s="80" t="s">
        <v>166</v>
      </c>
      <c r="GJ7" s="81" t="s">
        <v>174</v>
      </c>
      <c r="GK7" s="831" t="s">
        <v>174</v>
      </c>
      <c r="GL7" s="832" t="s">
        <v>157</v>
      </c>
      <c r="GM7" s="80" t="s">
        <v>158</v>
      </c>
      <c r="GN7" s="835" t="s">
        <v>159</v>
      </c>
      <c r="GO7" s="838" t="s">
        <v>160</v>
      </c>
      <c r="GP7" s="840" t="s">
        <v>161</v>
      </c>
      <c r="GQ7" s="841"/>
      <c r="GR7" s="842"/>
      <c r="GS7" s="840" t="s">
        <v>169</v>
      </c>
      <c r="GT7" s="841"/>
      <c r="GU7" s="842"/>
      <c r="GV7" s="831" t="s">
        <v>175</v>
      </c>
      <c r="GW7" s="831" t="s">
        <v>176</v>
      </c>
      <c r="GX7" s="81" t="s">
        <v>164</v>
      </c>
      <c r="GY7" s="81" t="s">
        <v>165</v>
      </c>
      <c r="GZ7" s="80" t="s">
        <v>166</v>
      </c>
      <c r="HA7" s="81" t="s">
        <v>174</v>
      </c>
      <c r="HB7" s="831" t="s">
        <v>174</v>
      </c>
      <c r="HC7" s="70"/>
      <c r="HD7" s="70"/>
      <c r="HE7" s="70"/>
      <c r="HF7" s="70"/>
      <c r="HG7" s="70"/>
      <c r="HH7" s="70"/>
      <c r="HI7" s="70"/>
      <c r="HJ7" s="70"/>
      <c r="HK7" s="70"/>
      <c r="HL7" s="70"/>
      <c r="HM7" s="70"/>
      <c r="HN7" s="70"/>
    </row>
    <row r="8" spans="1:222" ht="13.5" customHeight="1">
      <c r="A8" s="1"/>
      <c r="B8" s="892"/>
      <c r="C8" s="892"/>
      <c r="D8" s="892"/>
      <c r="E8" s="892"/>
      <c r="F8" s="892"/>
      <c r="G8" s="863"/>
      <c r="H8" s="82" t="s">
        <v>68</v>
      </c>
      <c r="I8" s="836"/>
      <c r="J8" s="857"/>
      <c r="K8" s="83" t="s">
        <v>177</v>
      </c>
      <c r="L8" s="875" t="s">
        <v>178</v>
      </c>
      <c r="M8" s="876" t="s">
        <v>179</v>
      </c>
      <c r="N8" s="84" t="s">
        <v>180</v>
      </c>
      <c r="O8" s="875" t="s">
        <v>181</v>
      </c>
      <c r="P8" s="85" t="s">
        <v>170</v>
      </c>
      <c r="Q8" s="826"/>
      <c r="R8" s="826"/>
      <c r="S8" s="86"/>
      <c r="T8" s="86"/>
      <c r="U8" s="87" t="s">
        <v>68</v>
      </c>
      <c r="V8" s="826"/>
      <c r="W8" s="826"/>
      <c r="X8" s="833"/>
      <c r="Y8" s="88" t="s">
        <v>68</v>
      </c>
      <c r="Z8" s="836"/>
      <c r="AA8" s="857"/>
      <c r="AB8" s="89" t="s">
        <v>177</v>
      </c>
      <c r="AC8" s="877" t="s">
        <v>178</v>
      </c>
      <c r="AD8" s="877" t="s">
        <v>179</v>
      </c>
      <c r="AE8" s="90" t="s">
        <v>180</v>
      </c>
      <c r="AF8" s="877" t="s">
        <v>181</v>
      </c>
      <c r="AG8" s="91" t="s">
        <v>170</v>
      </c>
      <c r="AH8" s="826"/>
      <c r="AI8" s="826"/>
      <c r="AJ8" s="92"/>
      <c r="AK8" s="92"/>
      <c r="AL8" s="93" t="s">
        <v>68</v>
      </c>
      <c r="AM8" s="826"/>
      <c r="AN8" s="826"/>
      <c r="AO8" s="833"/>
      <c r="AP8" s="94" t="s">
        <v>68</v>
      </c>
      <c r="AQ8" s="836"/>
      <c r="AR8" s="826"/>
      <c r="AS8" s="95" t="s">
        <v>177</v>
      </c>
      <c r="AT8" s="872" t="s">
        <v>178</v>
      </c>
      <c r="AU8" s="872" t="s">
        <v>179</v>
      </c>
      <c r="AV8" s="96" t="s">
        <v>180</v>
      </c>
      <c r="AW8" s="872" t="s">
        <v>181</v>
      </c>
      <c r="AX8" s="85" t="s">
        <v>170</v>
      </c>
      <c r="AY8" s="826"/>
      <c r="AZ8" s="826"/>
      <c r="BA8" s="97"/>
      <c r="BB8" s="97"/>
      <c r="BC8" s="94" t="s">
        <v>68</v>
      </c>
      <c r="BD8" s="826"/>
      <c r="BE8" s="826"/>
      <c r="BF8" s="833"/>
      <c r="BG8" s="98" t="s">
        <v>68</v>
      </c>
      <c r="BH8" s="836"/>
      <c r="BI8" s="826"/>
      <c r="BJ8" s="99"/>
      <c r="BK8" s="843" t="s">
        <v>178</v>
      </c>
      <c r="BL8" s="843" t="s">
        <v>179</v>
      </c>
      <c r="BM8" s="100" t="s">
        <v>180</v>
      </c>
      <c r="BN8" s="843" t="s">
        <v>178</v>
      </c>
      <c r="BO8" s="101" t="s">
        <v>170</v>
      </c>
      <c r="BP8" s="826"/>
      <c r="BQ8" s="826"/>
      <c r="BR8" s="102"/>
      <c r="BS8" s="102"/>
      <c r="BT8" s="98" t="s">
        <v>68</v>
      </c>
      <c r="BU8" s="826"/>
      <c r="BV8" s="870"/>
      <c r="BW8" s="833"/>
      <c r="BX8" s="98" t="s">
        <v>68</v>
      </c>
      <c r="BY8" s="836"/>
      <c r="BZ8" s="826"/>
      <c r="CA8" s="99"/>
      <c r="CB8" s="843" t="s">
        <v>178</v>
      </c>
      <c r="CC8" s="843" t="s">
        <v>179</v>
      </c>
      <c r="CD8" s="100" t="s">
        <v>180</v>
      </c>
      <c r="CE8" s="843" t="s">
        <v>178</v>
      </c>
      <c r="CF8" s="101" t="s">
        <v>170</v>
      </c>
      <c r="CG8" s="826"/>
      <c r="CH8" s="826"/>
      <c r="CI8" s="102"/>
      <c r="CJ8" s="102"/>
      <c r="CK8" s="98" t="s">
        <v>68</v>
      </c>
      <c r="CL8" s="102"/>
      <c r="CM8" s="826"/>
      <c r="CN8" s="833"/>
      <c r="CO8" s="98" t="s">
        <v>68</v>
      </c>
      <c r="CP8" s="836"/>
      <c r="CQ8" s="826"/>
      <c r="CR8" s="99"/>
      <c r="CS8" s="843" t="s">
        <v>178</v>
      </c>
      <c r="CT8" s="843" t="s">
        <v>179</v>
      </c>
      <c r="CU8" s="100" t="s">
        <v>180</v>
      </c>
      <c r="CV8" s="843" t="s">
        <v>178</v>
      </c>
      <c r="CW8" s="101" t="s">
        <v>170</v>
      </c>
      <c r="CX8" s="826"/>
      <c r="CY8" s="826"/>
      <c r="CZ8" s="102"/>
      <c r="DA8" s="102"/>
      <c r="DB8" s="98" t="s">
        <v>68</v>
      </c>
      <c r="DC8" s="102"/>
      <c r="DD8" s="826"/>
      <c r="DE8" s="833"/>
      <c r="DF8" s="98" t="s">
        <v>68</v>
      </c>
      <c r="DG8" s="836"/>
      <c r="DH8" s="826"/>
      <c r="DI8" s="99"/>
      <c r="DJ8" s="843" t="s">
        <v>178</v>
      </c>
      <c r="DK8" s="843" t="s">
        <v>179</v>
      </c>
      <c r="DL8" s="100" t="s">
        <v>180</v>
      </c>
      <c r="DM8" s="843" t="s">
        <v>178</v>
      </c>
      <c r="DN8" s="101" t="s">
        <v>170</v>
      </c>
      <c r="DO8" s="826"/>
      <c r="DP8" s="826"/>
      <c r="DQ8" s="102"/>
      <c r="DR8" s="102"/>
      <c r="DS8" s="98" t="s">
        <v>68</v>
      </c>
      <c r="DT8" s="102"/>
      <c r="DU8" s="826"/>
      <c r="DV8" s="833"/>
      <c r="DW8" s="98" t="s">
        <v>68</v>
      </c>
      <c r="DX8" s="836"/>
      <c r="DY8" s="826"/>
      <c r="DZ8" s="99"/>
      <c r="EA8" s="843" t="s">
        <v>178</v>
      </c>
      <c r="EB8" s="843" t="s">
        <v>179</v>
      </c>
      <c r="EC8" s="100" t="s">
        <v>180</v>
      </c>
      <c r="ED8" s="843" t="s">
        <v>178</v>
      </c>
      <c r="EE8" s="101" t="s">
        <v>170</v>
      </c>
      <c r="EF8" s="826"/>
      <c r="EG8" s="826"/>
      <c r="EH8" s="102"/>
      <c r="EI8" s="102"/>
      <c r="EJ8" s="98" t="s">
        <v>68</v>
      </c>
      <c r="EK8" s="102"/>
      <c r="EL8" s="826"/>
      <c r="EM8" s="833"/>
      <c r="EN8" s="98" t="s">
        <v>68</v>
      </c>
      <c r="EO8" s="836"/>
      <c r="EP8" s="826"/>
      <c r="EQ8" s="99"/>
      <c r="ER8" s="843" t="s">
        <v>178</v>
      </c>
      <c r="ES8" s="843" t="s">
        <v>179</v>
      </c>
      <c r="ET8" s="100" t="s">
        <v>180</v>
      </c>
      <c r="EU8" s="843" t="s">
        <v>178</v>
      </c>
      <c r="EV8" s="101" t="s">
        <v>170</v>
      </c>
      <c r="EW8" s="826"/>
      <c r="EX8" s="826"/>
      <c r="EY8" s="102"/>
      <c r="EZ8" s="102"/>
      <c r="FA8" s="98" t="s">
        <v>68</v>
      </c>
      <c r="FB8" s="102"/>
      <c r="FC8" s="826"/>
      <c r="FD8" s="833"/>
      <c r="FE8" s="98" t="s">
        <v>68</v>
      </c>
      <c r="FF8" s="836"/>
      <c r="FG8" s="826"/>
      <c r="FH8" s="99"/>
      <c r="FI8" s="843" t="s">
        <v>178</v>
      </c>
      <c r="FJ8" s="843" t="s">
        <v>179</v>
      </c>
      <c r="FK8" s="100" t="s">
        <v>180</v>
      </c>
      <c r="FL8" s="843" t="s">
        <v>178</v>
      </c>
      <c r="FM8" s="101" t="s">
        <v>170</v>
      </c>
      <c r="FN8" s="826"/>
      <c r="FO8" s="826"/>
      <c r="FP8" s="102"/>
      <c r="FQ8" s="102"/>
      <c r="FR8" s="98" t="s">
        <v>68</v>
      </c>
      <c r="FS8" s="102"/>
      <c r="FT8" s="826"/>
      <c r="FU8" s="833"/>
      <c r="FV8" s="98" t="s">
        <v>68</v>
      </c>
      <c r="FW8" s="836"/>
      <c r="FX8" s="826"/>
      <c r="FY8" s="99"/>
      <c r="FZ8" s="843" t="s">
        <v>178</v>
      </c>
      <c r="GA8" s="843" t="s">
        <v>179</v>
      </c>
      <c r="GB8" s="100" t="s">
        <v>180</v>
      </c>
      <c r="GC8" s="843" t="s">
        <v>178</v>
      </c>
      <c r="GD8" s="101" t="s">
        <v>170</v>
      </c>
      <c r="GE8" s="826"/>
      <c r="GF8" s="826"/>
      <c r="GG8" s="102"/>
      <c r="GH8" s="102"/>
      <c r="GI8" s="98" t="s">
        <v>68</v>
      </c>
      <c r="GJ8" s="102"/>
      <c r="GK8" s="826"/>
      <c r="GL8" s="833"/>
      <c r="GM8" s="98" t="s">
        <v>68</v>
      </c>
      <c r="GN8" s="836"/>
      <c r="GO8" s="826"/>
      <c r="GP8" s="99"/>
      <c r="GQ8" s="843" t="s">
        <v>178</v>
      </c>
      <c r="GR8" s="843" t="s">
        <v>179</v>
      </c>
      <c r="GS8" s="100" t="s">
        <v>180</v>
      </c>
      <c r="GT8" s="843" t="s">
        <v>178</v>
      </c>
      <c r="GU8" s="101" t="s">
        <v>170</v>
      </c>
      <c r="GV8" s="826"/>
      <c r="GW8" s="826"/>
      <c r="GX8" s="102"/>
      <c r="GY8" s="102"/>
      <c r="GZ8" s="98" t="s">
        <v>68</v>
      </c>
      <c r="HA8" s="102"/>
      <c r="HB8" s="826"/>
      <c r="HC8" s="70"/>
      <c r="HD8" s="70"/>
      <c r="HE8" s="70"/>
      <c r="HF8" s="70"/>
      <c r="HG8" s="70"/>
      <c r="HH8" s="70"/>
      <c r="HI8" s="70"/>
      <c r="HJ8" s="70"/>
      <c r="HK8" s="70"/>
      <c r="HL8" s="70"/>
      <c r="HM8" s="70"/>
      <c r="HN8" s="70"/>
    </row>
    <row r="9" spans="1:222" ht="15.75">
      <c r="A9" s="1"/>
      <c r="B9" s="893"/>
      <c r="C9" s="893"/>
      <c r="D9" s="893"/>
      <c r="E9" s="893"/>
      <c r="F9" s="893"/>
      <c r="G9" s="864"/>
      <c r="H9" s="103" t="s">
        <v>182</v>
      </c>
      <c r="I9" s="837"/>
      <c r="J9" s="873"/>
      <c r="K9" s="104" t="s">
        <v>183</v>
      </c>
      <c r="L9" s="873"/>
      <c r="M9" s="873"/>
      <c r="N9" s="105" t="s">
        <v>184</v>
      </c>
      <c r="O9" s="873"/>
      <c r="P9" s="106" t="s">
        <v>185</v>
      </c>
      <c r="Q9" s="827"/>
      <c r="R9" s="827"/>
      <c r="S9" s="107"/>
      <c r="T9" s="107"/>
      <c r="U9" s="108" t="s">
        <v>182</v>
      </c>
      <c r="V9" s="827"/>
      <c r="W9" s="827"/>
      <c r="X9" s="834"/>
      <c r="Y9" s="109" t="s">
        <v>182</v>
      </c>
      <c r="Z9" s="837"/>
      <c r="AA9" s="844"/>
      <c r="AB9" s="110" t="s">
        <v>183</v>
      </c>
      <c r="AC9" s="844"/>
      <c r="AD9" s="844"/>
      <c r="AE9" s="111" t="s">
        <v>184</v>
      </c>
      <c r="AF9" s="873"/>
      <c r="AG9" s="112" t="s">
        <v>185</v>
      </c>
      <c r="AH9" s="827"/>
      <c r="AI9" s="839"/>
      <c r="AJ9" s="113"/>
      <c r="AK9" s="113"/>
      <c r="AL9" s="114" t="s">
        <v>182</v>
      </c>
      <c r="AM9" s="827"/>
      <c r="AN9" s="827"/>
      <c r="AO9" s="834"/>
      <c r="AP9" s="115" t="s">
        <v>182</v>
      </c>
      <c r="AQ9" s="837"/>
      <c r="AR9" s="839"/>
      <c r="AS9" s="116" t="s">
        <v>183</v>
      </c>
      <c r="AT9" s="844"/>
      <c r="AU9" s="844"/>
      <c r="AV9" s="117" t="s">
        <v>184</v>
      </c>
      <c r="AW9" s="873"/>
      <c r="AX9" s="106" t="s">
        <v>185</v>
      </c>
      <c r="AY9" s="827"/>
      <c r="AZ9" s="839"/>
      <c r="BA9" s="118"/>
      <c r="BB9" s="118"/>
      <c r="BC9" s="119" t="s">
        <v>182</v>
      </c>
      <c r="BD9" s="827"/>
      <c r="BE9" s="827"/>
      <c r="BF9" s="834"/>
      <c r="BG9" s="120" t="s">
        <v>182</v>
      </c>
      <c r="BH9" s="837"/>
      <c r="BI9" s="839"/>
      <c r="BJ9" s="121"/>
      <c r="BK9" s="844"/>
      <c r="BL9" s="844"/>
      <c r="BM9" s="122" t="s">
        <v>184</v>
      </c>
      <c r="BN9" s="844"/>
      <c r="BO9" s="123" t="s">
        <v>185</v>
      </c>
      <c r="BP9" s="827"/>
      <c r="BQ9" s="839"/>
      <c r="BR9" s="124"/>
      <c r="BS9" s="124"/>
      <c r="BT9" s="120" t="s">
        <v>182</v>
      </c>
      <c r="BU9" s="839"/>
      <c r="BV9" s="871"/>
      <c r="BW9" s="834"/>
      <c r="BX9" s="120" t="s">
        <v>182</v>
      </c>
      <c r="BY9" s="837"/>
      <c r="BZ9" s="839"/>
      <c r="CA9" s="121"/>
      <c r="CB9" s="844"/>
      <c r="CC9" s="844"/>
      <c r="CD9" s="122" t="s">
        <v>184</v>
      </c>
      <c r="CE9" s="844"/>
      <c r="CF9" s="123" t="s">
        <v>185</v>
      </c>
      <c r="CG9" s="827"/>
      <c r="CH9" s="839"/>
      <c r="CI9" s="124"/>
      <c r="CJ9" s="124"/>
      <c r="CK9" s="120" t="s">
        <v>182</v>
      </c>
      <c r="CL9" s="124"/>
      <c r="CM9" s="827"/>
      <c r="CN9" s="834"/>
      <c r="CO9" s="120" t="s">
        <v>182</v>
      </c>
      <c r="CP9" s="837"/>
      <c r="CQ9" s="839"/>
      <c r="CR9" s="121"/>
      <c r="CS9" s="844"/>
      <c r="CT9" s="844"/>
      <c r="CU9" s="122" t="s">
        <v>184</v>
      </c>
      <c r="CV9" s="844"/>
      <c r="CW9" s="123" t="s">
        <v>185</v>
      </c>
      <c r="CX9" s="827"/>
      <c r="CY9" s="839"/>
      <c r="CZ9" s="124"/>
      <c r="DA9" s="124"/>
      <c r="DB9" s="120" t="s">
        <v>182</v>
      </c>
      <c r="DC9" s="124"/>
      <c r="DD9" s="827"/>
      <c r="DE9" s="834"/>
      <c r="DF9" s="120" t="s">
        <v>182</v>
      </c>
      <c r="DG9" s="837"/>
      <c r="DH9" s="839"/>
      <c r="DI9" s="121"/>
      <c r="DJ9" s="844"/>
      <c r="DK9" s="844"/>
      <c r="DL9" s="122" t="s">
        <v>184</v>
      </c>
      <c r="DM9" s="844"/>
      <c r="DN9" s="123" t="s">
        <v>185</v>
      </c>
      <c r="DO9" s="827"/>
      <c r="DP9" s="839"/>
      <c r="DQ9" s="124"/>
      <c r="DR9" s="124"/>
      <c r="DS9" s="120" t="s">
        <v>182</v>
      </c>
      <c r="DT9" s="124"/>
      <c r="DU9" s="827"/>
      <c r="DV9" s="834"/>
      <c r="DW9" s="120" t="s">
        <v>182</v>
      </c>
      <c r="DX9" s="837"/>
      <c r="DY9" s="839"/>
      <c r="DZ9" s="121"/>
      <c r="EA9" s="844"/>
      <c r="EB9" s="844"/>
      <c r="EC9" s="122" t="s">
        <v>184</v>
      </c>
      <c r="ED9" s="844"/>
      <c r="EE9" s="123" t="s">
        <v>185</v>
      </c>
      <c r="EF9" s="827"/>
      <c r="EG9" s="839"/>
      <c r="EH9" s="124"/>
      <c r="EI9" s="124"/>
      <c r="EJ9" s="120" t="s">
        <v>182</v>
      </c>
      <c r="EK9" s="124"/>
      <c r="EL9" s="827"/>
      <c r="EM9" s="834"/>
      <c r="EN9" s="120" t="s">
        <v>182</v>
      </c>
      <c r="EO9" s="837"/>
      <c r="EP9" s="839"/>
      <c r="EQ9" s="121"/>
      <c r="ER9" s="844"/>
      <c r="ES9" s="844"/>
      <c r="ET9" s="122" t="s">
        <v>184</v>
      </c>
      <c r="EU9" s="844"/>
      <c r="EV9" s="123" t="s">
        <v>185</v>
      </c>
      <c r="EW9" s="827"/>
      <c r="EX9" s="839"/>
      <c r="EY9" s="124"/>
      <c r="EZ9" s="124"/>
      <c r="FA9" s="120" t="s">
        <v>182</v>
      </c>
      <c r="FB9" s="124"/>
      <c r="FC9" s="827"/>
      <c r="FD9" s="834"/>
      <c r="FE9" s="120" t="s">
        <v>182</v>
      </c>
      <c r="FF9" s="837"/>
      <c r="FG9" s="839"/>
      <c r="FH9" s="121"/>
      <c r="FI9" s="844"/>
      <c r="FJ9" s="844"/>
      <c r="FK9" s="122" t="s">
        <v>184</v>
      </c>
      <c r="FL9" s="844"/>
      <c r="FM9" s="123" t="s">
        <v>185</v>
      </c>
      <c r="FN9" s="827"/>
      <c r="FO9" s="839"/>
      <c r="FP9" s="124"/>
      <c r="FQ9" s="124"/>
      <c r="FR9" s="120" t="s">
        <v>182</v>
      </c>
      <c r="FS9" s="124"/>
      <c r="FT9" s="827"/>
      <c r="FU9" s="834"/>
      <c r="FV9" s="120" t="s">
        <v>182</v>
      </c>
      <c r="FW9" s="837"/>
      <c r="FX9" s="839"/>
      <c r="FY9" s="121"/>
      <c r="FZ9" s="844"/>
      <c r="GA9" s="844"/>
      <c r="GB9" s="122" t="s">
        <v>184</v>
      </c>
      <c r="GC9" s="844"/>
      <c r="GD9" s="123" t="s">
        <v>185</v>
      </c>
      <c r="GE9" s="827"/>
      <c r="GF9" s="839"/>
      <c r="GG9" s="124"/>
      <c r="GH9" s="124"/>
      <c r="GI9" s="120" t="s">
        <v>182</v>
      </c>
      <c r="GJ9" s="124"/>
      <c r="GK9" s="827"/>
      <c r="GL9" s="834"/>
      <c r="GM9" s="120" t="s">
        <v>182</v>
      </c>
      <c r="GN9" s="837"/>
      <c r="GO9" s="839"/>
      <c r="GP9" s="121"/>
      <c r="GQ9" s="844"/>
      <c r="GR9" s="844"/>
      <c r="GS9" s="122" t="s">
        <v>184</v>
      </c>
      <c r="GT9" s="844"/>
      <c r="GU9" s="123" t="s">
        <v>185</v>
      </c>
      <c r="GV9" s="827"/>
      <c r="GW9" s="827"/>
      <c r="GX9" s="124"/>
      <c r="GY9" s="124"/>
      <c r="GZ9" s="120" t="s">
        <v>182</v>
      </c>
      <c r="HA9" s="124"/>
      <c r="HB9" s="827"/>
      <c r="HC9" s="70"/>
      <c r="HD9" s="70"/>
      <c r="HE9" s="70"/>
      <c r="HF9" s="70"/>
      <c r="HG9" s="70"/>
      <c r="HH9" s="70"/>
      <c r="HI9" s="70"/>
      <c r="HJ9" s="70"/>
      <c r="HK9" s="70"/>
      <c r="HL9" s="70"/>
      <c r="HM9" s="70"/>
      <c r="HN9" s="70"/>
    </row>
    <row r="10" spans="1:222" ht="22.5" customHeight="1">
      <c r="A10" s="125"/>
      <c r="B10" s="126">
        <v>158267</v>
      </c>
      <c r="C10" s="126" t="s">
        <v>186</v>
      </c>
      <c r="D10" s="127" t="s">
        <v>32</v>
      </c>
      <c r="E10" s="128">
        <v>4.25</v>
      </c>
      <c r="F10" s="129">
        <v>3</v>
      </c>
      <c r="G10" s="130">
        <v>1</v>
      </c>
      <c r="H10" s="130" t="s">
        <v>68</v>
      </c>
      <c r="I10" s="131" t="s">
        <v>91</v>
      </c>
      <c r="J10" s="132">
        <v>2700</v>
      </c>
      <c r="K10" s="133">
        <v>0.25</v>
      </c>
      <c r="L10" s="828" t="s">
        <v>187</v>
      </c>
      <c r="M10" s="824"/>
      <c r="N10" s="134">
        <v>0.2</v>
      </c>
      <c r="O10" s="135" t="s">
        <v>188</v>
      </c>
      <c r="P10" s="136">
        <v>44</v>
      </c>
      <c r="Q10" s="137">
        <f>IFERROR((52/(IF(H10="S",G10+(IF(Y10="S",X10,0))+(IF(AP10="S",AO10,0)),0)))/12,0)</f>
        <v>0.39393939393939398</v>
      </c>
      <c r="R10" s="137">
        <f>IFERROR(((52+12)/(IF(H10="S",G10+(IF(Y10="S",X10,0))+(IF(AP10="S",AO10,0)),0)))/12,0)</f>
        <v>0.48484848484848486</v>
      </c>
      <c r="S10" s="131">
        <v>25</v>
      </c>
      <c r="T10" s="131">
        <v>25</v>
      </c>
      <c r="U10" s="131" t="s">
        <v>182</v>
      </c>
      <c r="V10" s="138">
        <v>3</v>
      </c>
      <c r="W10" s="139">
        <v>3</v>
      </c>
      <c r="X10" s="140">
        <v>7</v>
      </c>
      <c r="Y10" s="141" t="s">
        <v>68</v>
      </c>
      <c r="Z10" s="142" t="s">
        <v>91</v>
      </c>
      <c r="AA10" s="143">
        <v>1608</v>
      </c>
      <c r="AB10" s="144">
        <v>0.25</v>
      </c>
      <c r="AC10" s="829" t="s">
        <v>187</v>
      </c>
      <c r="AD10" s="824"/>
      <c r="AE10" s="145">
        <v>0.2</v>
      </c>
      <c r="AF10" s="146" t="s">
        <v>188</v>
      </c>
      <c r="AG10" s="147">
        <v>44</v>
      </c>
      <c r="AH10" s="148">
        <f>IFERROR((52/(IF(Y10="S",X10+(IF(H10="S",G10,0))+(IF(AP10="S",AO10,0)),0)))/12,0)</f>
        <v>0.39393939393939398</v>
      </c>
      <c r="AI10" s="149">
        <f>IFERROR(((52+12)/(IF(Y10="S",X10+(IF(H10="S",G10,0))+(IF(AP10="S",AO10,0)),0)))/12,0)</f>
        <v>0.48484848484848486</v>
      </c>
      <c r="AJ10" s="142">
        <v>25</v>
      </c>
      <c r="AK10" s="142">
        <v>25</v>
      </c>
      <c r="AL10" s="142" t="s">
        <v>182</v>
      </c>
      <c r="AM10" s="150">
        <v>3</v>
      </c>
      <c r="AN10" s="150">
        <v>3</v>
      </c>
      <c r="AO10" s="151">
        <v>3</v>
      </c>
      <c r="AP10" s="152" t="s">
        <v>68</v>
      </c>
      <c r="AQ10" s="153" t="s">
        <v>91</v>
      </c>
      <c r="AR10" s="154">
        <v>1905</v>
      </c>
      <c r="AS10" s="155">
        <v>0.25</v>
      </c>
      <c r="AT10" s="823" t="s">
        <v>187</v>
      </c>
      <c r="AU10" s="824"/>
      <c r="AV10" s="155">
        <v>0.2</v>
      </c>
      <c r="AW10" s="156" t="s">
        <v>188</v>
      </c>
      <c r="AX10" s="136">
        <v>44</v>
      </c>
      <c r="AY10" s="157">
        <f>IFERROR((52/(IF(AP10="S",AO10+(IF(H10="S",G10,0))+(IF(Y10="S",X10,0)),0)))/12,0)</f>
        <v>0.39393939393939398</v>
      </c>
      <c r="AZ10" s="157">
        <f>IFERROR(((52+12)/(IF(AP10="S",AO10+(IF(H10="S",G10,0))+(IF(Y10="S",X10,0)),0)))/12,0)</f>
        <v>0.48484848484848486</v>
      </c>
      <c r="BA10" s="153">
        <v>25</v>
      </c>
      <c r="BB10" s="153">
        <v>25</v>
      </c>
      <c r="BC10" s="158" t="s">
        <v>182</v>
      </c>
      <c r="BD10" s="159">
        <v>3</v>
      </c>
      <c r="BE10" s="159">
        <v>3</v>
      </c>
      <c r="BF10" s="160">
        <v>0</v>
      </c>
      <c r="BG10" s="161" t="s">
        <v>68</v>
      </c>
      <c r="BH10" s="162" t="s">
        <v>27</v>
      </c>
      <c r="BI10" s="163">
        <v>4435.2</v>
      </c>
      <c r="BJ10" s="164">
        <v>0.25</v>
      </c>
      <c r="BK10" s="830" t="s">
        <v>187</v>
      </c>
      <c r="BL10" s="824"/>
      <c r="BM10" s="164">
        <v>0.2</v>
      </c>
      <c r="BN10" s="165" t="s">
        <v>189</v>
      </c>
      <c r="BO10" s="166">
        <v>44</v>
      </c>
      <c r="BP10" s="167">
        <f t="shared" ref="BP10:BP21" si="3">IFERROR((52/(IF(BG10="S",BF10+(IF(Y10="S",X10,0))+(IF(AS10="S",AR10,0)),0)))/12,0)</f>
        <v>0.61904761904761907</v>
      </c>
      <c r="BQ10" s="167">
        <f t="shared" ref="BQ10:BQ12" si="4">IFERROR(((52+12)/(IF(BG10="S",BF10+(IF(Y10="S",X10,0))+(IF(AS10="S",AR10,0)),0)))/12,0)</f>
        <v>0.76190476190476186</v>
      </c>
      <c r="BR10" s="162">
        <v>22</v>
      </c>
      <c r="BS10" s="162">
        <v>22</v>
      </c>
      <c r="BT10" s="162" t="s">
        <v>68</v>
      </c>
      <c r="BU10" s="162"/>
      <c r="BV10" s="168"/>
      <c r="BW10" s="160">
        <v>0</v>
      </c>
      <c r="BX10" s="161" t="s">
        <v>68</v>
      </c>
      <c r="BY10" s="162" t="s">
        <v>27</v>
      </c>
      <c r="BZ10" s="163">
        <v>4435.2</v>
      </c>
      <c r="CA10" s="164">
        <v>0.25</v>
      </c>
      <c r="CB10" s="830" t="s">
        <v>187</v>
      </c>
      <c r="CC10" s="824"/>
      <c r="CD10" s="164">
        <v>0.2</v>
      </c>
      <c r="CE10" s="165" t="s">
        <v>189</v>
      </c>
      <c r="CF10" s="166">
        <v>44</v>
      </c>
      <c r="CG10" s="167">
        <f t="shared" ref="CG10:CG21" si="5">IFERROR((52/(IF(BX10="S",BW10+(IF(Y10="S",X10,0))+(IF(AS10="S",AR10,0)),0)))/12,0)</f>
        <v>0.61904761904761907</v>
      </c>
      <c r="CH10" s="167">
        <f>IFERROR(((52+12)/(IF(BG10="S",BF10+(IF(Y10="S",X10,0))+(IF(AS10="S",AR10,0)),0)))/12,0)</f>
        <v>0.76190476190476186</v>
      </c>
      <c r="CI10" s="162">
        <v>22</v>
      </c>
      <c r="CJ10" s="162">
        <v>22</v>
      </c>
      <c r="CK10" s="162" t="s">
        <v>68</v>
      </c>
      <c r="CL10" s="162"/>
      <c r="CM10" s="162"/>
      <c r="CN10" s="160">
        <v>0</v>
      </c>
      <c r="CO10" s="161" t="s">
        <v>68</v>
      </c>
      <c r="CP10" s="162" t="s">
        <v>27</v>
      </c>
      <c r="CQ10" s="163">
        <v>1396.01</v>
      </c>
      <c r="CR10" s="164">
        <v>0.25</v>
      </c>
      <c r="CS10" s="830" t="s">
        <v>187</v>
      </c>
      <c r="CT10" s="824"/>
      <c r="CU10" s="164">
        <v>0.2</v>
      </c>
      <c r="CV10" s="165" t="s">
        <v>189</v>
      </c>
      <c r="CW10" s="166">
        <v>44</v>
      </c>
      <c r="CX10" s="167">
        <f t="shared" ref="CX10:CX21" si="6">IFERROR((52/(IF(CO10="S",CN10+(IF(Y10="S",X10,0))+(IF(AS10="S",AR10,0)),0)))/12,0)</f>
        <v>0.61904761904761907</v>
      </c>
      <c r="CY10" s="167">
        <f>IFERROR(((52+12)/(IF(BG10="S",BF10+(IF(Y10="S",X10,0))+(IF(AS10="S",AR10,0)),0)))/12,0)</f>
        <v>0.76190476190476186</v>
      </c>
      <c r="CZ10" s="162">
        <v>22</v>
      </c>
      <c r="DA10" s="162">
        <v>22</v>
      </c>
      <c r="DB10" s="162" t="s">
        <v>68</v>
      </c>
      <c r="DC10" s="162"/>
      <c r="DD10" s="162"/>
      <c r="DE10" s="160">
        <v>0</v>
      </c>
      <c r="DF10" s="161" t="s">
        <v>68</v>
      </c>
      <c r="DG10" s="162" t="s">
        <v>27</v>
      </c>
      <c r="DH10" s="163">
        <v>1396.01</v>
      </c>
      <c r="DI10" s="164">
        <v>0.25</v>
      </c>
      <c r="DJ10" s="830" t="s">
        <v>187</v>
      </c>
      <c r="DK10" s="824"/>
      <c r="DL10" s="164">
        <v>0.2</v>
      </c>
      <c r="DM10" s="165" t="s">
        <v>189</v>
      </c>
      <c r="DN10" s="166">
        <v>44</v>
      </c>
      <c r="DO10" s="167">
        <f t="shared" ref="DO10:DO21" si="7">IFERROR((52/(IF(DF10="S",DE10+(IF(Y10="S",X10,0))+(IF(AS10="S",AR10,0)),0)))/12,0)</f>
        <v>0.61904761904761907</v>
      </c>
      <c r="DP10" s="167">
        <f>IFERROR(((52+12)/(IF(BG10="S",BF10+(IF(Y10="S",X10,0))+(IF(AS10="S",AR10,0)),0)))/12,0)</f>
        <v>0.76190476190476186</v>
      </c>
      <c r="DQ10" s="162">
        <v>22</v>
      </c>
      <c r="DR10" s="162">
        <v>22</v>
      </c>
      <c r="DS10" s="162" t="s">
        <v>68</v>
      </c>
      <c r="DT10" s="162"/>
      <c r="DU10" s="162"/>
      <c r="DV10" s="160">
        <v>0</v>
      </c>
      <c r="DW10" s="161" t="s">
        <v>182</v>
      </c>
      <c r="DX10" s="162" t="s">
        <v>44</v>
      </c>
      <c r="DY10" s="163">
        <v>4128.0200000000004</v>
      </c>
      <c r="DZ10" s="164">
        <v>0.25</v>
      </c>
      <c r="EA10" s="830" t="s">
        <v>187</v>
      </c>
      <c r="EB10" s="824"/>
      <c r="EC10" s="164">
        <v>0.2</v>
      </c>
      <c r="ED10" s="165" t="s">
        <v>189</v>
      </c>
      <c r="EE10" s="166">
        <v>44</v>
      </c>
      <c r="EF10" s="167">
        <f t="shared" ref="EF10:EF21" si="8">IFERROR((52/(IF(DW10="S",DV10+(IF(Y10="S",X10,0))+(IF(AS10="S",AR10,0)),0)))/12,0)</f>
        <v>0</v>
      </c>
      <c r="EG10" s="167">
        <f>IFERROR(((52+12)/(IF(BG10="S",BF10+(IF(Y10="S",X10,0))+(IF(AS10="S",AR10,0)),0)))/12,0)</f>
        <v>0.76190476190476186</v>
      </c>
      <c r="EH10" s="162">
        <v>22</v>
      </c>
      <c r="EI10" s="162">
        <v>22</v>
      </c>
      <c r="EJ10" s="162" t="s">
        <v>68</v>
      </c>
      <c r="EK10" s="162"/>
      <c r="EL10" s="162"/>
      <c r="EM10" s="160">
        <v>0</v>
      </c>
      <c r="EN10" s="161" t="s">
        <v>182</v>
      </c>
      <c r="EO10" s="162" t="s">
        <v>44</v>
      </c>
      <c r="EP10" s="163">
        <v>4128.0200000000004</v>
      </c>
      <c r="EQ10" s="164">
        <v>0.25</v>
      </c>
      <c r="ER10" s="830" t="s">
        <v>187</v>
      </c>
      <c r="ES10" s="824"/>
      <c r="ET10" s="164">
        <v>0.2</v>
      </c>
      <c r="EU10" s="165" t="s">
        <v>189</v>
      </c>
      <c r="EV10" s="166">
        <v>44</v>
      </c>
      <c r="EW10" s="167">
        <f t="shared" ref="EW10:EW21" si="9">IFERROR((52/(IF(EN10="S",EM10+(IF(Y10="S",X10,0))+(IF(AS10="S",AR10,0)),0)))/12,0)</f>
        <v>0</v>
      </c>
      <c r="EX10" s="167">
        <f>IFERROR(((52+12)/(IF(BG10="S",BF10+(IF(Y10="S",X10,0))+(IF(AS10="S",AR10,0)),0)))/12,0)</f>
        <v>0.76190476190476186</v>
      </c>
      <c r="EY10" s="162">
        <v>22</v>
      </c>
      <c r="EZ10" s="162">
        <v>22</v>
      </c>
      <c r="FA10" s="162" t="s">
        <v>68</v>
      </c>
      <c r="FB10" s="162"/>
      <c r="FC10" s="162"/>
      <c r="FD10" s="160">
        <v>0</v>
      </c>
      <c r="FE10" s="161" t="s">
        <v>182</v>
      </c>
      <c r="FF10" s="162" t="s">
        <v>55</v>
      </c>
      <c r="FG10" s="163">
        <v>1741.45</v>
      </c>
      <c r="FH10" s="164">
        <v>0.25</v>
      </c>
      <c r="FI10" s="830" t="s">
        <v>187</v>
      </c>
      <c r="FJ10" s="824"/>
      <c r="FK10" s="164">
        <v>0.2</v>
      </c>
      <c r="FL10" s="165" t="s">
        <v>188</v>
      </c>
      <c r="FM10" s="166">
        <v>44</v>
      </c>
      <c r="FN10" s="167">
        <f t="shared" ref="FN10:FN21" si="10">IFERROR((52/(IF(FE10="S",FD10+(IF(Y10="S",X10,0))+(IF(AS10="S",AR10,0)),0)))/12,0)</f>
        <v>0</v>
      </c>
      <c r="FO10" s="167">
        <f>IFERROR(((52+12)/(IF(BG10="S",BF10+(IF(Y10="S",X10,0))+(IF(AS10="S",AR10,0)),0)))/12,0)</f>
        <v>0.76190476190476186</v>
      </c>
      <c r="FP10" s="162">
        <v>9</v>
      </c>
      <c r="FQ10" s="162"/>
      <c r="FR10" s="162" t="s">
        <v>68</v>
      </c>
      <c r="FS10" s="162"/>
      <c r="FT10" s="162"/>
      <c r="FU10" s="169">
        <v>0</v>
      </c>
      <c r="FV10" s="161" t="s">
        <v>182</v>
      </c>
      <c r="FW10" s="170" t="s">
        <v>100</v>
      </c>
      <c r="FX10" s="163">
        <v>0</v>
      </c>
      <c r="FY10" s="164">
        <v>0.25</v>
      </c>
      <c r="FZ10" s="830" t="s">
        <v>187</v>
      </c>
      <c r="GA10" s="824"/>
      <c r="GB10" s="164">
        <v>0.2</v>
      </c>
      <c r="GC10" s="171" t="s">
        <v>189</v>
      </c>
      <c r="GD10" s="166">
        <v>44</v>
      </c>
      <c r="GE10" s="167">
        <f t="shared" ref="GE10:GE21" si="11">IFERROR((52/(IF(FV10="S",FU10+(IF(Y10="S",X10,0))+(IF(AS10="S",AR10,0)),0)))/12,0)</f>
        <v>0</v>
      </c>
      <c r="GF10" s="167">
        <f>IFERROR(((52+12)/(IF(BG10="S",BF10+(IF(Y10="S",X10,0))+(IF(AS10="S",AR10,0)),0)))/12,0)</f>
        <v>0.76190476190476186</v>
      </c>
      <c r="GG10" s="170">
        <v>0</v>
      </c>
      <c r="GH10" s="162"/>
      <c r="GI10" s="162" t="s">
        <v>68</v>
      </c>
      <c r="GJ10" s="162"/>
      <c r="GK10" s="162"/>
      <c r="GL10" s="169">
        <v>0</v>
      </c>
      <c r="GM10" s="161" t="s">
        <v>182</v>
      </c>
      <c r="GN10" s="170" t="s">
        <v>27</v>
      </c>
      <c r="GO10" s="163">
        <v>0</v>
      </c>
      <c r="GP10" s="164">
        <v>0.25</v>
      </c>
      <c r="GQ10" s="830" t="s">
        <v>187</v>
      </c>
      <c r="GR10" s="824"/>
      <c r="GS10" s="164">
        <v>0.2</v>
      </c>
      <c r="GT10" s="171" t="s">
        <v>189</v>
      </c>
      <c r="GU10" s="166">
        <v>44</v>
      </c>
      <c r="GV10" s="167" t="e">
        <f>IFERROR((52/(IF(GM10="S",GL10+(IF(Y10="S",X10,0))+(IF(AS10="S",AR10,0)),0)))/12,0)*#REF!</f>
        <v>#REF!</v>
      </c>
      <c r="GW10" s="167">
        <f t="shared" ref="GW10:GW12" si="12">IFERROR(((52+12)/(IF(GM10="S",GL10+(IF(Y10="S",X10,0))+(IF(AS10="S",AR10,0)),0)))/12,0)</f>
        <v>0</v>
      </c>
      <c r="GX10" s="170">
        <v>0</v>
      </c>
      <c r="GY10" s="162"/>
      <c r="GZ10" s="162" t="s">
        <v>68</v>
      </c>
      <c r="HA10" s="162"/>
      <c r="HB10" s="162"/>
      <c r="HC10" s="172">
        <f t="shared" ref="HC10:HC21" si="13">G10+X10+AO10</f>
        <v>11</v>
      </c>
      <c r="HD10" s="173"/>
      <c r="HE10" s="173"/>
      <c r="HF10" s="173"/>
      <c r="HG10" s="173"/>
      <c r="HH10" s="173"/>
      <c r="HI10" s="173"/>
      <c r="HJ10" s="173"/>
      <c r="HK10" s="173"/>
      <c r="HL10" s="173"/>
      <c r="HM10" s="173"/>
      <c r="HN10" s="174">
        <f t="shared" ref="HN10:HN22" si="14">G10+X10+AO10+BF10+BW10+CN10+DE10+DV10+EM10+FD10+FU10+GL10</f>
        <v>11</v>
      </c>
    </row>
    <row r="11" spans="1:222" ht="22.5" customHeight="1">
      <c r="A11" s="1"/>
      <c r="B11" s="175">
        <v>155570</v>
      </c>
      <c r="C11" s="175" t="s">
        <v>190</v>
      </c>
      <c r="D11" s="176" t="s">
        <v>38</v>
      </c>
      <c r="E11" s="177">
        <v>3.7</v>
      </c>
      <c r="F11" s="178">
        <v>3</v>
      </c>
      <c r="G11" s="179">
        <v>1</v>
      </c>
      <c r="H11" s="179" t="s">
        <v>68</v>
      </c>
      <c r="I11" s="180" t="s">
        <v>82</v>
      </c>
      <c r="J11" s="181">
        <v>1305.56</v>
      </c>
      <c r="K11" s="182">
        <v>0.25</v>
      </c>
      <c r="L11" s="828" t="s">
        <v>191</v>
      </c>
      <c r="M11" s="824"/>
      <c r="N11" s="182">
        <v>0.2</v>
      </c>
      <c r="O11" s="183" t="s">
        <v>188</v>
      </c>
      <c r="P11" s="136">
        <v>44</v>
      </c>
      <c r="Q11" s="184">
        <f>IFERROR((52/(IF(H11="S",G11+(IF(Y11="S",X11,0))+(IF(AP11="S",AO11,0)),0)))/12,0)*0</f>
        <v>0</v>
      </c>
      <c r="R11" s="184">
        <f>IFERROR(((12)/(IF(H11="S",G11+(IF(Y11="S",X11,0))+(IF(AP11="S",AO11,0)),0)))/12,0)</f>
        <v>0.1111111111111111</v>
      </c>
      <c r="S11" s="185">
        <v>25</v>
      </c>
      <c r="T11" s="185">
        <v>25</v>
      </c>
      <c r="U11" s="186" t="s">
        <v>182</v>
      </c>
      <c r="V11" s="187">
        <v>1</v>
      </c>
      <c r="W11" s="188">
        <v>1</v>
      </c>
      <c r="X11" s="189">
        <v>6</v>
      </c>
      <c r="Y11" s="190" t="s">
        <v>68</v>
      </c>
      <c r="Z11" s="191" t="s">
        <v>82</v>
      </c>
      <c r="AA11" s="192">
        <v>1305.56</v>
      </c>
      <c r="AB11" s="193">
        <v>0.25</v>
      </c>
      <c r="AC11" s="829" t="s">
        <v>187</v>
      </c>
      <c r="AD11" s="824"/>
      <c r="AE11" s="194">
        <v>0.2</v>
      </c>
      <c r="AF11" s="195" t="s">
        <v>188</v>
      </c>
      <c r="AG11" s="147">
        <v>44</v>
      </c>
      <c r="AH11" s="148">
        <f>IFERROR((52/(IF(Y11="S",X11+(IF(H11="S",G11,0))+(IF(AP11="S",AO11,0)),0)))/12,0)*0</f>
        <v>0</v>
      </c>
      <c r="AI11" s="148">
        <f>IFERROR(((12)/(IF(Y11="S",X11+(IF(H11="S",G11,0))+(IF(AP11="S",AO11,0)),0)))/12,0)</f>
        <v>0.1111111111111111</v>
      </c>
      <c r="AJ11" s="196">
        <v>25</v>
      </c>
      <c r="AK11" s="196">
        <v>25</v>
      </c>
      <c r="AL11" s="197" t="s">
        <v>182</v>
      </c>
      <c r="AM11" s="196">
        <v>1</v>
      </c>
      <c r="AN11" s="196">
        <v>1</v>
      </c>
      <c r="AO11" s="198">
        <v>2</v>
      </c>
      <c r="AP11" s="199" t="s">
        <v>68</v>
      </c>
      <c r="AQ11" s="200" t="s">
        <v>82</v>
      </c>
      <c r="AR11" s="201">
        <v>1305.56</v>
      </c>
      <c r="AS11" s="202">
        <v>0.25</v>
      </c>
      <c r="AT11" s="823" t="s">
        <v>191</v>
      </c>
      <c r="AU11" s="824"/>
      <c r="AV11" s="202">
        <v>0.2</v>
      </c>
      <c r="AW11" s="203" t="s">
        <v>188</v>
      </c>
      <c r="AX11" s="136">
        <v>44</v>
      </c>
      <c r="AY11" s="204">
        <f>IFERROR((52/(IF(AP11="S",AO11+(IF(H11="S",G11,0))+(IF(Y11="S",X11,0)),0)))/12,0)*0</f>
        <v>0</v>
      </c>
      <c r="AZ11" s="204">
        <f>IFERROR(((12)/(IF(AP11="S",AO11+(IF(H11="S",G11,0))+(IF(Y11="S",X11,0)),0)))/12,0)</f>
        <v>0.1111111111111111</v>
      </c>
      <c r="BA11" s="205">
        <v>25</v>
      </c>
      <c r="BB11" s="205">
        <v>25</v>
      </c>
      <c r="BC11" s="206" t="s">
        <v>182</v>
      </c>
      <c r="BD11" s="207">
        <v>1</v>
      </c>
      <c r="BE11" s="207">
        <v>1</v>
      </c>
      <c r="BF11" s="208">
        <v>0</v>
      </c>
      <c r="BG11" s="209" t="s">
        <v>68</v>
      </c>
      <c r="BH11" s="210" t="s">
        <v>27</v>
      </c>
      <c r="BI11" s="211">
        <v>4435.2</v>
      </c>
      <c r="BJ11" s="212">
        <v>0.25</v>
      </c>
      <c r="BK11" s="830" t="s">
        <v>187</v>
      </c>
      <c r="BL11" s="824"/>
      <c r="BM11" s="212">
        <v>0.2</v>
      </c>
      <c r="BN11" s="213" t="s">
        <v>189</v>
      </c>
      <c r="BO11" s="166">
        <v>44</v>
      </c>
      <c r="BP11" s="214">
        <f t="shared" si="3"/>
        <v>0.72222222222222221</v>
      </c>
      <c r="BQ11" s="214">
        <f t="shared" si="4"/>
        <v>0.88888888888888884</v>
      </c>
      <c r="BR11" s="215">
        <v>22</v>
      </c>
      <c r="BS11" s="215">
        <v>22</v>
      </c>
      <c r="BT11" s="210" t="s">
        <v>68</v>
      </c>
      <c r="BU11" s="215"/>
      <c r="BV11" s="216"/>
      <c r="BW11" s="208">
        <v>0</v>
      </c>
      <c r="BX11" s="209" t="s">
        <v>68</v>
      </c>
      <c r="BY11" s="210" t="s">
        <v>27</v>
      </c>
      <c r="BZ11" s="217">
        <v>4435.2</v>
      </c>
      <c r="CA11" s="212">
        <v>0.25</v>
      </c>
      <c r="CB11" s="830" t="s">
        <v>187</v>
      </c>
      <c r="CC11" s="824"/>
      <c r="CD11" s="212">
        <v>0.2</v>
      </c>
      <c r="CE11" s="213" t="s">
        <v>189</v>
      </c>
      <c r="CF11" s="166">
        <v>44</v>
      </c>
      <c r="CG11" s="214">
        <f t="shared" si="5"/>
        <v>0.72222222222222221</v>
      </c>
      <c r="CH11" s="214">
        <f t="shared" ref="CH11:CH12" si="15">IFERROR(((52+12)/(IF(BX11="S",BW11+(IF(Y11="S",X11,0))+(IF(AS11="S",AR11,0)),0)))/12,0)</f>
        <v>0.88888888888888884</v>
      </c>
      <c r="CI11" s="215">
        <v>22</v>
      </c>
      <c r="CJ11" s="215">
        <v>22</v>
      </c>
      <c r="CK11" s="210" t="s">
        <v>68</v>
      </c>
      <c r="CL11" s="215"/>
      <c r="CM11" s="215"/>
      <c r="CN11" s="208">
        <v>0</v>
      </c>
      <c r="CO11" s="209" t="s">
        <v>68</v>
      </c>
      <c r="CP11" s="210" t="s">
        <v>27</v>
      </c>
      <c r="CQ11" s="217">
        <v>1396.01</v>
      </c>
      <c r="CR11" s="212">
        <v>0.25</v>
      </c>
      <c r="CS11" s="830" t="s">
        <v>187</v>
      </c>
      <c r="CT11" s="824"/>
      <c r="CU11" s="212">
        <v>0.2</v>
      </c>
      <c r="CV11" s="213" t="s">
        <v>189</v>
      </c>
      <c r="CW11" s="166">
        <v>44</v>
      </c>
      <c r="CX11" s="214">
        <f t="shared" si="6"/>
        <v>0.72222222222222221</v>
      </c>
      <c r="CY11" s="214">
        <f t="shared" ref="CY11:CY12" si="16">IFERROR(((52+12)/(IF(CO11="S",CN11+(IF(Y11="S",X11,0))+(IF(AS11="S",AR11,0)),0)))/12,0)</f>
        <v>0.88888888888888884</v>
      </c>
      <c r="CZ11" s="215">
        <v>22</v>
      </c>
      <c r="DA11" s="215">
        <v>22</v>
      </c>
      <c r="DB11" s="210" t="s">
        <v>68</v>
      </c>
      <c r="DC11" s="215"/>
      <c r="DD11" s="215"/>
      <c r="DE11" s="208">
        <v>0</v>
      </c>
      <c r="DF11" s="209" t="s">
        <v>68</v>
      </c>
      <c r="DG11" s="210" t="s">
        <v>27</v>
      </c>
      <c r="DH11" s="217">
        <v>1396.01</v>
      </c>
      <c r="DI11" s="212">
        <v>0.25</v>
      </c>
      <c r="DJ11" s="830" t="s">
        <v>187</v>
      </c>
      <c r="DK11" s="824"/>
      <c r="DL11" s="212">
        <v>0.2</v>
      </c>
      <c r="DM11" s="213" t="s">
        <v>189</v>
      </c>
      <c r="DN11" s="166">
        <v>44</v>
      </c>
      <c r="DO11" s="214">
        <f t="shared" si="7"/>
        <v>0.72222222222222221</v>
      </c>
      <c r="DP11" s="214">
        <f t="shared" ref="DP11:DP12" si="17">IFERROR(((52+12)/(IF(DF11="S",DE11+(IF(Y11="S",X11,0))+(IF(AS11="S",AR11,0)),0)))/12,0)</f>
        <v>0.88888888888888884</v>
      </c>
      <c r="DQ11" s="215">
        <v>22</v>
      </c>
      <c r="DR11" s="215">
        <v>22</v>
      </c>
      <c r="DS11" s="210" t="s">
        <v>68</v>
      </c>
      <c r="DT11" s="215"/>
      <c r="DU11" s="215"/>
      <c r="DV11" s="208">
        <v>0</v>
      </c>
      <c r="DW11" s="209" t="s">
        <v>182</v>
      </c>
      <c r="DX11" s="210" t="s">
        <v>44</v>
      </c>
      <c r="DY11" s="217">
        <v>4128.0200000000004</v>
      </c>
      <c r="DZ11" s="212">
        <v>0.25</v>
      </c>
      <c r="EA11" s="830" t="s">
        <v>187</v>
      </c>
      <c r="EB11" s="824"/>
      <c r="EC11" s="212">
        <v>0.2</v>
      </c>
      <c r="ED11" s="213" t="s">
        <v>189</v>
      </c>
      <c r="EE11" s="166">
        <v>44</v>
      </c>
      <c r="EF11" s="214">
        <f t="shared" si="8"/>
        <v>0</v>
      </c>
      <c r="EG11" s="214">
        <f t="shared" ref="EG11:EG12" si="18">IFERROR(((52+12)/(IF(DW11="S",DV11+(IF(Y11="S",X11,0))+(IF(AS11="S",AR11,0)),0)))/12,0)</f>
        <v>0</v>
      </c>
      <c r="EH11" s="215">
        <v>22</v>
      </c>
      <c r="EI11" s="215">
        <v>22</v>
      </c>
      <c r="EJ11" s="210" t="s">
        <v>68</v>
      </c>
      <c r="EK11" s="215"/>
      <c r="EL11" s="215"/>
      <c r="EM11" s="208">
        <v>0</v>
      </c>
      <c r="EN11" s="209" t="s">
        <v>182</v>
      </c>
      <c r="EO11" s="210" t="s">
        <v>44</v>
      </c>
      <c r="EP11" s="217">
        <v>4128.0200000000004</v>
      </c>
      <c r="EQ11" s="212">
        <v>0.25</v>
      </c>
      <c r="ER11" s="830" t="s">
        <v>187</v>
      </c>
      <c r="ES11" s="824"/>
      <c r="ET11" s="212">
        <v>0.2</v>
      </c>
      <c r="EU11" s="213" t="s">
        <v>189</v>
      </c>
      <c r="EV11" s="166">
        <v>44</v>
      </c>
      <c r="EW11" s="214">
        <f t="shared" si="9"/>
        <v>0</v>
      </c>
      <c r="EX11" s="214">
        <f t="shared" ref="EX11:EX12" si="19">IFERROR(((52+12)/(IF(EN11="S",EM11+(IF(Y11="S",X11,0))+(IF(AS11="S",AR11,0)),0)))/12,0)</f>
        <v>0</v>
      </c>
      <c r="EY11" s="215">
        <v>22</v>
      </c>
      <c r="EZ11" s="215">
        <v>22</v>
      </c>
      <c r="FA11" s="210" t="s">
        <v>68</v>
      </c>
      <c r="FB11" s="215"/>
      <c r="FC11" s="215"/>
      <c r="FD11" s="208">
        <v>0</v>
      </c>
      <c r="FE11" s="209" t="s">
        <v>182</v>
      </c>
      <c r="FF11" s="210" t="s">
        <v>55</v>
      </c>
      <c r="FG11" s="217">
        <v>1741.45</v>
      </c>
      <c r="FH11" s="212">
        <v>0.25</v>
      </c>
      <c r="FI11" s="830" t="s">
        <v>187</v>
      </c>
      <c r="FJ11" s="824"/>
      <c r="FK11" s="212">
        <v>0.2</v>
      </c>
      <c r="FL11" s="213" t="s">
        <v>188</v>
      </c>
      <c r="FM11" s="166">
        <v>44</v>
      </c>
      <c r="FN11" s="214">
        <f t="shared" si="10"/>
        <v>0</v>
      </c>
      <c r="FO11" s="214">
        <f t="shared" ref="FO11:FO12" si="20">IFERROR(((52+12)/(IF(FE11="S",FD11+(IF(Y11="S",X11,0))+(IF(AS11="S",AR11,0)),0)))/12,0)</f>
        <v>0</v>
      </c>
      <c r="FP11" s="215">
        <v>9</v>
      </c>
      <c r="FQ11" s="215"/>
      <c r="FR11" s="210" t="s">
        <v>68</v>
      </c>
      <c r="FS11" s="215"/>
      <c r="FT11" s="215"/>
      <c r="FU11" s="208">
        <v>0</v>
      </c>
      <c r="FV11" s="209" t="s">
        <v>182</v>
      </c>
      <c r="FW11" s="218" t="s">
        <v>27</v>
      </c>
      <c r="FX11" s="217">
        <v>0</v>
      </c>
      <c r="FY11" s="212">
        <v>0.25</v>
      </c>
      <c r="FZ11" s="830" t="s">
        <v>187</v>
      </c>
      <c r="GA11" s="824"/>
      <c r="GB11" s="212">
        <v>0.2</v>
      </c>
      <c r="GC11" s="213" t="s">
        <v>189</v>
      </c>
      <c r="GD11" s="166">
        <v>44</v>
      </c>
      <c r="GE11" s="214">
        <f t="shared" si="11"/>
        <v>0</v>
      </c>
      <c r="GF11" s="214">
        <f t="shared" ref="GF11:GF12" si="21">IFERROR(((52+12)/(IF(FV11="S",FU11+(IF(Y11="S",X11,0))+(IF(AS11="S",AR11,0)),0)))/12,0)</f>
        <v>0</v>
      </c>
      <c r="GG11" s="219">
        <v>0</v>
      </c>
      <c r="GH11" s="215"/>
      <c r="GI11" s="210" t="s">
        <v>68</v>
      </c>
      <c r="GJ11" s="215"/>
      <c r="GK11" s="215"/>
      <c r="GL11" s="208">
        <v>0</v>
      </c>
      <c r="GM11" s="209" t="s">
        <v>182</v>
      </c>
      <c r="GN11" s="218" t="s">
        <v>27</v>
      </c>
      <c r="GO11" s="217">
        <v>0</v>
      </c>
      <c r="GP11" s="212">
        <v>0.25</v>
      </c>
      <c r="GQ11" s="830" t="s">
        <v>187</v>
      </c>
      <c r="GR11" s="824"/>
      <c r="GS11" s="212">
        <v>0.2</v>
      </c>
      <c r="GT11" s="213" t="s">
        <v>189</v>
      </c>
      <c r="GU11" s="166">
        <v>44</v>
      </c>
      <c r="GV11" s="214">
        <f t="shared" ref="GV11:GV21" si="22">IFERROR((52/(IF(GM11="S",GL11+(IF(Y11="S",X11,0))+(IF(AS11="S",AR11,0)),0)))/12,0)</f>
        <v>0</v>
      </c>
      <c r="GW11" s="214">
        <f t="shared" si="12"/>
        <v>0</v>
      </c>
      <c r="GX11" s="219">
        <v>0</v>
      </c>
      <c r="GY11" s="215"/>
      <c r="GZ11" s="210" t="s">
        <v>68</v>
      </c>
      <c r="HA11" s="215"/>
      <c r="HB11" s="215"/>
      <c r="HC11" s="172">
        <f t="shared" si="13"/>
        <v>9</v>
      </c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174">
        <f t="shared" si="14"/>
        <v>9</v>
      </c>
    </row>
    <row r="12" spans="1:222" ht="22.5" customHeight="1">
      <c r="A12" s="1"/>
      <c r="B12" s="175">
        <v>154628</v>
      </c>
      <c r="C12" s="175" t="s">
        <v>192</v>
      </c>
      <c r="D12" s="176" t="s">
        <v>43</v>
      </c>
      <c r="E12" s="178">
        <v>6.6</v>
      </c>
      <c r="F12" s="178">
        <v>3</v>
      </c>
      <c r="G12" s="179">
        <v>1</v>
      </c>
      <c r="H12" s="179" t="s">
        <v>68</v>
      </c>
      <c r="I12" s="180" t="s">
        <v>94</v>
      </c>
      <c r="J12" s="181">
        <f>1575*1.4</f>
        <v>2205</v>
      </c>
      <c r="K12" s="220">
        <v>0</v>
      </c>
      <c r="L12" s="828" t="s">
        <v>187</v>
      </c>
      <c r="M12" s="824"/>
      <c r="N12" s="220">
        <v>0.2</v>
      </c>
      <c r="O12" s="183" t="s">
        <v>188</v>
      </c>
      <c r="P12" s="136">
        <v>44</v>
      </c>
      <c r="Q12" s="184">
        <f t="shared" ref="Q12:Q21" si="23">IFERROR((52/(IF(H12="S",G12+(IF(Y12="S",X12,0))+(IF(AP12="S",AO12,0)),0)))/12,0)</f>
        <v>0.72222222222222221</v>
      </c>
      <c r="R12" s="184">
        <f t="shared" ref="R12:R21" si="24">IFERROR(((52+12)/(IF(H12="S",G12+(IF(Y12="S",X12,0))+(IF(AP12="S",AO12,0)),0)))/12,0)</f>
        <v>0.88888888888888884</v>
      </c>
      <c r="S12" s="185">
        <v>25</v>
      </c>
      <c r="T12" s="185">
        <v>25</v>
      </c>
      <c r="U12" s="186" t="s">
        <v>182</v>
      </c>
      <c r="V12" s="187">
        <v>1</v>
      </c>
      <c r="W12" s="188">
        <v>1</v>
      </c>
      <c r="X12" s="189">
        <v>4</v>
      </c>
      <c r="Y12" s="190" t="s">
        <v>68</v>
      </c>
      <c r="Z12" s="191" t="s">
        <v>94</v>
      </c>
      <c r="AA12" s="192">
        <v>1575</v>
      </c>
      <c r="AB12" s="193">
        <v>0</v>
      </c>
      <c r="AC12" s="829" t="s">
        <v>187</v>
      </c>
      <c r="AD12" s="824"/>
      <c r="AE12" s="194">
        <v>0.2</v>
      </c>
      <c r="AF12" s="195" t="s">
        <v>188</v>
      </c>
      <c r="AG12" s="147">
        <v>44</v>
      </c>
      <c r="AH12" s="148">
        <f t="shared" ref="AH12:AH19" si="25">IFERROR((52/(IF(Y12="S",X12+(IF(H12="S",G12,0))+(IF(AP12="S",AO12,0)),0)))/12,0)</f>
        <v>0.72222222222222221</v>
      </c>
      <c r="AI12" s="148">
        <f t="shared" ref="AI12:AI21" si="26">IFERROR(((52+12)/(IF(Y12="S",X12+(IF(H12="S",G12,0))+(IF(AP12="S",AO12,0)),0)))/12,0)</f>
        <v>0.88888888888888884</v>
      </c>
      <c r="AJ12" s="196">
        <v>25</v>
      </c>
      <c r="AK12" s="196">
        <v>25</v>
      </c>
      <c r="AL12" s="197" t="s">
        <v>182</v>
      </c>
      <c r="AM12" s="196">
        <v>1</v>
      </c>
      <c r="AN12" s="196">
        <v>1</v>
      </c>
      <c r="AO12" s="198">
        <v>1</v>
      </c>
      <c r="AP12" s="199" t="s">
        <v>68</v>
      </c>
      <c r="AQ12" s="200" t="s">
        <v>94</v>
      </c>
      <c r="AR12" s="201">
        <f>1.2*1575</f>
        <v>1890</v>
      </c>
      <c r="AS12" s="221">
        <v>0</v>
      </c>
      <c r="AT12" s="823" t="s">
        <v>187</v>
      </c>
      <c r="AU12" s="824"/>
      <c r="AV12" s="202">
        <v>0.2</v>
      </c>
      <c r="AW12" s="203" t="s">
        <v>188</v>
      </c>
      <c r="AX12" s="136">
        <v>44</v>
      </c>
      <c r="AY12" s="204">
        <f t="shared" ref="AY12:AY21" si="27">IFERROR((52/(IF(AP12="S",AO12+(IF(H12="S",G12,0))+(IF(Y12="S",X12,0)),0)))/12,0)</f>
        <v>0.72222222222222221</v>
      </c>
      <c r="AZ12" s="204">
        <f t="shared" ref="AZ12:AZ21" si="28">IFERROR(((52+12)/(IF(AP12="S",AO12+(IF(H12="S",G12,0))+(IF(Y12="S",X12,0)),0)))/12,0)</f>
        <v>0.88888888888888884</v>
      </c>
      <c r="BA12" s="205">
        <v>25</v>
      </c>
      <c r="BB12" s="205">
        <v>25</v>
      </c>
      <c r="BC12" s="206" t="s">
        <v>182</v>
      </c>
      <c r="BD12" s="207">
        <v>1</v>
      </c>
      <c r="BE12" s="207">
        <v>1</v>
      </c>
      <c r="BF12" s="208">
        <v>0</v>
      </c>
      <c r="BG12" s="209" t="s">
        <v>68</v>
      </c>
      <c r="BH12" s="210" t="s">
        <v>27</v>
      </c>
      <c r="BI12" s="217">
        <v>4435.2</v>
      </c>
      <c r="BJ12" s="212">
        <v>0.25</v>
      </c>
      <c r="BK12" s="830" t="s">
        <v>187</v>
      </c>
      <c r="BL12" s="824"/>
      <c r="BM12" s="212">
        <v>0.2</v>
      </c>
      <c r="BN12" s="213" t="s">
        <v>189</v>
      </c>
      <c r="BO12" s="166">
        <v>44</v>
      </c>
      <c r="BP12" s="214">
        <f t="shared" si="3"/>
        <v>1.0833333333333333</v>
      </c>
      <c r="BQ12" s="214">
        <f t="shared" si="4"/>
        <v>1.3333333333333333</v>
      </c>
      <c r="BR12" s="215">
        <v>22</v>
      </c>
      <c r="BS12" s="215">
        <v>22</v>
      </c>
      <c r="BT12" s="210" t="s">
        <v>68</v>
      </c>
      <c r="BU12" s="215"/>
      <c r="BV12" s="216"/>
      <c r="BW12" s="208">
        <v>0</v>
      </c>
      <c r="BX12" s="209" t="s">
        <v>68</v>
      </c>
      <c r="BY12" s="210" t="s">
        <v>27</v>
      </c>
      <c r="BZ12" s="217">
        <v>4435.2</v>
      </c>
      <c r="CA12" s="212">
        <v>0.25</v>
      </c>
      <c r="CB12" s="830" t="s">
        <v>187</v>
      </c>
      <c r="CC12" s="824"/>
      <c r="CD12" s="212">
        <v>0.2</v>
      </c>
      <c r="CE12" s="213" t="s">
        <v>189</v>
      </c>
      <c r="CF12" s="166">
        <v>44</v>
      </c>
      <c r="CG12" s="214">
        <f t="shared" si="5"/>
        <v>1.0833333333333333</v>
      </c>
      <c r="CH12" s="214">
        <f t="shared" si="15"/>
        <v>1.3333333333333333</v>
      </c>
      <c r="CI12" s="215">
        <v>22</v>
      </c>
      <c r="CJ12" s="215">
        <v>22</v>
      </c>
      <c r="CK12" s="210" t="s">
        <v>68</v>
      </c>
      <c r="CL12" s="215"/>
      <c r="CM12" s="215"/>
      <c r="CN12" s="208">
        <v>0</v>
      </c>
      <c r="CO12" s="209" t="s">
        <v>68</v>
      </c>
      <c r="CP12" s="210" t="s">
        <v>27</v>
      </c>
      <c r="CQ12" s="217">
        <v>1396.01</v>
      </c>
      <c r="CR12" s="212">
        <v>0.25</v>
      </c>
      <c r="CS12" s="830" t="s">
        <v>187</v>
      </c>
      <c r="CT12" s="824"/>
      <c r="CU12" s="212">
        <v>0.2</v>
      </c>
      <c r="CV12" s="213" t="s">
        <v>189</v>
      </c>
      <c r="CW12" s="166">
        <v>44</v>
      </c>
      <c r="CX12" s="214">
        <f t="shared" si="6"/>
        <v>1.0833333333333333</v>
      </c>
      <c r="CY12" s="214">
        <f t="shared" si="16"/>
        <v>1.3333333333333333</v>
      </c>
      <c r="CZ12" s="215">
        <v>22</v>
      </c>
      <c r="DA12" s="215">
        <v>22</v>
      </c>
      <c r="DB12" s="210" t="s">
        <v>68</v>
      </c>
      <c r="DC12" s="215"/>
      <c r="DD12" s="215"/>
      <c r="DE12" s="208">
        <v>0</v>
      </c>
      <c r="DF12" s="209" t="s">
        <v>68</v>
      </c>
      <c r="DG12" s="210" t="s">
        <v>27</v>
      </c>
      <c r="DH12" s="217">
        <v>1396.01</v>
      </c>
      <c r="DI12" s="212">
        <v>0.25</v>
      </c>
      <c r="DJ12" s="830" t="s">
        <v>187</v>
      </c>
      <c r="DK12" s="824"/>
      <c r="DL12" s="212">
        <v>0.2</v>
      </c>
      <c r="DM12" s="213" t="s">
        <v>189</v>
      </c>
      <c r="DN12" s="166">
        <v>44</v>
      </c>
      <c r="DO12" s="214">
        <f t="shared" si="7"/>
        <v>1.0833333333333333</v>
      </c>
      <c r="DP12" s="214">
        <f t="shared" si="17"/>
        <v>1.3333333333333333</v>
      </c>
      <c r="DQ12" s="215">
        <v>22</v>
      </c>
      <c r="DR12" s="215">
        <v>22</v>
      </c>
      <c r="DS12" s="210" t="s">
        <v>68</v>
      </c>
      <c r="DT12" s="215"/>
      <c r="DU12" s="215"/>
      <c r="DV12" s="208">
        <v>0</v>
      </c>
      <c r="DW12" s="209" t="s">
        <v>182</v>
      </c>
      <c r="DX12" s="210" t="s">
        <v>44</v>
      </c>
      <c r="DY12" s="217">
        <v>4128.0200000000004</v>
      </c>
      <c r="DZ12" s="212">
        <v>0.25</v>
      </c>
      <c r="EA12" s="830" t="s">
        <v>187</v>
      </c>
      <c r="EB12" s="824"/>
      <c r="EC12" s="212">
        <v>0.2</v>
      </c>
      <c r="ED12" s="213" t="s">
        <v>189</v>
      </c>
      <c r="EE12" s="166">
        <v>44</v>
      </c>
      <c r="EF12" s="214">
        <f t="shared" si="8"/>
        <v>0</v>
      </c>
      <c r="EG12" s="214">
        <f t="shared" si="18"/>
        <v>0</v>
      </c>
      <c r="EH12" s="215">
        <v>22</v>
      </c>
      <c r="EI12" s="215">
        <v>22</v>
      </c>
      <c r="EJ12" s="210" t="s">
        <v>68</v>
      </c>
      <c r="EK12" s="215"/>
      <c r="EL12" s="215"/>
      <c r="EM12" s="208">
        <v>0</v>
      </c>
      <c r="EN12" s="209" t="s">
        <v>182</v>
      </c>
      <c r="EO12" s="210" t="s">
        <v>44</v>
      </c>
      <c r="EP12" s="217">
        <v>4128.0200000000004</v>
      </c>
      <c r="EQ12" s="212">
        <v>0.25</v>
      </c>
      <c r="ER12" s="830" t="s">
        <v>187</v>
      </c>
      <c r="ES12" s="824"/>
      <c r="ET12" s="212">
        <v>0.2</v>
      </c>
      <c r="EU12" s="213" t="s">
        <v>189</v>
      </c>
      <c r="EV12" s="166">
        <v>44</v>
      </c>
      <c r="EW12" s="214">
        <f t="shared" si="9"/>
        <v>0</v>
      </c>
      <c r="EX12" s="214">
        <f t="shared" si="19"/>
        <v>0</v>
      </c>
      <c r="EY12" s="215">
        <v>22</v>
      </c>
      <c r="EZ12" s="215">
        <v>22</v>
      </c>
      <c r="FA12" s="210" t="s">
        <v>68</v>
      </c>
      <c r="FB12" s="215"/>
      <c r="FC12" s="215"/>
      <c r="FD12" s="208">
        <v>0</v>
      </c>
      <c r="FE12" s="209" t="s">
        <v>182</v>
      </c>
      <c r="FF12" s="210" t="s">
        <v>55</v>
      </c>
      <c r="FG12" s="217">
        <v>1741.45</v>
      </c>
      <c r="FH12" s="212">
        <v>0.25</v>
      </c>
      <c r="FI12" s="830" t="s">
        <v>187</v>
      </c>
      <c r="FJ12" s="824"/>
      <c r="FK12" s="212">
        <v>0.2</v>
      </c>
      <c r="FL12" s="213" t="s">
        <v>188</v>
      </c>
      <c r="FM12" s="166">
        <v>44</v>
      </c>
      <c r="FN12" s="214">
        <f t="shared" si="10"/>
        <v>0</v>
      </c>
      <c r="FO12" s="214">
        <f t="shared" si="20"/>
        <v>0</v>
      </c>
      <c r="FP12" s="215">
        <v>9</v>
      </c>
      <c r="FQ12" s="215"/>
      <c r="FR12" s="210" t="s">
        <v>68</v>
      </c>
      <c r="FS12" s="215"/>
      <c r="FT12" s="215"/>
      <c r="FU12" s="208">
        <v>0</v>
      </c>
      <c r="FV12" s="209" t="s">
        <v>182</v>
      </c>
      <c r="FW12" s="218" t="s">
        <v>27</v>
      </c>
      <c r="FX12" s="217">
        <v>0</v>
      </c>
      <c r="FY12" s="212">
        <v>0.25</v>
      </c>
      <c r="FZ12" s="830" t="s">
        <v>187</v>
      </c>
      <c r="GA12" s="824"/>
      <c r="GB12" s="212">
        <v>0.2</v>
      </c>
      <c r="GC12" s="222" t="s">
        <v>189</v>
      </c>
      <c r="GD12" s="166">
        <v>44</v>
      </c>
      <c r="GE12" s="214">
        <f t="shared" si="11"/>
        <v>0</v>
      </c>
      <c r="GF12" s="214">
        <f t="shared" si="21"/>
        <v>0</v>
      </c>
      <c r="GG12" s="219">
        <v>0</v>
      </c>
      <c r="GH12" s="215"/>
      <c r="GI12" s="210" t="s">
        <v>68</v>
      </c>
      <c r="GJ12" s="215"/>
      <c r="GK12" s="215"/>
      <c r="GL12" s="208">
        <v>0</v>
      </c>
      <c r="GM12" s="209" t="s">
        <v>182</v>
      </c>
      <c r="GN12" s="218" t="s">
        <v>27</v>
      </c>
      <c r="GO12" s="217">
        <v>0</v>
      </c>
      <c r="GP12" s="212">
        <v>0.25</v>
      </c>
      <c r="GQ12" s="830" t="s">
        <v>187</v>
      </c>
      <c r="GR12" s="824"/>
      <c r="GS12" s="212">
        <v>0.2</v>
      </c>
      <c r="GT12" s="222" t="s">
        <v>189</v>
      </c>
      <c r="GU12" s="166">
        <v>44</v>
      </c>
      <c r="GV12" s="214">
        <f t="shared" si="22"/>
        <v>0</v>
      </c>
      <c r="GW12" s="214">
        <f t="shared" si="12"/>
        <v>0</v>
      </c>
      <c r="GX12" s="219">
        <v>0</v>
      </c>
      <c r="GY12" s="215"/>
      <c r="GZ12" s="210" t="s">
        <v>68</v>
      </c>
      <c r="HA12" s="215"/>
      <c r="HB12" s="215"/>
      <c r="HC12" s="172">
        <f t="shared" si="13"/>
        <v>6</v>
      </c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174">
        <f t="shared" si="14"/>
        <v>6</v>
      </c>
    </row>
    <row r="13" spans="1:222" ht="22.5" customHeight="1">
      <c r="A13" s="125"/>
      <c r="B13" s="175">
        <v>158269</v>
      </c>
      <c r="C13" s="175" t="s">
        <v>193</v>
      </c>
      <c r="D13" s="176" t="s">
        <v>49</v>
      </c>
      <c r="E13" s="178">
        <v>3.2</v>
      </c>
      <c r="F13" s="178">
        <v>4</v>
      </c>
      <c r="G13" s="179">
        <v>1</v>
      </c>
      <c r="H13" s="179" t="s">
        <v>68</v>
      </c>
      <c r="I13" s="180" t="s">
        <v>82</v>
      </c>
      <c r="J13" s="223">
        <v>1305.56</v>
      </c>
      <c r="K13" s="224">
        <v>0.25</v>
      </c>
      <c r="L13" s="828" t="s">
        <v>194</v>
      </c>
      <c r="M13" s="824"/>
      <c r="N13" s="224">
        <v>0.2</v>
      </c>
      <c r="O13" s="225" t="s">
        <v>188</v>
      </c>
      <c r="P13" s="136">
        <v>44</v>
      </c>
      <c r="Q13" s="137">
        <f t="shared" si="23"/>
        <v>0.72222222222222221</v>
      </c>
      <c r="R13" s="137">
        <f t="shared" si="24"/>
        <v>0.88888888888888884</v>
      </c>
      <c r="S13" s="226">
        <v>25</v>
      </c>
      <c r="T13" s="227">
        <v>25</v>
      </c>
      <c r="U13" s="131" t="s">
        <v>182</v>
      </c>
      <c r="V13" s="227">
        <v>1</v>
      </c>
      <c r="W13" s="188">
        <v>1</v>
      </c>
      <c r="X13" s="189">
        <v>4</v>
      </c>
      <c r="Y13" s="190" t="s">
        <v>68</v>
      </c>
      <c r="Z13" s="191" t="s">
        <v>82</v>
      </c>
      <c r="AA13" s="228">
        <v>1305.56</v>
      </c>
      <c r="AB13" s="229">
        <v>0.25</v>
      </c>
      <c r="AC13" s="829" t="s">
        <v>187</v>
      </c>
      <c r="AD13" s="824"/>
      <c r="AE13" s="230">
        <v>0.2</v>
      </c>
      <c r="AF13" s="195" t="s">
        <v>188</v>
      </c>
      <c r="AG13" s="147">
        <v>44</v>
      </c>
      <c r="AH13" s="149">
        <f t="shared" si="25"/>
        <v>0.72222222222222221</v>
      </c>
      <c r="AI13" s="149">
        <f t="shared" si="26"/>
        <v>0.88888888888888884</v>
      </c>
      <c r="AJ13" s="231">
        <v>25</v>
      </c>
      <c r="AK13" s="231">
        <v>25</v>
      </c>
      <c r="AL13" s="191" t="s">
        <v>182</v>
      </c>
      <c r="AM13" s="232">
        <v>1</v>
      </c>
      <c r="AN13" s="232">
        <v>1</v>
      </c>
      <c r="AO13" s="198">
        <v>1</v>
      </c>
      <c r="AP13" s="199" t="s">
        <v>68</v>
      </c>
      <c r="AQ13" s="200" t="s">
        <v>82</v>
      </c>
      <c r="AR13" s="233">
        <v>1305.56</v>
      </c>
      <c r="AS13" s="234">
        <v>0.25</v>
      </c>
      <c r="AT13" s="823" t="s">
        <v>194</v>
      </c>
      <c r="AU13" s="824"/>
      <c r="AV13" s="234">
        <v>0.2</v>
      </c>
      <c r="AW13" s="203" t="s">
        <v>188</v>
      </c>
      <c r="AX13" s="136">
        <v>44</v>
      </c>
      <c r="AY13" s="157">
        <f t="shared" si="27"/>
        <v>0.72222222222222221</v>
      </c>
      <c r="AZ13" s="157">
        <f t="shared" si="28"/>
        <v>0.88888888888888884</v>
      </c>
      <c r="BA13" s="235">
        <v>25</v>
      </c>
      <c r="BB13" s="235">
        <v>25</v>
      </c>
      <c r="BC13" s="206" t="s">
        <v>182</v>
      </c>
      <c r="BD13" s="236">
        <v>1</v>
      </c>
      <c r="BE13" s="236">
        <v>1</v>
      </c>
      <c r="BF13" s="208">
        <v>0</v>
      </c>
      <c r="BG13" s="209" t="s">
        <v>68</v>
      </c>
      <c r="BH13" s="210" t="s">
        <v>100</v>
      </c>
      <c r="BI13" s="237">
        <v>4435.2</v>
      </c>
      <c r="BJ13" s="238">
        <v>0.25</v>
      </c>
      <c r="BK13" s="830" t="s">
        <v>187</v>
      </c>
      <c r="BL13" s="824"/>
      <c r="BM13" s="238">
        <v>0.2</v>
      </c>
      <c r="BN13" s="213" t="s">
        <v>189</v>
      </c>
      <c r="BO13" s="166">
        <v>44</v>
      </c>
      <c r="BP13" s="167">
        <f t="shared" si="3"/>
        <v>1.0833333333333333</v>
      </c>
      <c r="BQ13" s="167">
        <f>IFERROR(((52+12)/(IF(AP13="S",AO13+(IF(H13="S",G13,0))+(IF(Y13="S",X13,0)),0)))/12,0)</f>
        <v>0.88888888888888884</v>
      </c>
      <c r="BR13" s="239">
        <v>22</v>
      </c>
      <c r="BS13" s="239">
        <v>22</v>
      </c>
      <c r="BT13" s="210" t="s">
        <v>68</v>
      </c>
      <c r="BU13" s="239"/>
      <c r="BV13" s="240"/>
      <c r="BW13" s="208">
        <v>0</v>
      </c>
      <c r="BX13" s="209" t="s">
        <v>68</v>
      </c>
      <c r="BY13" s="210" t="s">
        <v>100</v>
      </c>
      <c r="BZ13" s="237">
        <v>4435.2</v>
      </c>
      <c r="CA13" s="238">
        <v>0.25</v>
      </c>
      <c r="CB13" s="830" t="s">
        <v>187</v>
      </c>
      <c r="CC13" s="824"/>
      <c r="CD13" s="238">
        <v>0.2</v>
      </c>
      <c r="CE13" s="213" t="s">
        <v>189</v>
      </c>
      <c r="CF13" s="166">
        <v>44</v>
      </c>
      <c r="CG13" s="167">
        <f t="shared" si="5"/>
        <v>1.0833333333333333</v>
      </c>
      <c r="CH13" s="167">
        <f>IFERROR(((52+12)/(IF(AP13="S",AO13+(IF(H13="S",G13,0))+(IF(Y13="S",X13,0)),0)))/12,0)</f>
        <v>0.88888888888888884</v>
      </c>
      <c r="CI13" s="239">
        <v>22</v>
      </c>
      <c r="CJ13" s="239">
        <v>22</v>
      </c>
      <c r="CK13" s="210" t="s">
        <v>68</v>
      </c>
      <c r="CL13" s="239"/>
      <c r="CM13" s="239"/>
      <c r="CN13" s="208">
        <v>0</v>
      </c>
      <c r="CO13" s="209" t="s">
        <v>68</v>
      </c>
      <c r="CP13" s="210" t="s">
        <v>27</v>
      </c>
      <c r="CQ13" s="237">
        <v>1396.01</v>
      </c>
      <c r="CR13" s="238">
        <v>0.25</v>
      </c>
      <c r="CS13" s="830" t="s">
        <v>187</v>
      </c>
      <c r="CT13" s="824"/>
      <c r="CU13" s="238">
        <v>0.2</v>
      </c>
      <c r="CV13" s="213" t="s">
        <v>189</v>
      </c>
      <c r="CW13" s="166">
        <v>44</v>
      </c>
      <c r="CX13" s="167">
        <f t="shared" si="6"/>
        <v>1.0833333333333333</v>
      </c>
      <c r="CY13" s="167">
        <f>IFERROR(((52+12)/(IF(AP13="S",AO13+(IF(H13="S",G13,0))+(IF(Y13="S",X13,0)),0)))/12,0)</f>
        <v>0.88888888888888884</v>
      </c>
      <c r="CZ13" s="239">
        <v>22</v>
      </c>
      <c r="DA13" s="239">
        <v>22</v>
      </c>
      <c r="DB13" s="210" t="s">
        <v>68</v>
      </c>
      <c r="DC13" s="239"/>
      <c r="DD13" s="239"/>
      <c r="DE13" s="208">
        <v>0</v>
      </c>
      <c r="DF13" s="209" t="s">
        <v>68</v>
      </c>
      <c r="DG13" s="210" t="s">
        <v>27</v>
      </c>
      <c r="DH13" s="237">
        <v>1396.01</v>
      </c>
      <c r="DI13" s="238">
        <v>0.25</v>
      </c>
      <c r="DJ13" s="830" t="s">
        <v>187</v>
      </c>
      <c r="DK13" s="824"/>
      <c r="DL13" s="238">
        <v>0.2</v>
      </c>
      <c r="DM13" s="213" t="s">
        <v>189</v>
      </c>
      <c r="DN13" s="166">
        <v>44</v>
      </c>
      <c r="DO13" s="167">
        <f t="shared" si="7"/>
        <v>1.0833333333333333</v>
      </c>
      <c r="DP13" s="167">
        <f>IFERROR(((52+12)/(IF(AP13="S",AO13+(IF(H13="S",G13,0))+(IF(Y13="S",X13,0)),0)))/12,0)</f>
        <v>0.88888888888888884</v>
      </c>
      <c r="DQ13" s="239">
        <v>22</v>
      </c>
      <c r="DR13" s="239">
        <v>22</v>
      </c>
      <c r="DS13" s="210" t="s">
        <v>68</v>
      </c>
      <c r="DT13" s="239"/>
      <c r="DU13" s="239"/>
      <c r="DV13" s="208">
        <v>0</v>
      </c>
      <c r="DW13" s="209" t="s">
        <v>182</v>
      </c>
      <c r="DX13" s="210" t="s">
        <v>44</v>
      </c>
      <c r="DY13" s="237">
        <v>4128.0200000000004</v>
      </c>
      <c r="DZ13" s="238">
        <v>0.25</v>
      </c>
      <c r="EA13" s="830" t="s">
        <v>187</v>
      </c>
      <c r="EB13" s="824"/>
      <c r="EC13" s="238">
        <v>0.2</v>
      </c>
      <c r="ED13" s="213" t="s">
        <v>189</v>
      </c>
      <c r="EE13" s="166">
        <v>44</v>
      </c>
      <c r="EF13" s="167">
        <f t="shared" si="8"/>
        <v>0</v>
      </c>
      <c r="EG13" s="167">
        <f>IFERROR(((52+12)/(IF(AP13="S",AO13+(IF(H13="S",G13,0))+(IF(Y13="S",X13,0)),0)))/12,0)</f>
        <v>0.88888888888888884</v>
      </c>
      <c r="EH13" s="239">
        <v>22</v>
      </c>
      <c r="EI13" s="239">
        <v>22</v>
      </c>
      <c r="EJ13" s="210" t="s">
        <v>68</v>
      </c>
      <c r="EK13" s="239"/>
      <c r="EL13" s="239"/>
      <c r="EM13" s="208">
        <v>0</v>
      </c>
      <c r="EN13" s="209" t="s">
        <v>182</v>
      </c>
      <c r="EO13" s="210" t="s">
        <v>44</v>
      </c>
      <c r="EP13" s="237">
        <v>4128.0200000000004</v>
      </c>
      <c r="EQ13" s="238">
        <v>0.25</v>
      </c>
      <c r="ER13" s="830" t="s">
        <v>187</v>
      </c>
      <c r="ES13" s="824"/>
      <c r="ET13" s="238">
        <v>0.2</v>
      </c>
      <c r="EU13" s="213" t="s">
        <v>189</v>
      </c>
      <c r="EV13" s="166">
        <v>44</v>
      </c>
      <c r="EW13" s="167">
        <f t="shared" si="9"/>
        <v>0</v>
      </c>
      <c r="EX13" s="167">
        <f>IFERROR(((52+12)/(IF(AP13="S",AO13+(IF(H13="S",G13,0))+(IF(Y13="S",X13,0)),0)))/12,0)</f>
        <v>0.88888888888888884</v>
      </c>
      <c r="EY13" s="239">
        <v>22</v>
      </c>
      <c r="EZ13" s="239">
        <v>22</v>
      </c>
      <c r="FA13" s="210" t="s">
        <v>68</v>
      </c>
      <c r="FB13" s="239"/>
      <c r="FC13" s="239"/>
      <c r="FD13" s="208">
        <v>0</v>
      </c>
      <c r="FE13" s="209" t="s">
        <v>182</v>
      </c>
      <c r="FF13" s="210" t="s">
        <v>55</v>
      </c>
      <c r="FG13" s="237">
        <v>1741.45</v>
      </c>
      <c r="FH13" s="238">
        <v>0.25</v>
      </c>
      <c r="FI13" s="830" t="s">
        <v>187</v>
      </c>
      <c r="FJ13" s="824"/>
      <c r="FK13" s="238">
        <v>0.2</v>
      </c>
      <c r="FL13" s="213" t="s">
        <v>188</v>
      </c>
      <c r="FM13" s="166">
        <v>44</v>
      </c>
      <c r="FN13" s="167">
        <f t="shared" si="10"/>
        <v>0</v>
      </c>
      <c r="FO13" s="167">
        <f>IFERROR(((52+12)/(IF(AP13="S",AO13+(IF(H13="S",G13,0))+(IF(Y13="S",X13,0)),0)))/12,0)</f>
        <v>0.88888888888888884</v>
      </c>
      <c r="FP13" s="239">
        <v>25</v>
      </c>
      <c r="FQ13" s="239"/>
      <c r="FR13" s="210" t="s">
        <v>68</v>
      </c>
      <c r="FS13" s="239"/>
      <c r="FT13" s="239"/>
      <c r="FU13" s="208">
        <v>0</v>
      </c>
      <c r="FV13" s="209" t="s">
        <v>182</v>
      </c>
      <c r="FW13" s="218" t="s">
        <v>100</v>
      </c>
      <c r="FX13" s="237">
        <v>0</v>
      </c>
      <c r="FY13" s="238">
        <v>0.25</v>
      </c>
      <c r="FZ13" s="830" t="s">
        <v>187</v>
      </c>
      <c r="GA13" s="824"/>
      <c r="GB13" s="238">
        <v>0.2</v>
      </c>
      <c r="GC13" s="222" t="s">
        <v>189</v>
      </c>
      <c r="GD13" s="166">
        <v>44</v>
      </c>
      <c r="GE13" s="167">
        <f t="shared" si="11"/>
        <v>0</v>
      </c>
      <c r="GF13" s="167">
        <f>IFERROR(((52+12)/(IF(AP13="S",AO13+(IF(H13="S",G13,0))+(IF(Y13="S",X13,0)),0)))/12,0)</f>
        <v>0.88888888888888884</v>
      </c>
      <c r="GG13" s="241">
        <v>0</v>
      </c>
      <c r="GH13" s="239">
        <v>0</v>
      </c>
      <c r="GI13" s="210" t="s">
        <v>68</v>
      </c>
      <c r="GJ13" s="239"/>
      <c r="GK13" s="239"/>
      <c r="GL13" s="208">
        <v>0</v>
      </c>
      <c r="GM13" s="209" t="s">
        <v>182</v>
      </c>
      <c r="GN13" s="218" t="s">
        <v>27</v>
      </c>
      <c r="GO13" s="237">
        <v>0</v>
      </c>
      <c r="GP13" s="238">
        <v>0.25</v>
      </c>
      <c r="GQ13" s="830" t="s">
        <v>187</v>
      </c>
      <c r="GR13" s="824"/>
      <c r="GS13" s="238">
        <v>0.2</v>
      </c>
      <c r="GT13" s="222" t="s">
        <v>189</v>
      </c>
      <c r="GU13" s="166">
        <v>44</v>
      </c>
      <c r="GV13" s="167">
        <f t="shared" si="22"/>
        <v>0</v>
      </c>
      <c r="GW13" s="167">
        <f>IFERROR(((52+12)/(IF(AP13="S",AO13+(IF(H13="S",G13,0))+(IF(Y13="S",X13,0)),0)))/12,0)</f>
        <v>0.88888888888888884</v>
      </c>
      <c r="GX13" s="241">
        <v>0</v>
      </c>
      <c r="GY13" s="239">
        <v>0</v>
      </c>
      <c r="GZ13" s="210" t="s">
        <v>68</v>
      </c>
      <c r="HA13" s="239"/>
      <c r="HB13" s="239"/>
      <c r="HC13" s="172">
        <f t="shared" si="13"/>
        <v>6</v>
      </c>
      <c r="HD13" s="242"/>
      <c r="HE13" s="242"/>
      <c r="HF13" s="242"/>
      <c r="HG13" s="242"/>
      <c r="HH13" s="242"/>
      <c r="HI13" s="242"/>
      <c r="HJ13" s="242"/>
      <c r="HK13" s="242"/>
      <c r="HL13" s="242"/>
      <c r="HM13" s="242"/>
      <c r="HN13" s="174">
        <f t="shared" si="14"/>
        <v>6</v>
      </c>
    </row>
    <row r="14" spans="1:222" ht="22.5" customHeight="1">
      <c r="A14" s="125"/>
      <c r="B14" s="175">
        <v>158505</v>
      </c>
      <c r="C14" s="175" t="s">
        <v>195</v>
      </c>
      <c r="D14" s="176" t="s">
        <v>196</v>
      </c>
      <c r="E14" s="177">
        <v>4.9000000000000004</v>
      </c>
      <c r="F14" s="178">
        <v>2</v>
      </c>
      <c r="G14" s="179">
        <v>1</v>
      </c>
      <c r="H14" s="179" t="s">
        <v>182</v>
      </c>
      <c r="I14" s="180" t="s">
        <v>82</v>
      </c>
      <c r="J14" s="243">
        <v>1305.56</v>
      </c>
      <c r="K14" s="224">
        <v>0.25</v>
      </c>
      <c r="L14" s="828" t="s">
        <v>191</v>
      </c>
      <c r="M14" s="824"/>
      <c r="N14" s="224">
        <v>0.2</v>
      </c>
      <c r="O14" s="244" t="s">
        <v>188</v>
      </c>
      <c r="P14" s="136">
        <v>44</v>
      </c>
      <c r="Q14" s="137">
        <f t="shared" si="23"/>
        <v>0</v>
      </c>
      <c r="R14" s="137">
        <f t="shared" si="24"/>
        <v>0</v>
      </c>
      <c r="S14" s="226">
        <v>25</v>
      </c>
      <c r="T14" s="226">
        <v>25</v>
      </c>
      <c r="U14" s="245" t="s">
        <v>182</v>
      </c>
      <c r="V14" s="227">
        <v>1</v>
      </c>
      <c r="W14" s="188">
        <v>1</v>
      </c>
      <c r="X14" s="189">
        <v>0</v>
      </c>
      <c r="Y14" s="190" t="s">
        <v>182</v>
      </c>
      <c r="Z14" s="191" t="s">
        <v>82</v>
      </c>
      <c r="AA14" s="246">
        <v>1305.56</v>
      </c>
      <c r="AB14" s="229">
        <v>0.25</v>
      </c>
      <c r="AC14" s="829" t="s">
        <v>187</v>
      </c>
      <c r="AD14" s="824"/>
      <c r="AE14" s="230">
        <v>0.2</v>
      </c>
      <c r="AF14" s="146" t="s">
        <v>188</v>
      </c>
      <c r="AG14" s="147">
        <v>44</v>
      </c>
      <c r="AH14" s="149">
        <f t="shared" si="25"/>
        <v>0</v>
      </c>
      <c r="AI14" s="149">
        <f t="shared" si="26"/>
        <v>0</v>
      </c>
      <c r="AJ14" s="231">
        <v>25</v>
      </c>
      <c r="AK14" s="231">
        <v>25</v>
      </c>
      <c r="AL14" s="247" t="s">
        <v>182</v>
      </c>
      <c r="AM14" s="231">
        <v>1</v>
      </c>
      <c r="AN14" s="231">
        <v>1</v>
      </c>
      <c r="AO14" s="198">
        <v>1</v>
      </c>
      <c r="AP14" s="248" t="s">
        <v>182</v>
      </c>
      <c r="AQ14" s="200" t="s">
        <v>82</v>
      </c>
      <c r="AR14" s="233">
        <v>1305.56</v>
      </c>
      <c r="AS14" s="249">
        <v>0.25</v>
      </c>
      <c r="AT14" s="823" t="s">
        <v>191</v>
      </c>
      <c r="AU14" s="824"/>
      <c r="AV14" s="234">
        <v>0.2</v>
      </c>
      <c r="AW14" s="156" t="s">
        <v>188</v>
      </c>
      <c r="AX14" s="136">
        <v>44</v>
      </c>
      <c r="AY14" s="157">
        <f t="shared" si="27"/>
        <v>0</v>
      </c>
      <c r="AZ14" s="157">
        <f t="shared" si="28"/>
        <v>0</v>
      </c>
      <c r="BA14" s="235">
        <v>25</v>
      </c>
      <c r="BB14" s="235">
        <v>25</v>
      </c>
      <c r="BC14" s="158" t="s">
        <v>182</v>
      </c>
      <c r="BD14" s="250">
        <v>1</v>
      </c>
      <c r="BE14" s="250">
        <v>1</v>
      </c>
      <c r="BF14" s="208">
        <v>0</v>
      </c>
      <c r="BG14" s="209" t="s">
        <v>68</v>
      </c>
      <c r="BH14" s="162" t="s">
        <v>27</v>
      </c>
      <c r="BI14" s="237">
        <v>4435.2</v>
      </c>
      <c r="BJ14" s="238">
        <v>0.25</v>
      </c>
      <c r="BK14" s="830" t="s">
        <v>187</v>
      </c>
      <c r="BL14" s="824"/>
      <c r="BM14" s="238">
        <v>0.2</v>
      </c>
      <c r="BN14" s="165" t="s">
        <v>189</v>
      </c>
      <c r="BO14" s="166">
        <v>44</v>
      </c>
      <c r="BP14" s="167">
        <f t="shared" si="3"/>
        <v>0</v>
      </c>
      <c r="BQ14" s="167">
        <f t="shared" ref="BQ14:BQ21" si="29">IFERROR(((52+12)/(IF(BG14="S",BF14+(IF(Y14="S",X14,0))+(IF(AS14="S",AR14,0)),0)))/12,0)</f>
        <v>0</v>
      </c>
      <c r="BR14" s="239">
        <v>22</v>
      </c>
      <c r="BS14" s="239">
        <v>22</v>
      </c>
      <c r="BT14" s="162" t="s">
        <v>68</v>
      </c>
      <c r="BU14" s="239"/>
      <c r="BV14" s="240"/>
      <c r="BW14" s="208">
        <v>0</v>
      </c>
      <c r="BX14" s="209" t="s">
        <v>68</v>
      </c>
      <c r="BY14" s="162" t="s">
        <v>27</v>
      </c>
      <c r="BZ14" s="237">
        <v>4435.2</v>
      </c>
      <c r="CA14" s="238">
        <v>0.25</v>
      </c>
      <c r="CB14" s="830" t="s">
        <v>187</v>
      </c>
      <c r="CC14" s="824"/>
      <c r="CD14" s="238">
        <v>0.2</v>
      </c>
      <c r="CE14" s="165" t="s">
        <v>189</v>
      </c>
      <c r="CF14" s="166">
        <v>44</v>
      </c>
      <c r="CG14" s="167">
        <f t="shared" si="5"/>
        <v>0</v>
      </c>
      <c r="CH14" s="167">
        <f t="shared" ref="CH14:CH21" si="30">IFERROR(((52+12)/(IF(BX14="S",BW14+(IF(Y14="S",X14,0))+(IF(AS14="S",AR14,0)),0)))/12,0)</f>
        <v>0</v>
      </c>
      <c r="CI14" s="239">
        <v>22</v>
      </c>
      <c r="CJ14" s="239">
        <v>22</v>
      </c>
      <c r="CK14" s="162" t="s">
        <v>68</v>
      </c>
      <c r="CL14" s="239"/>
      <c r="CM14" s="239"/>
      <c r="CN14" s="208">
        <v>0</v>
      </c>
      <c r="CO14" s="209" t="s">
        <v>68</v>
      </c>
      <c r="CP14" s="162" t="s">
        <v>27</v>
      </c>
      <c r="CQ14" s="237">
        <v>1396.01</v>
      </c>
      <c r="CR14" s="238">
        <v>0.25</v>
      </c>
      <c r="CS14" s="830" t="s">
        <v>187</v>
      </c>
      <c r="CT14" s="824"/>
      <c r="CU14" s="238">
        <v>0.2</v>
      </c>
      <c r="CV14" s="165" t="s">
        <v>189</v>
      </c>
      <c r="CW14" s="166">
        <v>44</v>
      </c>
      <c r="CX14" s="167">
        <f t="shared" si="6"/>
        <v>0</v>
      </c>
      <c r="CY14" s="167">
        <f t="shared" ref="CY14:CY21" si="31">IFERROR(((52+12)/(IF(CO14="S",CN14+(IF(Y14="S",X14,0))+(IF(AS14="S",AR14,0)),0)))/12,0)</f>
        <v>0</v>
      </c>
      <c r="CZ14" s="239">
        <v>22</v>
      </c>
      <c r="DA14" s="239">
        <v>22</v>
      </c>
      <c r="DB14" s="162" t="s">
        <v>68</v>
      </c>
      <c r="DC14" s="239"/>
      <c r="DD14" s="239"/>
      <c r="DE14" s="208">
        <v>0</v>
      </c>
      <c r="DF14" s="209" t="s">
        <v>68</v>
      </c>
      <c r="DG14" s="162" t="s">
        <v>27</v>
      </c>
      <c r="DH14" s="237">
        <v>1396.01</v>
      </c>
      <c r="DI14" s="238">
        <v>0.25</v>
      </c>
      <c r="DJ14" s="830" t="s">
        <v>187</v>
      </c>
      <c r="DK14" s="824"/>
      <c r="DL14" s="238">
        <v>0.2</v>
      </c>
      <c r="DM14" s="165" t="s">
        <v>189</v>
      </c>
      <c r="DN14" s="166">
        <v>44</v>
      </c>
      <c r="DO14" s="167">
        <f t="shared" si="7"/>
        <v>0</v>
      </c>
      <c r="DP14" s="167">
        <f t="shared" ref="DP14:DP21" si="32">IFERROR(((52+12)/(IF(DF14="S",DE14+(IF(Y14="S",X14,0))+(IF(AS14="S",AR14,0)),0)))/12,0)</f>
        <v>0</v>
      </c>
      <c r="DQ14" s="239">
        <v>22</v>
      </c>
      <c r="DR14" s="239">
        <v>22</v>
      </c>
      <c r="DS14" s="162" t="s">
        <v>68</v>
      </c>
      <c r="DT14" s="239"/>
      <c r="DU14" s="239"/>
      <c r="DV14" s="208">
        <v>0</v>
      </c>
      <c r="DW14" s="209" t="s">
        <v>182</v>
      </c>
      <c r="DX14" s="162" t="s">
        <v>44</v>
      </c>
      <c r="DY14" s="237">
        <v>4128.0200000000004</v>
      </c>
      <c r="DZ14" s="238">
        <v>0.25</v>
      </c>
      <c r="EA14" s="830" t="s">
        <v>187</v>
      </c>
      <c r="EB14" s="824"/>
      <c r="EC14" s="238">
        <v>0.2</v>
      </c>
      <c r="ED14" s="165" t="s">
        <v>189</v>
      </c>
      <c r="EE14" s="166">
        <v>44</v>
      </c>
      <c r="EF14" s="167">
        <f t="shared" si="8"/>
        <v>0</v>
      </c>
      <c r="EG14" s="167">
        <f t="shared" ref="EG14:EG21" si="33">IFERROR(((52+12)/(IF(DW14="S",DV14+(IF(Y14="S",X14,0))+(IF(AS14="S",AR14,0)),0)))/12,0)</f>
        <v>0</v>
      </c>
      <c r="EH14" s="239">
        <v>22</v>
      </c>
      <c r="EI14" s="239">
        <v>22</v>
      </c>
      <c r="EJ14" s="162" t="s">
        <v>68</v>
      </c>
      <c r="EK14" s="239"/>
      <c r="EL14" s="239"/>
      <c r="EM14" s="208">
        <v>0</v>
      </c>
      <c r="EN14" s="209" t="s">
        <v>182</v>
      </c>
      <c r="EO14" s="162" t="s">
        <v>44</v>
      </c>
      <c r="EP14" s="237">
        <v>4128.0200000000004</v>
      </c>
      <c r="EQ14" s="238">
        <v>0.25</v>
      </c>
      <c r="ER14" s="830" t="s">
        <v>187</v>
      </c>
      <c r="ES14" s="824"/>
      <c r="ET14" s="238">
        <v>0.2</v>
      </c>
      <c r="EU14" s="165" t="s">
        <v>189</v>
      </c>
      <c r="EV14" s="166">
        <v>44</v>
      </c>
      <c r="EW14" s="167">
        <f t="shared" si="9"/>
        <v>0</v>
      </c>
      <c r="EX14" s="167">
        <f t="shared" ref="EX14:EX21" si="34">IFERROR(((52+12)/(IF(EN14="S",EM14+(IF(Y14="S",X14,0))+(IF(AS14="S",AR14,0)),0)))/12,0)</f>
        <v>0</v>
      </c>
      <c r="EY14" s="239">
        <v>22</v>
      </c>
      <c r="EZ14" s="239">
        <v>22</v>
      </c>
      <c r="FA14" s="162" t="s">
        <v>68</v>
      </c>
      <c r="FB14" s="239"/>
      <c r="FC14" s="239"/>
      <c r="FD14" s="208">
        <v>0</v>
      </c>
      <c r="FE14" s="209" t="s">
        <v>182</v>
      </c>
      <c r="FF14" s="162" t="s">
        <v>55</v>
      </c>
      <c r="FG14" s="237">
        <v>1741.45</v>
      </c>
      <c r="FH14" s="238">
        <v>0.25</v>
      </c>
      <c r="FI14" s="830" t="s">
        <v>187</v>
      </c>
      <c r="FJ14" s="824"/>
      <c r="FK14" s="238">
        <v>0.2</v>
      </c>
      <c r="FL14" s="165" t="s">
        <v>188</v>
      </c>
      <c r="FM14" s="166">
        <v>44</v>
      </c>
      <c r="FN14" s="167">
        <f t="shared" si="10"/>
        <v>0</v>
      </c>
      <c r="FO14" s="167">
        <f t="shared" ref="FO14:FO21" si="35">IFERROR(((52+12)/(IF(FE14="S",FD14+(IF(Y14="S",X14,0))+(IF(AS14="S",AR14,0)),0)))/12,0)</f>
        <v>0</v>
      </c>
      <c r="FP14" s="239">
        <v>9</v>
      </c>
      <c r="FQ14" s="239"/>
      <c r="FR14" s="162" t="s">
        <v>68</v>
      </c>
      <c r="FS14" s="239"/>
      <c r="FT14" s="239"/>
      <c r="FU14" s="208">
        <v>0</v>
      </c>
      <c r="FV14" s="209" t="s">
        <v>182</v>
      </c>
      <c r="FW14" s="170" t="s">
        <v>27</v>
      </c>
      <c r="FX14" s="237">
        <v>0</v>
      </c>
      <c r="FY14" s="238">
        <v>0.25</v>
      </c>
      <c r="FZ14" s="830" t="s">
        <v>187</v>
      </c>
      <c r="GA14" s="824"/>
      <c r="GB14" s="238">
        <v>0.2</v>
      </c>
      <c r="GC14" s="171" t="s">
        <v>189</v>
      </c>
      <c r="GD14" s="166">
        <v>44</v>
      </c>
      <c r="GE14" s="167">
        <f t="shared" si="11"/>
        <v>0</v>
      </c>
      <c r="GF14" s="167">
        <f t="shared" ref="GF14:GF21" si="36">IFERROR(((52+12)/(IF(FV14="S",FU14+(IF(Y14="S",X14,0))+(IF(AS14="S",AR14,0)),0)))/12,0)</f>
        <v>0</v>
      </c>
      <c r="GG14" s="241">
        <v>0</v>
      </c>
      <c r="GH14" s="239"/>
      <c r="GI14" s="162" t="s">
        <v>68</v>
      </c>
      <c r="GJ14" s="239"/>
      <c r="GK14" s="239"/>
      <c r="GL14" s="208">
        <v>0</v>
      </c>
      <c r="GM14" s="209" t="s">
        <v>182</v>
      </c>
      <c r="GN14" s="170" t="s">
        <v>27</v>
      </c>
      <c r="GO14" s="237">
        <v>0</v>
      </c>
      <c r="GP14" s="238">
        <v>0.25</v>
      </c>
      <c r="GQ14" s="830" t="s">
        <v>187</v>
      </c>
      <c r="GR14" s="824"/>
      <c r="GS14" s="238">
        <v>0.2</v>
      </c>
      <c r="GT14" s="171" t="s">
        <v>189</v>
      </c>
      <c r="GU14" s="166">
        <v>44</v>
      </c>
      <c r="GV14" s="167">
        <f t="shared" si="22"/>
        <v>0</v>
      </c>
      <c r="GW14" s="167">
        <f t="shared" ref="GW14:GW21" si="37">IFERROR(((52+12)/(IF(GM14="S",GL14+(IF(Y14="S",X14,0))+(IF(AS14="S",AR14,0)),0)))/12,0)</f>
        <v>0</v>
      </c>
      <c r="GX14" s="241">
        <v>0</v>
      </c>
      <c r="GY14" s="239"/>
      <c r="GZ14" s="162" t="s">
        <v>68</v>
      </c>
      <c r="HA14" s="239"/>
      <c r="HB14" s="239"/>
      <c r="HC14" s="172">
        <f t="shared" si="13"/>
        <v>2</v>
      </c>
      <c r="HD14" s="173"/>
      <c r="HE14" s="173"/>
      <c r="HF14" s="173"/>
      <c r="HG14" s="173"/>
      <c r="HH14" s="173"/>
      <c r="HI14" s="173"/>
      <c r="HJ14" s="173"/>
      <c r="HK14" s="173"/>
      <c r="HL14" s="173"/>
      <c r="HM14" s="173"/>
      <c r="HN14" s="174">
        <f t="shared" si="14"/>
        <v>2</v>
      </c>
    </row>
    <row r="15" spans="1:222" ht="22.5" customHeight="1">
      <c r="A15" s="1"/>
      <c r="B15" s="175">
        <v>158127</v>
      </c>
      <c r="C15" s="175" t="s">
        <v>197</v>
      </c>
      <c r="D15" s="176" t="s">
        <v>54</v>
      </c>
      <c r="E15" s="178">
        <v>4.2</v>
      </c>
      <c r="F15" s="178">
        <v>4</v>
      </c>
      <c r="G15" s="179">
        <v>0</v>
      </c>
      <c r="H15" s="179" t="s">
        <v>68</v>
      </c>
      <c r="I15" s="186" t="s">
        <v>55</v>
      </c>
      <c r="J15" s="251">
        <v>1005</v>
      </c>
      <c r="K15" s="182">
        <v>0.25</v>
      </c>
      <c r="L15" s="828" t="s">
        <v>187</v>
      </c>
      <c r="M15" s="824"/>
      <c r="N15" s="182">
        <v>0.2</v>
      </c>
      <c r="O15" s="183" t="s">
        <v>188</v>
      </c>
      <c r="P15" s="136">
        <v>44</v>
      </c>
      <c r="Q15" s="184">
        <f t="shared" si="23"/>
        <v>0</v>
      </c>
      <c r="R15" s="184">
        <f t="shared" si="24"/>
        <v>0</v>
      </c>
      <c r="S15" s="185">
        <v>25</v>
      </c>
      <c r="T15" s="185">
        <v>25</v>
      </c>
      <c r="U15" s="186" t="s">
        <v>182</v>
      </c>
      <c r="V15" s="187">
        <v>1</v>
      </c>
      <c r="W15" s="188">
        <v>1</v>
      </c>
      <c r="X15" s="189">
        <v>0</v>
      </c>
      <c r="Y15" s="190" t="s">
        <v>68</v>
      </c>
      <c r="Z15" s="197" t="s">
        <v>27</v>
      </c>
      <c r="AA15" s="252">
        <v>1717.39</v>
      </c>
      <c r="AB15" s="193">
        <v>0.25</v>
      </c>
      <c r="AC15" s="829" t="s">
        <v>187</v>
      </c>
      <c r="AD15" s="824"/>
      <c r="AE15" s="194">
        <v>0.2</v>
      </c>
      <c r="AF15" s="195" t="s">
        <v>188</v>
      </c>
      <c r="AG15" s="147">
        <v>44</v>
      </c>
      <c r="AH15" s="148">
        <f t="shared" si="25"/>
        <v>0</v>
      </c>
      <c r="AI15" s="148">
        <f t="shared" si="26"/>
        <v>0</v>
      </c>
      <c r="AJ15" s="196">
        <v>25</v>
      </c>
      <c r="AK15" s="196">
        <v>25</v>
      </c>
      <c r="AL15" s="197" t="s">
        <v>182</v>
      </c>
      <c r="AM15" s="196">
        <v>1</v>
      </c>
      <c r="AN15" s="196">
        <v>1</v>
      </c>
      <c r="AO15" s="198">
        <v>0</v>
      </c>
      <c r="AP15" s="199" t="s">
        <v>68</v>
      </c>
      <c r="AQ15" s="206" t="s">
        <v>55</v>
      </c>
      <c r="AR15" s="253">
        <v>1741.45</v>
      </c>
      <c r="AS15" s="202">
        <v>0.25</v>
      </c>
      <c r="AT15" s="823" t="s">
        <v>187</v>
      </c>
      <c r="AU15" s="824"/>
      <c r="AV15" s="202">
        <v>0.2</v>
      </c>
      <c r="AW15" s="203" t="s">
        <v>188</v>
      </c>
      <c r="AX15" s="136">
        <v>44</v>
      </c>
      <c r="AY15" s="204">
        <f t="shared" si="27"/>
        <v>0</v>
      </c>
      <c r="AZ15" s="204">
        <f t="shared" si="28"/>
        <v>0</v>
      </c>
      <c r="BA15" s="205">
        <v>25</v>
      </c>
      <c r="BB15" s="205">
        <v>25</v>
      </c>
      <c r="BC15" s="206" t="s">
        <v>182</v>
      </c>
      <c r="BD15" s="207">
        <v>1</v>
      </c>
      <c r="BE15" s="207">
        <v>1</v>
      </c>
      <c r="BF15" s="208">
        <v>0</v>
      </c>
      <c r="BG15" s="209" t="s">
        <v>68</v>
      </c>
      <c r="BH15" s="210" t="s">
        <v>27</v>
      </c>
      <c r="BI15" s="217">
        <v>4435.2</v>
      </c>
      <c r="BJ15" s="212">
        <v>0.25</v>
      </c>
      <c r="BK15" s="830" t="s">
        <v>187</v>
      </c>
      <c r="BL15" s="824"/>
      <c r="BM15" s="212">
        <v>0.2</v>
      </c>
      <c r="BN15" s="213" t="s">
        <v>189</v>
      </c>
      <c r="BO15" s="166">
        <v>44</v>
      </c>
      <c r="BP15" s="214">
        <f t="shared" si="3"/>
        <v>0</v>
      </c>
      <c r="BQ15" s="214">
        <f t="shared" si="29"/>
        <v>0</v>
      </c>
      <c r="BR15" s="215">
        <v>22</v>
      </c>
      <c r="BS15" s="215">
        <v>22</v>
      </c>
      <c r="BT15" s="210" t="s">
        <v>68</v>
      </c>
      <c r="BU15" s="215"/>
      <c r="BV15" s="216"/>
      <c r="BW15" s="208">
        <v>0</v>
      </c>
      <c r="BX15" s="209" t="s">
        <v>68</v>
      </c>
      <c r="BY15" s="210" t="s">
        <v>27</v>
      </c>
      <c r="BZ15" s="217">
        <v>4435.2</v>
      </c>
      <c r="CA15" s="212">
        <v>0.25</v>
      </c>
      <c r="CB15" s="830" t="s">
        <v>187</v>
      </c>
      <c r="CC15" s="824"/>
      <c r="CD15" s="212">
        <v>0.2</v>
      </c>
      <c r="CE15" s="213" t="s">
        <v>189</v>
      </c>
      <c r="CF15" s="166">
        <v>44</v>
      </c>
      <c r="CG15" s="214">
        <f t="shared" si="5"/>
        <v>0</v>
      </c>
      <c r="CH15" s="214">
        <f t="shared" si="30"/>
        <v>0</v>
      </c>
      <c r="CI15" s="215">
        <v>22</v>
      </c>
      <c r="CJ15" s="215">
        <v>22</v>
      </c>
      <c r="CK15" s="210" t="s">
        <v>68</v>
      </c>
      <c r="CL15" s="215"/>
      <c r="CM15" s="215"/>
      <c r="CN15" s="208">
        <v>0</v>
      </c>
      <c r="CO15" s="209" t="s">
        <v>68</v>
      </c>
      <c r="CP15" s="210" t="s">
        <v>27</v>
      </c>
      <c r="CQ15" s="217">
        <v>1396.01</v>
      </c>
      <c r="CR15" s="212">
        <v>0.25</v>
      </c>
      <c r="CS15" s="830" t="s">
        <v>187</v>
      </c>
      <c r="CT15" s="824"/>
      <c r="CU15" s="212">
        <v>0.2</v>
      </c>
      <c r="CV15" s="213" t="s">
        <v>189</v>
      </c>
      <c r="CW15" s="166">
        <v>44</v>
      </c>
      <c r="CX15" s="214">
        <f t="shared" si="6"/>
        <v>0</v>
      </c>
      <c r="CY15" s="214">
        <f t="shared" si="31"/>
        <v>0</v>
      </c>
      <c r="CZ15" s="215">
        <v>22</v>
      </c>
      <c r="DA15" s="215">
        <v>22</v>
      </c>
      <c r="DB15" s="210" t="s">
        <v>68</v>
      </c>
      <c r="DC15" s="215"/>
      <c r="DD15" s="215"/>
      <c r="DE15" s="208">
        <v>0</v>
      </c>
      <c r="DF15" s="209" t="s">
        <v>68</v>
      </c>
      <c r="DG15" s="210" t="s">
        <v>27</v>
      </c>
      <c r="DH15" s="217">
        <v>1396.01</v>
      </c>
      <c r="DI15" s="212">
        <v>0.25</v>
      </c>
      <c r="DJ15" s="830" t="s">
        <v>187</v>
      </c>
      <c r="DK15" s="824"/>
      <c r="DL15" s="212">
        <v>0.2</v>
      </c>
      <c r="DM15" s="213" t="s">
        <v>189</v>
      </c>
      <c r="DN15" s="166">
        <v>44</v>
      </c>
      <c r="DO15" s="214">
        <f t="shared" si="7"/>
        <v>0</v>
      </c>
      <c r="DP15" s="214">
        <f t="shared" si="32"/>
        <v>0</v>
      </c>
      <c r="DQ15" s="215">
        <v>22</v>
      </c>
      <c r="DR15" s="215">
        <v>22</v>
      </c>
      <c r="DS15" s="210" t="s">
        <v>68</v>
      </c>
      <c r="DT15" s="215"/>
      <c r="DU15" s="215"/>
      <c r="DV15" s="208">
        <v>0</v>
      </c>
      <c r="DW15" s="209" t="s">
        <v>182</v>
      </c>
      <c r="DX15" s="210" t="s">
        <v>44</v>
      </c>
      <c r="DY15" s="217">
        <v>4128.0200000000004</v>
      </c>
      <c r="DZ15" s="212">
        <v>0.25</v>
      </c>
      <c r="EA15" s="830" t="s">
        <v>187</v>
      </c>
      <c r="EB15" s="824"/>
      <c r="EC15" s="212">
        <v>0.2</v>
      </c>
      <c r="ED15" s="213" t="s">
        <v>189</v>
      </c>
      <c r="EE15" s="166">
        <v>44</v>
      </c>
      <c r="EF15" s="214">
        <f t="shared" si="8"/>
        <v>0</v>
      </c>
      <c r="EG15" s="214">
        <f t="shared" si="33"/>
        <v>0</v>
      </c>
      <c r="EH15" s="215">
        <v>22</v>
      </c>
      <c r="EI15" s="215">
        <v>22</v>
      </c>
      <c r="EJ15" s="210" t="s">
        <v>68</v>
      </c>
      <c r="EK15" s="215"/>
      <c r="EL15" s="215"/>
      <c r="EM15" s="208">
        <v>0</v>
      </c>
      <c r="EN15" s="209" t="s">
        <v>182</v>
      </c>
      <c r="EO15" s="210" t="s">
        <v>44</v>
      </c>
      <c r="EP15" s="217">
        <v>4128.0200000000004</v>
      </c>
      <c r="EQ15" s="212">
        <v>0.25</v>
      </c>
      <c r="ER15" s="830" t="s">
        <v>187</v>
      </c>
      <c r="ES15" s="824"/>
      <c r="ET15" s="212">
        <v>0.2</v>
      </c>
      <c r="EU15" s="213" t="s">
        <v>189</v>
      </c>
      <c r="EV15" s="166">
        <v>44</v>
      </c>
      <c r="EW15" s="214">
        <f t="shared" si="9"/>
        <v>0</v>
      </c>
      <c r="EX15" s="214">
        <f t="shared" si="34"/>
        <v>0</v>
      </c>
      <c r="EY15" s="215">
        <v>22</v>
      </c>
      <c r="EZ15" s="215">
        <v>22</v>
      </c>
      <c r="FA15" s="210" t="s">
        <v>68</v>
      </c>
      <c r="FB15" s="215"/>
      <c r="FC15" s="215"/>
      <c r="FD15" s="208">
        <v>0</v>
      </c>
      <c r="FE15" s="209" t="s">
        <v>182</v>
      </c>
      <c r="FF15" s="210" t="s">
        <v>55</v>
      </c>
      <c r="FG15" s="217">
        <v>1741.45</v>
      </c>
      <c r="FH15" s="212">
        <v>0.25</v>
      </c>
      <c r="FI15" s="830" t="s">
        <v>187</v>
      </c>
      <c r="FJ15" s="824"/>
      <c r="FK15" s="212">
        <v>0.2</v>
      </c>
      <c r="FL15" s="213" t="s">
        <v>188</v>
      </c>
      <c r="FM15" s="166">
        <v>44</v>
      </c>
      <c r="FN15" s="214">
        <f t="shared" si="10"/>
        <v>0</v>
      </c>
      <c r="FO15" s="214">
        <f t="shared" si="35"/>
        <v>0</v>
      </c>
      <c r="FP15" s="215">
        <v>9</v>
      </c>
      <c r="FQ15" s="215"/>
      <c r="FR15" s="210" t="s">
        <v>68</v>
      </c>
      <c r="FS15" s="215"/>
      <c r="FT15" s="215"/>
      <c r="FU15" s="208">
        <v>0</v>
      </c>
      <c r="FV15" s="209" t="s">
        <v>182</v>
      </c>
      <c r="FW15" s="218" t="s">
        <v>27</v>
      </c>
      <c r="FX15" s="217">
        <v>0</v>
      </c>
      <c r="FY15" s="212">
        <v>0.25</v>
      </c>
      <c r="FZ15" s="830" t="s">
        <v>187</v>
      </c>
      <c r="GA15" s="824"/>
      <c r="GB15" s="212">
        <v>0.2</v>
      </c>
      <c r="GC15" s="222" t="s">
        <v>189</v>
      </c>
      <c r="GD15" s="166">
        <v>44</v>
      </c>
      <c r="GE15" s="214">
        <f t="shared" si="11"/>
        <v>0</v>
      </c>
      <c r="GF15" s="214">
        <f t="shared" si="36"/>
        <v>0</v>
      </c>
      <c r="GG15" s="219">
        <v>0</v>
      </c>
      <c r="GH15" s="215"/>
      <c r="GI15" s="210" t="s">
        <v>68</v>
      </c>
      <c r="GJ15" s="215"/>
      <c r="GK15" s="215"/>
      <c r="GL15" s="208">
        <v>0</v>
      </c>
      <c r="GM15" s="209" t="s">
        <v>182</v>
      </c>
      <c r="GN15" s="218" t="s">
        <v>27</v>
      </c>
      <c r="GO15" s="217">
        <v>0</v>
      </c>
      <c r="GP15" s="212">
        <v>0.25</v>
      </c>
      <c r="GQ15" s="830" t="s">
        <v>187</v>
      </c>
      <c r="GR15" s="824"/>
      <c r="GS15" s="212">
        <v>0.2</v>
      </c>
      <c r="GT15" s="222" t="s">
        <v>189</v>
      </c>
      <c r="GU15" s="166">
        <v>44</v>
      </c>
      <c r="GV15" s="214">
        <f t="shared" si="22"/>
        <v>0</v>
      </c>
      <c r="GW15" s="214">
        <f t="shared" si="37"/>
        <v>0</v>
      </c>
      <c r="GX15" s="219">
        <v>0</v>
      </c>
      <c r="GY15" s="215"/>
      <c r="GZ15" s="210" t="s">
        <v>68</v>
      </c>
      <c r="HA15" s="215"/>
      <c r="HB15" s="215"/>
      <c r="HC15" s="172">
        <f t="shared" si="13"/>
        <v>0</v>
      </c>
      <c r="HD15" s="70"/>
      <c r="HE15" s="70"/>
      <c r="HF15" s="70"/>
      <c r="HG15" s="70"/>
      <c r="HH15" s="70"/>
      <c r="HI15" s="70"/>
      <c r="HJ15" s="70"/>
      <c r="HK15" s="70"/>
      <c r="HL15" s="70"/>
      <c r="HM15" s="70"/>
      <c r="HN15" s="174">
        <f t="shared" si="14"/>
        <v>0</v>
      </c>
    </row>
    <row r="16" spans="1:222" ht="22.5" customHeight="1">
      <c r="A16" s="1"/>
      <c r="B16" s="175">
        <v>158504</v>
      </c>
      <c r="C16" s="175" t="s">
        <v>198</v>
      </c>
      <c r="D16" s="176" t="s">
        <v>60</v>
      </c>
      <c r="E16" s="178">
        <v>4</v>
      </c>
      <c r="F16" s="178">
        <v>3</v>
      </c>
      <c r="G16" s="179">
        <v>0</v>
      </c>
      <c r="H16" s="179" t="s">
        <v>68</v>
      </c>
      <c r="I16" s="186" t="s">
        <v>55</v>
      </c>
      <c r="J16" s="251">
        <v>1006</v>
      </c>
      <c r="K16" s="182">
        <v>0.25</v>
      </c>
      <c r="L16" s="828" t="s">
        <v>187</v>
      </c>
      <c r="M16" s="824"/>
      <c r="N16" s="182">
        <v>0.2</v>
      </c>
      <c r="O16" s="183" t="s">
        <v>188</v>
      </c>
      <c r="P16" s="136">
        <v>44</v>
      </c>
      <c r="Q16" s="184">
        <f t="shared" si="23"/>
        <v>0</v>
      </c>
      <c r="R16" s="184">
        <f t="shared" si="24"/>
        <v>0</v>
      </c>
      <c r="S16" s="185">
        <v>25</v>
      </c>
      <c r="T16" s="185">
        <v>25</v>
      </c>
      <c r="U16" s="186" t="s">
        <v>182</v>
      </c>
      <c r="V16" s="187">
        <v>1</v>
      </c>
      <c r="W16" s="188">
        <v>1</v>
      </c>
      <c r="X16" s="189">
        <v>0</v>
      </c>
      <c r="Y16" s="190" t="s">
        <v>68</v>
      </c>
      <c r="Z16" s="197" t="s">
        <v>27</v>
      </c>
      <c r="AA16" s="252">
        <v>1717.39</v>
      </c>
      <c r="AB16" s="193">
        <v>0.25</v>
      </c>
      <c r="AC16" s="829" t="s">
        <v>187</v>
      </c>
      <c r="AD16" s="824"/>
      <c r="AE16" s="194">
        <v>0.2</v>
      </c>
      <c r="AF16" s="195" t="s">
        <v>188</v>
      </c>
      <c r="AG16" s="147">
        <v>44</v>
      </c>
      <c r="AH16" s="148">
        <f t="shared" si="25"/>
        <v>0</v>
      </c>
      <c r="AI16" s="148">
        <f t="shared" si="26"/>
        <v>0</v>
      </c>
      <c r="AJ16" s="196">
        <v>25</v>
      </c>
      <c r="AK16" s="196">
        <v>25</v>
      </c>
      <c r="AL16" s="197" t="s">
        <v>182</v>
      </c>
      <c r="AM16" s="196">
        <v>1</v>
      </c>
      <c r="AN16" s="196">
        <v>1</v>
      </c>
      <c r="AO16" s="198">
        <v>0</v>
      </c>
      <c r="AP16" s="199" t="s">
        <v>68</v>
      </c>
      <c r="AQ16" s="206" t="s">
        <v>55</v>
      </c>
      <c r="AR16" s="253">
        <v>1741.45</v>
      </c>
      <c r="AS16" s="202">
        <v>0.25</v>
      </c>
      <c r="AT16" s="823" t="s">
        <v>187</v>
      </c>
      <c r="AU16" s="824"/>
      <c r="AV16" s="202">
        <v>0.2</v>
      </c>
      <c r="AW16" s="203" t="s">
        <v>188</v>
      </c>
      <c r="AX16" s="136">
        <v>44</v>
      </c>
      <c r="AY16" s="204">
        <f t="shared" si="27"/>
        <v>0</v>
      </c>
      <c r="AZ16" s="204">
        <f t="shared" si="28"/>
        <v>0</v>
      </c>
      <c r="BA16" s="205">
        <v>25</v>
      </c>
      <c r="BB16" s="205">
        <v>25</v>
      </c>
      <c r="BC16" s="206" t="s">
        <v>182</v>
      </c>
      <c r="BD16" s="207">
        <v>1</v>
      </c>
      <c r="BE16" s="207">
        <v>1</v>
      </c>
      <c r="BF16" s="208">
        <v>0</v>
      </c>
      <c r="BG16" s="209" t="s">
        <v>68</v>
      </c>
      <c r="BH16" s="210" t="s">
        <v>27</v>
      </c>
      <c r="BI16" s="217">
        <v>4435.2</v>
      </c>
      <c r="BJ16" s="212">
        <v>0.25</v>
      </c>
      <c r="BK16" s="830" t="s">
        <v>187</v>
      </c>
      <c r="BL16" s="824"/>
      <c r="BM16" s="212">
        <v>0.2</v>
      </c>
      <c r="BN16" s="213" t="s">
        <v>189</v>
      </c>
      <c r="BO16" s="166">
        <v>44</v>
      </c>
      <c r="BP16" s="214">
        <f t="shared" si="3"/>
        <v>0</v>
      </c>
      <c r="BQ16" s="214">
        <f t="shared" si="29"/>
        <v>0</v>
      </c>
      <c r="BR16" s="215">
        <v>22</v>
      </c>
      <c r="BS16" s="215">
        <v>22</v>
      </c>
      <c r="BT16" s="210" t="s">
        <v>68</v>
      </c>
      <c r="BU16" s="215"/>
      <c r="BV16" s="216"/>
      <c r="BW16" s="208">
        <v>0</v>
      </c>
      <c r="BX16" s="209" t="s">
        <v>68</v>
      </c>
      <c r="BY16" s="210" t="s">
        <v>27</v>
      </c>
      <c r="BZ16" s="217">
        <v>4435.2</v>
      </c>
      <c r="CA16" s="212">
        <v>0.25</v>
      </c>
      <c r="CB16" s="830" t="s">
        <v>187</v>
      </c>
      <c r="CC16" s="824"/>
      <c r="CD16" s="212">
        <v>0.2</v>
      </c>
      <c r="CE16" s="213" t="s">
        <v>189</v>
      </c>
      <c r="CF16" s="166">
        <v>44</v>
      </c>
      <c r="CG16" s="214">
        <f t="shared" si="5"/>
        <v>0</v>
      </c>
      <c r="CH16" s="214">
        <f t="shared" si="30"/>
        <v>0</v>
      </c>
      <c r="CI16" s="215">
        <v>22</v>
      </c>
      <c r="CJ16" s="215">
        <v>22</v>
      </c>
      <c r="CK16" s="210" t="s">
        <v>68</v>
      </c>
      <c r="CL16" s="215"/>
      <c r="CM16" s="215"/>
      <c r="CN16" s="208">
        <v>0</v>
      </c>
      <c r="CO16" s="209" t="s">
        <v>68</v>
      </c>
      <c r="CP16" s="210" t="s">
        <v>27</v>
      </c>
      <c r="CQ16" s="217">
        <v>1396.01</v>
      </c>
      <c r="CR16" s="212">
        <v>0.25</v>
      </c>
      <c r="CS16" s="830" t="s">
        <v>187</v>
      </c>
      <c r="CT16" s="824"/>
      <c r="CU16" s="212">
        <v>0.2</v>
      </c>
      <c r="CV16" s="213" t="s">
        <v>189</v>
      </c>
      <c r="CW16" s="166">
        <v>44</v>
      </c>
      <c r="CX16" s="214">
        <f t="shared" si="6"/>
        <v>0</v>
      </c>
      <c r="CY16" s="214">
        <f t="shared" si="31"/>
        <v>0</v>
      </c>
      <c r="CZ16" s="215">
        <v>22</v>
      </c>
      <c r="DA16" s="215">
        <v>22</v>
      </c>
      <c r="DB16" s="210" t="s">
        <v>68</v>
      </c>
      <c r="DC16" s="215"/>
      <c r="DD16" s="215"/>
      <c r="DE16" s="208">
        <v>0</v>
      </c>
      <c r="DF16" s="209" t="s">
        <v>68</v>
      </c>
      <c r="DG16" s="210" t="s">
        <v>27</v>
      </c>
      <c r="DH16" s="217">
        <v>1396.01</v>
      </c>
      <c r="DI16" s="212">
        <v>0.25</v>
      </c>
      <c r="DJ16" s="830" t="s">
        <v>187</v>
      </c>
      <c r="DK16" s="824"/>
      <c r="DL16" s="212">
        <v>0.2</v>
      </c>
      <c r="DM16" s="213" t="s">
        <v>189</v>
      </c>
      <c r="DN16" s="166">
        <v>44</v>
      </c>
      <c r="DO16" s="214">
        <f t="shared" si="7"/>
        <v>0</v>
      </c>
      <c r="DP16" s="214">
        <f t="shared" si="32"/>
        <v>0</v>
      </c>
      <c r="DQ16" s="215">
        <v>22</v>
      </c>
      <c r="DR16" s="215">
        <v>22</v>
      </c>
      <c r="DS16" s="210" t="s">
        <v>68</v>
      </c>
      <c r="DT16" s="215"/>
      <c r="DU16" s="215"/>
      <c r="DV16" s="208">
        <v>0</v>
      </c>
      <c r="DW16" s="209" t="s">
        <v>182</v>
      </c>
      <c r="DX16" s="210" t="s">
        <v>44</v>
      </c>
      <c r="DY16" s="217">
        <v>4128.0200000000004</v>
      </c>
      <c r="DZ16" s="212">
        <v>0.25</v>
      </c>
      <c r="EA16" s="830" t="s">
        <v>187</v>
      </c>
      <c r="EB16" s="824"/>
      <c r="EC16" s="212">
        <v>0.2</v>
      </c>
      <c r="ED16" s="213" t="s">
        <v>189</v>
      </c>
      <c r="EE16" s="166">
        <v>44</v>
      </c>
      <c r="EF16" s="214">
        <f t="shared" si="8"/>
        <v>0</v>
      </c>
      <c r="EG16" s="214">
        <f t="shared" si="33"/>
        <v>0</v>
      </c>
      <c r="EH16" s="215">
        <v>22</v>
      </c>
      <c r="EI16" s="215">
        <v>22</v>
      </c>
      <c r="EJ16" s="210" t="s">
        <v>68</v>
      </c>
      <c r="EK16" s="215"/>
      <c r="EL16" s="215"/>
      <c r="EM16" s="208">
        <v>0</v>
      </c>
      <c r="EN16" s="209" t="s">
        <v>182</v>
      </c>
      <c r="EO16" s="210" t="s">
        <v>44</v>
      </c>
      <c r="EP16" s="217">
        <v>4128.0200000000004</v>
      </c>
      <c r="EQ16" s="212">
        <v>0.25</v>
      </c>
      <c r="ER16" s="830" t="s">
        <v>187</v>
      </c>
      <c r="ES16" s="824"/>
      <c r="ET16" s="212">
        <v>0.2</v>
      </c>
      <c r="EU16" s="213" t="s">
        <v>189</v>
      </c>
      <c r="EV16" s="166">
        <v>44</v>
      </c>
      <c r="EW16" s="214">
        <f t="shared" si="9"/>
        <v>0</v>
      </c>
      <c r="EX16" s="214">
        <f t="shared" si="34"/>
        <v>0</v>
      </c>
      <c r="EY16" s="215">
        <v>22</v>
      </c>
      <c r="EZ16" s="215">
        <v>22</v>
      </c>
      <c r="FA16" s="210" t="s">
        <v>68</v>
      </c>
      <c r="FB16" s="215"/>
      <c r="FC16" s="215"/>
      <c r="FD16" s="208">
        <v>0</v>
      </c>
      <c r="FE16" s="209" t="s">
        <v>182</v>
      </c>
      <c r="FF16" s="210" t="s">
        <v>55</v>
      </c>
      <c r="FG16" s="217">
        <v>1741.45</v>
      </c>
      <c r="FH16" s="212">
        <v>0.25</v>
      </c>
      <c r="FI16" s="830" t="s">
        <v>187</v>
      </c>
      <c r="FJ16" s="824"/>
      <c r="FK16" s="212">
        <v>0.2</v>
      </c>
      <c r="FL16" s="213" t="s">
        <v>188</v>
      </c>
      <c r="FM16" s="166">
        <v>44</v>
      </c>
      <c r="FN16" s="214">
        <f t="shared" si="10"/>
        <v>0</v>
      </c>
      <c r="FO16" s="214">
        <f t="shared" si="35"/>
        <v>0</v>
      </c>
      <c r="FP16" s="215">
        <v>9</v>
      </c>
      <c r="FQ16" s="215"/>
      <c r="FR16" s="210" t="s">
        <v>68</v>
      </c>
      <c r="FS16" s="215"/>
      <c r="FT16" s="215"/>
      <c r="FU16" s="208">
        <v>0</v>
      </c>
      <c r="FV16" s="209" t="s">
        <v>182</v>
      </c>
      <c r="FW16" s="218" t="s">
        <v>27</v>
      </c>
      <c r="FX16" s="217">
        <v>0</v>
      </c>
      <c r="FY16" s="212">
        <v>0.25</v>
      </c>
      <c r="FZ16" s="830" t="s">
        <v>187</v>
      </c>
      <c r="GA16" s="824"/>
      <c r="GB16" s="212">
        <v>0.2</v>
      </c>
      <c r="GC16" s="222" t="s">
        <v>189</v>
      </c>
      <c r="GD16" s="166">
        <v>44</v>
      </c>
      <c r="GE16" s="214">
        <f t="shared" si="11"/>
        <v>0</v>
      </c>
      <c r="GF16" s="214">
        <f t="shared" si="36"/>
        <v>0</v>
      </c>
      <c r="GG16" s="219">
        <v>0</v>
      </c>
      <c r="GH16" s="215"/>
      <c r="GI16" s="210" t="s">
        <v>68</v>
      </c>
      <c r="GJ16" s="215"/>
      <c r="GK16" s="215"/>
      <c r="GL16" s="208">
        <v>0</v>
      </c>
      <c r="GM16" s="209" t="s">
        <v>182</v>
      </c>
      <c r="GN16" s="218" t="s">
        <v>27</v>
      </c>
      <c r="GO16" s="217">
        <v>0</v>
      </c>
      <c r="GP16" s="212">
        <v>0.25</v>
      </c>
      <c r="GQ16" s="830" t="s">
        <v>187</v>
      </c>
      <c r="GR16" s="824"/>
      <c r="GS16" s="212">
        <v>0.2</v>
      </c>
      <c r="GT16" s="222" t="s">
        <v>189</v>
      </c>
      <c r="GU16" s="166">
        <v>44</v>
      </c>
      <c r="GV16" s="214">
        <f t="shared" si="22"/>
        <v>0</v>
      </c>
      <c r="GW16" s="214">
        <f t="shared" si="37"/>
        <v>0</v>
      </c>
      <c r="GX16" s="219">
        <v>0</v>
      </c>
      <c r="GY16" s="215"/>
      <c r="GZ16" s="210" t="s">
        <v>68</v>
      </c>
      <c r="HA16" s="215"/>
      <c r="HB16" s="215"/>
      <c r="HC16" s="172">
        <f t="shared" si="13"/>
        <v>0</v>
      </c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174">
        <f t="shared" si="14"/>
        <v>0</v>
      </c>
    </row>
    <row r="17" spans="1:222" ht="22.5" customHeight="1">
      <c r="A17" s="1"/>
      <c r="B17" s="175">
        <v>155081</v>
      </c>
      <c r="C17" s="175" t="s">
        <v>199</v>
      </c>
      <c r="D17" s="176" t="s">
        <v>65</v>
      </c>
      <c r="E17" s="177">
        <v>4.5</v>
      </c>
      <c r="F17" s="178">
        <v>3</v>
      </c>
      <c r="G17" s="179">
        <v>1</v>
      </c>
      <c r="H17" s="179" t="s">
        <v>182</v>
      </c>
      <c r="I17" s="180" t="s">
        <v>97</v>
      </c>
      <c r="J17" s="181">
        <v>1560</v>
      </c>
      <c r="K17" s="220">
        <v>0.25</v>
      </c>
      <c r="L17" s="828" t="s">
        <v>194</v>
      </c>
      <c r="M17" s="824"/>
      <c r="N17" s="182">
        <v>0.2</v>
      </c>
      <c r="O17" s="225" t="s">
        <v>188</v>
      </c>
      <c r="P17" s="136">
        <v>44</v>
      </c>
      <c r="Q17" s="184">
        <f t="shared" si="23"/>
        <v>0</v>
      </c>
      <c r="R17" s="184">
        <f t="shared" si="24"/>
        <v>0</v>
      </c>
      <c r="S17" s="185">
        <v>25</v>
      </c>
      <c r="T17" s="185">
        <v>25</v>
      </c>
      <c r="U17" s="186" t="s">
        <v>182</v>
      </c>
      <c r="V17" s="187">
        <v>1</v>
      </c>
      <c r="W17" s="188">
        <v>1</v>
      </c>
      <c r="X17" s="189">
        <v>2</v>
      </c>
      <c r="Y17" s="190" t="s">
        <v>182</v>
      </c>
      <c r="Z17" s="191" t="s">
        <v>97</v>
      </c>
      <c r="AA17" s="192">
        <v>1560</v>
      </c>
      <c r="AB17" s="193">
        <v>0.25</v>
      </c>
      <c r="AC17" s="829" t="s">
        <v>187</v>
      </c>
      <c r="AD17" s="824"/>
      <c r="AE17" s="194">
        <v>0.2</v>
      </c>
      <c r="AF17" s="195" t="s">
        <v>188</v>
      </c>
      <c r="AG17" s="147">
        <v>44</v>
      </c>
      <c r="AH17" s="148">
        <f t="shared" si="25"/>
        <v>0</v>
      </c>
      <c r="AI17" s="148">
        <f t="shared" si="26"/>
        <v>0</v>
      </c>
      <c r="AJ17" s="196">
        <v>25</v>
      </c>
      <c r="AK17" s="196">
        <v>25</v>
      </c>
      <c r="AL17" s="197" t="s">
        <v>182</v>
      </c>
      <c r="AM17" s="196">
        <v>1</v>
      </c>
      <c r="AN17" s="196">
        <v>1</v>
      </c>
      <c r="AO17" s="198">
        <v>1</v>
      </c>
      <c r="AP17" s="248" t="s">
        <v>182</v>
      </c>
      <c r="AQ17" s="200" t="s">
        <v>97</v>
      </c>
      <c r="AR17" s="201">
        <v>1560</v>
      </c>
      <c r="AS17" s="221">
        <v>0.25</v>
      </c>
      <c r="AT17" s="823" t="s">
        <v>194</v>
      </c>
      <c r="AU17" s="824"/>
      <c r="AV17" s="202">
        <v>0.2</v>
      </c>
      <c r="AW17" s="254" t="s">
        <v>188</v>
      </c>
      <c r="AX17" s="136">
        <v>44</v>
      </c>
      <c r="AY17" s="204">
        <f t="shared" si="27"/>
        <v>0</v>
      </c>
      <c r="AZ17" s="204">
        <f t="shared" si="28"/>
        <v>0</v>
      </c>
      <c r="BA17" s="205">
        <v>25</v>
      </c>
      <c r="BB17" s="205">
        <v>25</v>
      </c>
      <c r="BC17" s="206" t="s">
        <v>182</v>
      </c>
      <c r="BD17" s="207">
        <v>1</v>
      </c>
      <c r="BE17" s="207">
        <v>1</v>
      </c>
      <c r="BF17" s="208">
        <v>0</v>
      </c>
      <c r="BG17" s="209" t="s">
        <v>68</v>
      </c>
      <c r="BH17" s="210" t="s">
        <v>27</v>
      </c>
      <c r="BI17" s="217">
        <v>4435.2</v>
      </c>
      <c r="BJ17" s="212">
        <v>0.25</v>
      </c>
      <c r="BK17" s="830" t="s">
        <v>187</v>
      </c>
      <c r="BL17" s="824"/>
      <c r="BM17" s="212">
        <v>0.2</v>
      </c>
      <c r="BN17" s="213" t="s">
        <v>189</v>
      </c>
      <c r="BO17" s="166">
        <v>44</v>
      </c>
      <c r="BP17" s="214">
        <f t="shared" si="3"/>
        <v>0</v>
      </c>
      <c r="BQ17" s="214">
        <f t="shared" si="29"/>
        <v>0</v>
      </c>
      <c r="BR17" s="215">
        <v>22</v>
      </c>
      <c r="BS17" s="215">
        <v>22</v>
      </c>
      <c r="BT17" s="210" t="s">
        <v>68</v>
      </c>
      <c r="BU17" s="215"/>
      <c r="BV17" s="216"/>
      <c r="BW17" s="208">
        <v>0</v>
      </c>
      <c r="BX17" s="209" t="s">
        <v>68</v>
      </c>
      <c r="BY17" s="210" t="s">
        <v>27</v>
      </c>
      <c r="BZ17" s="217">
        <v>4435.2</v>
      </c>
      <c r="CA17" s="212">
        <v>0.25</v>
      </c>
      <c r="CB17" s="830" t="s">
        <v>187</v>
      </c>
      <c r="CC17" s="824"/>
      <c r="CD17" s="212">
        <v>0.2</v>
      </c>
      <c r="CE17" s="213" t="s">
        <v>189</v>
      </c>
      <c r="CF17" s="166">
        <v>44</v>
      </c>
      <c r="CG17" s="214">
        <f t="shared" si="5"/>
        <v>0</v>
      </c>
      <c r="CH17" s="214">
        <f t="shared" si="30"/>
        <v>0</v>
      </c>
      <c r="CI17" s="215">
        <v>22</v>
      </c>
      <c r="CJ17" s="215">
        <v>22</v>
      </c>
      <c r="CK17" s="210" t="s">
        <v>68</v>
      </c>
      <c r="CL17" s="215"/>
      <c r="CM17" s="215"/>
      <c r="CN17" s="208">
        <v>0</v>
      </c>
      <c r="CO17" s="209" t="s">
        <v>68</v>
      </c>
      <c r="CP17" s="210" t="s">
        <v>27</v>
      </c>
      <c r="CQ17" s="217">
        <v>1396.01</v>
      </c>
      <c r="CR17" s="212">
        <v>0.25</v>
      </c>
      <c r="CS17" s="830" t="s">
        <v>187</v>
      </c>
      <c r="CT17" s="824"/>
      <c r="CU17" s="212">
        <v>0.2</v>
      </c>
      <c r="CV17" s="213" t="s">
        <v>189</v>
      </c>
      <c r="CW17" s="166">
        <v>44</v>
      </c>
      <c r="CX17" s="214">
        <f t="shared" si="6"/>
        <v>0</v>
      </c>
      <c r="CY17" s="214">
        <f t="shared" si="31"/>
        <v>0</v>
      </c>
      <c r="CZ17" s="215">
        <v>22</v>
      </c>
      <c r="DA17" s="215">
        <v>22</v>
      </c>
      <c r="DB17" s="210" t="s">
        <v>68</v>
      </c>
      <c r="DC17" s="215"/>
      <c r="DD17" s="215"/>
      <c r="DE17" s="208">
        <v>0</v>
      </c>
      <c r="DF17" s="209" t="s">
        <v>68</v>
      </c>
      <c r="DG17" s="210" t="s">
        <v>27</v>
      </c>
      <c r="DH17" s="217">
        <v>1396.01</v>
      </c>
      <c r="DI17" s="212">
        <v>0.25</v>
      </c>
      <c r="DJ17" s="830" t="s">
        <v>187</v>
      </c>
      <c r="DK17" s="824"/>
      <c r="DL17" s="212">
        <v>0.2</v>
      </c>
      <c r="DM17" s="213" t="s">
        <v>189</v>
      </c>
      <c r="DN17" s="166">
        <v>44</v>
      </c>
      <c r="DO17" s="214">
        <f t="shared" si="7"/>
        <v>0</v>
      </c>
      <c r="DP17" s="214">
        <f t="shared" si="32"/>
        <v>0</v>
      </c>
      <c r="DQ17" s="215">
        <v>22</v>
      </c>
      <c r="DR17" s="215">
        <v>22</v>
      </c>
      <c r="DS17" s="210" t="s">
        <v>68</v>
      </c>
      <c r="DT17" s="215"/>
      <c r="DU17" s="215"/>
      <c r="DV17" s="208">
        <v>0</v>
      </c>
      <c r="DW17" s="209" t="s">
        <v>182</v>
      </c>
      <c r="DX17" s="210" t="s">
        <v>44</v>
      </c>
      <c r="DY17" s="217">
        <v>4128.0200000000004</v>
      </c>
      <c r="DZ17" s="212">
        <v>0.25</v>
      </c>
      <c r="EA17" s="830" t="s">
        <v>187</v>
      </c>
      <c r="EB17" s="824"/>
      <c r="EC17" s="212">
        <v>0.2</v>
      </c>
      <c r="ED17" s="213" t="s">
        <v>189</v>
      </c>
      <c r="EE17" s="166">
        <v>44</v>
      </c>
      <c r="EF17" s="214">
        <f t="shared" si="8"/>
        <v>0</v>
      </c>
      <c r="EG17" s="214">
        <f t="shared" si="33"/>
        <v>0</v>
      </c>
      <c r="EH17" s="215">
        <v>22</v>
      </c>
      <c r="EI17" s="215">
        <v>22</v>
      </c>
      <c r="EJ17" s="210" t="s">
        <v>68</v>
      </c>
      <c r="EK17" s="215"/>
      <c r="EL17" s="215"/>
      <c r="EM17" s="208">
        <v>0</v>
      </c>
      <c r="EN17" s="209" t="s">
        <v>182</v>
      </c>
      <c r="EO17" s="210" t="s">
        <v>44</v>
      </c>
      <c r="EP17" s="217">
        <v>4128.0200000000004</v>
      </c>
      <c r="EQ17" s="212">
        <v>0.25</v>
      </c>
      <c r="ER17" s="830" t="s">
        <v>187</v>
      </c>
      <c r="ES17" s="824"/>
      <c r="ET17" s="212">
        <v>0.2</v>
      </c>
      <c r="EU17" s="213" t="s">
        <v>189</v>
      </c>
      <c r="EV17" s="166">
        <v>44</v>
      </c>
      <c r="EW17" s="214">
        <f t="shared" si="9"/>
        <v>0</v>
      </c>
      <c r="EX17" s="214">
        <f t="shared" si="34"/>
        <v>0</v>
      </c>
      <c r="EY17" s="215">
        <v>22</v>
      </c>
      <c r="EZ17" s="215">
        <v>22</v>
      </c>
      <c r="FA17" s="210" t="s">
        <v>68</v>
      </c>
      <c r="FB17" s="215"/>
      <c r="FC17" s="215"/>
      <c r="FD17" s="208">
        <v>0</v>
      </c>
      <c r="FE17" s="209" t="s">
        <v>182</v>
      </c>
      <c r="FF17" s="210" t="s">
        <v>55</v>
      </c>
      <c r="FG17" s="217">
        <v>1741.45</v>
      </c>
      <c r="FH17" s="212">
        <v>0.25</v>
      </c>
      <c r="FI17" s="830" t="s">
        <v>187</v>
      </c>
      <c r="FJ17" s="824"/>
      <c r="FK17" s="212">
        <v>0.2</v>
      </c>
      <c r="FL17" s="213" t="s">
        <v>188</v>
      </c>
      <c r="FM17" s="166">
        <v>44</v>
      </c>
      <c r="FN17" s="214">
        <f t="shared" si="10"/>
        <v>0</v>
      </c>
      <c r="FO17" s="214">
        <f t="shared" si="35"/>
        <v>0</v>
      </c>
      <c r="FP17" s="215">
        <v>9</v>
      </c>
      <c r="FQ17" s="215"/>
      <c r="FR17" s="210" t="s">
        <v>68</v>
      </c>
      <c r="FS17" s="215"/>
      <c r="FT17" s="215"/>
      <c r="FU17" s="208">
        <v>0</v>
      </c>
      <c r="FV17" s="209" t="s">
        <v>182</v>
      </c>
      <c r="FW17" s="218" t="s">
        <v>27</v>
      </c>
      <c r="FX17" s="217">
        <v>0</v>
      </c>
      <c r="FY17" s="212">
        <v>0.25</v>
      </c>
      <c r="FZ17" s="830" t="s">
        <v>187</v>
      </c>
      <c r="GA17" s="824"/>
      <c r="GB17" s="212">
        <v>0.2</v>
      </c>
      <c r="GC17" s="222" t="s">
        <v>189</v>
      </c>
      <c r="GD17" s="166">
        <v>44</v>
      </c>
      <c r="GE17" s="214">
        <f t="shared" si="11"/>
        <v>0</v>
      </c>
      <c r="GF17" s="214">
        <f t="shared" si="36"/>
        <v>0</v>
      </c>
      <c r="GG17" s="219">
        <v>0</v>
      </c>
      <c r="GH17" s="215"/>
      <c r="GI17" s="210" t="s">
        <v>68</v>
      </c>
      <c r="GJ17" s="215"/>
      <c r="GK17" s="215"/>
      <c r="GL17" s="208">
        <v>0</v>
      </c>
      <c r="GM17" s="209" t="s">
        <v>182</v>
      </c>
      <c r="GN17" s="218" t="s">
        <v>27</v>
      </c>
      <c r="GO17" s="217">
        <v>0</v>
      </c>
      <c r="GP17" s="212">
        <v>0.25</v>
      </c>
      <c r="GQ17" s="830" t="s">
        <v>187</v>
      </c>
      <c r="GR17" s="824"/>
      <c r="GS17" s="212">
        <v>0.2</v>
      </c>
      <c r="GT17" s="222" t="s">
        <v>189</v>
      </c>
      <c r="GU17" s="166">
        <v>44</v>
      </c>
      <c r="GV17" s="214">
        <f t="shared" si="22"/>
        <v>0</v>
      </c>
      <c r="GW17" s="214">
        <f t="shared" si="37"/>
        <v>0</v>
      </c>
      <c r="GX17" s="219">
        <v>0</v>
      </c>
      <c r="GY17" s="215"/>
      <c r="GZ17" s="210" t="s">
        <v>68</v>
      </c>
      <c r="HA17" s="215"/>
      <c r="HB17" s="215"/>
      <c r="HC17" s="172">
        <f t="shared" si="13"/>
        <v>4</v>
      </c>
      <c r="HD17" s="70"/>
      <c r="HE17" s="70"/>
      <c r="HF17" s="70"/>
      <c r="HG17" s="70"/>
      <c r="HH17" s="70"/>
      <c r="HI17" s="70"/>
      <c r="HJ17" s="70"/>
      <c r="HK17" s="70"/>
      <c r="HL17" s="70"/>
      <c r="HM17" s="70"/>
      <c r="HN17" s="174">
        <f t="shared" si="14"/>
        <v>4</v>
      </c>
    </row>
    <row r="18" spans="1:222" ht="22.5" customHeight="1">
      <c r="A18" s="1"/>
      <c r="B18" s="175">
        <v>158266</v>
      </c>
      <c r="C18" s="175" t="s">
        <v>200</v>
      </c>
      <c r="D18" s="176" t="s">
        <v>71</v>
      </c>
      <c r="E18" s="178">
        <v>0</v>
      </c>
      <c r="F18" s="178">
        <v>3</v>
      </c>
      <c r="G18" s="179">
        <v>1</v>
      </c>
      <c r="H18" s="179" t="s">
        <v>182</v>
      </c>
      <c r="I18" s="180" t="s">
        <v>82</v>
      </c>
      <c r="J18" s="223">
        <v>1305.56</v>
      </c>
      <c r="K18" s="182">
        <v>0.25</v>
      </c>
      <c r="L18" s="828" t="s">
        <v>191</v>
      </c>
      <c r="M18" s="824"/>
      <c r="N18" s="182">
        <v>0.2</v>
      </c>
      <c r="O18" s="225" t="s">
        <v>188</v>
      </c>
      <c r="P18" s="136">
        <v>44</v>
      </c>
      <c r="Q18" s="184">
        <f t="shared" si="23"/>
        <v>0</v>
      </c>
      <c r="R18" s="184">
        <f t="shared" si="24"/>
        <v>0</v>
      </c>
      <c r="S18" s="185">
        <v>25</v>
      </c>
      <c r="T18" s="185">
        <v>25</v>
      </c>
      <c r="U18" s="180" t="s">
        <v>182</v>
      </c>
      <c r="V18" s="187">
        <v>1</v>
      </c>
      <c r="W18" s="188">
        <v>1</v>
      </c>
      <c r="X18" s="189">
        <v>1</v>
      </c>
      <c r="Y18" s="190" t="s">
        <v>182</v>
      </c>
      <c r="Z18" s="191" t="s">
        <v>82</v>
      </c>
      <c r="AA18" s="228">
        <v>1305.56</v>
      </c>
      <c r="AB18" s="193">
        <v>0.25</v>
      </c>
      <c r="AC18" s="829" t="s">
        <v>187</v>
      </c>
      <c r="AD18" s="824"/>
      <c r="AE18" s="194">
        <v>0.2</v>
      </c>
      <c r="AF18" s="195" t="s">
        <v>188</v>
      </c>
      <c r="AG18" s="147">
        <v>44</v>
      </c>
      <c r="AH18" s="148">
        <f t="shared" si="25"/>
        <v>0</v>
      </c>
      <c r="AI18" s="148">
        <f t="shared" si="26"/>
        <v>0</v>
      </c>
      <c r="AJ18" s="196">
        <v>25</v>
      </c>
      <c r="AK18" s="196">
        <v>25</v>
      </c>
      <c r="AL18" s="191" t="s">
        <v>182</v>
      </c>
      <c r="AM18" s="196">
        <v>1</v>
      </c>
      <c r="AN18" s="196">
        <v>1</v>
      </c>
      <c r="AO18" s="198">
        <v>0</v>
      </c>
      <c r="AP18" s="248" t="s">
        <v>182</v>
      </c>
      <c r="AQ18" s="200" t="s">
        <v>82</v>
      </c>
      <c r="AR18" s="201">
        <v>1305.56</v>
      </c>
      <c r="AS18" s="202">
        <v>0.25</v>
      </c>
      <c r="AT18" s="823" t="s">
        <v>191</v>
      </c>
      <c r="AU18" s="824"/>
      <c r="AV18" s="202">
        <v>0.2</v>
      </c>
      <c r="AW18" s="203" t="s">
        <v>188</v>
      </c>
      <c r="AX18" s="136">
        <v>44</v>
      </c>
      <c r="AY18" s="204">
        <f t="shared" si="27"/>
        <v>0</v>
      </c>
      <c r="AZ18" s="204">
        <f t="shared" si="28"/>
        <v>0</v>
      </c>
      <c r="BA18" s="205">
        <v>25</v>
      </c>
      <c r="BB18" s="205">
        <v>25</v>
      </c>
      <c r="BC18" s="206" t="s">
        <v>182</v>
      </c>
      <c r="BD18" s="207">
        <v>1</v>
      </c>
      <c r="BE18" s="207">
        <v>1</v>
      </c>
      <c r="BF18" s="208">
        <v>0</v>
      </c>
      <c r="BG18" s="209" t="s">
        <v>68</v>
      </c>
      <c r="BH18" s="210" t="s">
        <v>27</v>
      </c>
      <c r="BI18" s="217">
        <v>4435.2</v>
      </c>
      <c r="BJ18" s="212">
        <v>0.25</v>
      </c>
      <c r="BK18" s="830" t="s">
        <v>187</v>
      </c>
      <c r="BL18" s="824"/>
      <c r="BM18" s="212">
        <v>0.2</v>
      </c>
      <c r="BN18" s="213" t="s">
        <v>189</v>
      </c>
      <c r="BO18" s="166">
        <v>44</v>
      </c>
      <c r="BP18" s="214">
        <f t="shared" si="3"/>
        <v>0</v>
      </c>
      <c r="BQ18" s="214">
        <f t="shared" si="29"/>
        <v>0</v>
      </c>
      <c r="BR18" s="215">
        <v>22</v>
      </c>
      <c r="BS18" s="215">
        <v>22</v>
      </c>
      <c r="BT18" s="210" t="s">
        <v>68</v>
      </c>
      <c r="BU18" s="215"/>
      <c r="BV18" s="216"/>
      <c r="BW18" s="208">
        <v>0</v>
      </c>
      <c r="BX18" s="209" t="s">
        <v>68</v>
      </c>
      <c r="BY18" s="210" t="s">
        <v>27</v>
      </c>
      <c r="BZ18" s="217">
        <v>4435.2</v>
      </c>
      <c r="CA18" s="212">
        <v>0.25</v>
      </c>
      <c r="CB18" s="830" t="s">
        <v>187</v>
      </c>
      <c r="CC18" s="824"/>
      <c r="CD18" s="212">
        <v>0.2</v>
      </c>
      <c r="CE18" s="213" t="s">
        <v>189</v>
      </c>
      <c r="CF18" s="166">
        <v>44</v>
      </c>
      <c r="CG18" s="214">
        <f t="shared" si="5"/>
        <v>0</v>
      </c>
      <c r="CH18" s="214">
        <f t="shared" si="30"/>
        <v>0</v>
      </c>
      <c r="CI18" s="215">
        <v>22</v>
      </c>
      <c r="CJ18" s="215">
        <v>22</v>
      </c>
      <c r="CK18" s="210" t="s">
        <v>68</v>
      </c>
      <c r="CL18" s="215"/>
      <c r="CM18" s="215"/>
      <c r="CN18" s="208">
        <v>0</v>
      </c>
      <c r="CO18" s="209" t="s">
        <v>68</v>
      </c>
      <c r="CP18" s="210" t="s">
        <v>27</v>
      </c>
      <c r="CQ18" s="217">
        <v>1396.01</v>
      </c>
      <c r="CR18" s="212">
        <v>0.25</v>
      </c>
      <c r="CS18" s="830" t="s">
        <v>187</v>
      </c>
      <c r="CT18" s="824"/>
      <c r="CU18" s="212">
        <v>0.2</v>
      </c>
      <c r="CV18" s="213" t="s">
        <v>189</v>
      </c>
      <c r="CW18" s="166">
        <v>44</v>
      </c>
      <c r="CX18" s="214">
        <f t="shared" si="6"/>
        <v>0</v>
      </c>
      <c r="CY18" s="214">
        <f t="shared" si="31"/>
        <v>0</v>
      </c>
      <c r="CZ18" s="215">
        <v>22</v>
      </c>
      <c r="DA18" s="215">
        <v>22</v>
      </c>
      <c r="DB18" s="210" t="s">
        <v>68</v>
      </c>
      <c r="DC18" s="215"/>
      <c r="DD18" s="215"/>
      <c r="DE18" s="208">
        <v>0</v>
      </c>
      <c r="DF18" s="209" t="s">
        <v>68</v>
      </c>
      <c r="DG18" s="210" t="s">
        <v>27</v>
      </c>
      <c r="DH18" s="217">
        <v>1396.01</v>
      </c>
      <c r="DI18" s="212">
        <v>0.25</v>
      </c>
      <c r="DJ18" s="830" t="s">
        <v>187</v>
      </c>
      <c r="DK18" s="824"/>
      <c r="DL18" s="212">
        <v>0.2</v>
      </c>
      <c r="DM18" s="213" t="s">
        <v>189</v>
      </c>
      <c r="DN18" s="166">
        <v>44</v>
      </c>
      <c r="DO18" s="214">
        <f t="shared" si="7"/>
        <v>0</v>
      </c>
      <c r="DP18" s="214">
        <f t="shared" si="32"/>
        <v>0</v>
      </c>
      <c r="DQ18" s="215">
        <v>22</v>
      </c>
      <c r="DR18" s="215">
        <v>22</v>
      </c>
      <c r="DS18" s="210" t="s">
        <v>68</v>
      </c>
      <c r="DT18" s="215"/>
      <c r="DU18" s="215"/>
      <c r="DV18" s="208">
        <v>0</v>
      </c>
      <c r="DW18" s="209" t="s">
        <v>182</v>
      </c>
      <c r="DX18" s="210" t="s">
        <v>44</v>
      </c>
      <c r="DY18" s="217">
        <v>4128.0200000000004</v>
      </c>
      <c r="DZ18" s="212">
        <v>0.25</v>
      </c>
      <c r="EA18" s="830" t="s">
        <v>187</v>
      </c>
      <c r="EB18" s="824"/>
      <c r="EC18" s="212">
        <v>0.2</v>
      </c>
      <c r="ED18" s="213" t="s">
        <v>189</v>
      </c>
      <c r="EE18" s="166">
        <v>44</v>
      </c>
      <c r="EF18" s="214">
        <f t="shared" si="8"/>
        <v>0</v>
      </c>
      <c r="EG18" s="214">
        <f t="shared" si="33"/>
        <v>0</v>
      </c>
      <c r="EH18" s="215">
        <v>22</v>
      </c>
      <c r="EI18" s="215">
        <v>22</v>
      </c>
      <c r="EJ18" s="210" t="s">
        <v>68</v>
      </c>
      <c r="EK18" s="215"/>
      <c r="EL18" s="215"/>
      <c r="EM18" s="208">
        <v>0</v>
      </c>
      <c r="EN18" s="209" t="s">
        <v>182</v>
      </c>
      <c r="EO18" s="210" t="s">
        <v>44</v>
      </c>
      <c r="EP18" s="217">
        <v>4128.0200000000004</v>
      </c>
      <c r="EQ18" s="212">
        <v>0.25</v>
      </c>
      <c r="ER18" s="830" t="s">
        <v>187</v>
      </c>
      <c r="ES18" s="824"/>
      <c r="ET18" s="212">
        <v>0.2</v>
      </c>
      <c r="EU18" s="213" t="s">
        <v>189</v>
      </c>
      <c r="EV18" s="166">
        <v>44</v>
      </c>
      <c r="EW18" s="214">
        <f t="shared" si="9"/>
        <v>0</v>
      </c>
      <c r="EX18" s="214">
        <f t="shared" si="34"/>
        <v>0</v>
      </c>
      <c r="EY18" s="215">
        <v>22</v>
      </c>
      <c r="EZ18" s="215">
        <v>22</v>
      </c>
      <c r="FA18" s="210" t="s">
        <v>68</v>
      </c>
      <c r="FB18" s="215"/>
      <c r="FC18" s="215"/>
      <c r="FD18" s="208">
        <v>0</v>
      </c>
      <c r="FE18" s="209" t="s">
        <v>182</v>
      </c>
      <c r="FF18" s="210" t="s">
        <v>55</v>
      </c>
      <c r="FG18" s="217">
        <v>1741.45</v>
      </c>
      <c r="FH18" s="212">
        <v>0.25</v>
      </c>
      <c r="FI18" s="830" t="s">
        <v>187</v>
      </c>
      <c r="FJ18" s="824"/>
      <c r="FK18" s="212">
        <v>0.2</v>
      </c>
      <c r="FL18" s="213" t="s">
        <v>188</v>
      </c>
      <c r="FM18" s="166">
        <v>44</v>
      </c>
      <c r="FN18" s="214">
        <f t="shared" si="10"/>
        <v>0</v>
      </c>
      <c r="FO18" s="214">
        <f t="shared" si="35"/>
        <v>0</v>
      </c>
      <c r="FP18" s="215">
        <v>9</v>
      </c>
      <c r="FQ18" s="215"/>
      <c r="FR18" s="210" t="s">
        <v>68</v>
      </c>
      <c r="FS18" s="215"/>
      <c r="FT18" s="215"/>
      <c r="FU18" s="208">
        <v>0</v>
      </c>
      <c r="FV18" s="209" t="s">
        <v>182</v>
      </c>
      <c r="FW18" s="218" t="s">
        <v>100</v>
      </c>
      <c r="FX18" s="217">
        <v>0</v>
      </c>
      <c r="FY18" s="212">
        <v>0.25</v>
      </c>
      <c r="FZ18" s="830" t="s">
        <v>187</v>
      </c>
      <c r="GA18" s="824"/>
      <c r="GB18" s="212">
        <v>0.2</v>
      </c>
      <c r="GC18" s="222" t="s">
        <v>189</v>
      </c>
      <c r="GD18" s="166">
        <v>44</v>
      </c>
      <c r="GE18" s="214">
        <f t="shared" si="11"/>
        <v>0</v>
      </c>
      <c r="GF18" s="214">
        <f t="shared" si="36"/>
        <v>0</v>
      </c>
      <c r="GG18" s="219">
        <v>0</v>
      </c>
      <c r="GH18" s="215"/>
      <c r="GI18" s="210" t="s">
        <v>68</v>
      </c>
      <c r="GJ18" s="215"/>
      <c r="GK18" s="215"/>
      <c r="GL18" s="208">
        <v>0</v>
      </c>
      <c r="GM18" s="209" t="s">
        <v>182</v>
      </c>
      <c r="GN18" s="218" t="s">
        <v>27</v>
      </c>
      <c r="GO18" s="217">
        <v>0</v>
      </c>
      <c r="GP18" s="212">
        <v>0.25</v>
      </c>
      <c r="GQ18" s="830" t="s">
        <v>187</v>
      </c>
      <c r="GR18" s="824"/>
      <c r="GS18" s="212">
        <v>0.2</v>
      </c>
      <c r="GT18" s="222" t="s">
        <v>189</v>
      </c>
      <c r="GU18" s="166">
        <v>44</v>
      </c>
      <c r="GV18" s="214">
        <f t="shared" si="22"/>
        <v>0</v>
      </c>
      <c r="GW18" s="214">
        <f t="shared" si="37"/>
        <v>0</v>
      </c>
      <c r="GX18" s="219">
        <v>0</v>
      </c>
      <c r="GY18" s="215"/>
      <c r="GZ18" s="210" t="s">
        <v>68</v>
      </c>
      <c r="HA18" s="215"/>
      <c r="HB18" s="215"/>
      <c r="HC18" s="172">
        <f t="shared" si="13"/>
        <v>2</v>
      </c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174">
        <f t="shared" si="14"/>
        <v>2</v>
      </c>
    </row>
    <row r="19" spans="1:222" ht="22.5" customHeight="1">
      <c r="A19" s="1"/>
      <c r="B19" s="175">
        <v>158503</v>
      </c>
      <c r="C19" s="175" t="s">
        <v>201</v>
      </c>
      <c r="D19" s="176" t="s">
        <v>76</v>
      </c>
      <c r="E19" s="178">
        <v>3.5</v>
      </c>
      <c r="F19" s="178">
        <v>3</v>
      </c>
      <c r="G19" s="179">
        <v>0</v>
      </c>
      <c r="H19" s="255" t="s">
        <v>182</v>
      </c>
      <c r="I19" s="186" t="s">
        <v>55</v>
      </c>
      <c r="J19" s="251">
        <f>J18+1</f>
        <v>1306.56</v>
      </c>
      <c r="K19" s="182">
        <v>0.25</v>
      </c>
      <c r="L19" s="828" t="s">
        <v>187</v>
      </c>
      <c r="M19" s="824"/>
      <c r="N19" s="182">
        <v>0.2</v>
      </c>
      <c r="O19" s="183" t="s">
        <v>188</v>
      </c>
      <c r="P19" s="136">
        <v>44</v>
      </c>
      <c r="Q19" s="184">
        <f t="shared" si="23"/>
        <v>0</v>
      </c>
      <c r="R19" s="184">
        <f t="shared" si="24"/>
        <v>0</v>
      </c>
      <c r="S19" s="256">
        <v>22</v>
      </c>
      <c r="T19" s="256">
        <v>22</v>
      </c>
      <c r="U19" s="186" t="s">
        <v>182</v>
      </c>
      <c r="V19" s="187">
        <v>1</v>
      </c>
      <c r="W19" s="188">
        <v>1</v>
      </c>
      <c r="X19" s="189">
        <v>0</v>
      </c>
      <c r="Y19" s="257" t="s">
        <v>182</v>
      </c>
      <c r="Z19" s="197" t="s">
        <v>27</v>
      </c>
      <c r="AA19" s="252">
        <v>1717.39</v>
      </c>
      <c r="AB19" s="194">
        <v>0.25</v>
      </c>
      <c r="AC19" s="829" t="s">
        <v>187</v>
      </c>
      <c r="AD19" s="824"/>
      <c r="AE19" s="194">
        <v>0.2</v>
      </c>
      <c r="AF19" s="195" t="s">
        <v>188</v>
      </c>
      <c r="AG19" s="147">
        <v>44</v>
      </c>
      <c r="AH19" s="148">
        <f t="shared" si="25"/>
        <v>0</v>
      </c>
      <c r="AI19" s="148">
        <f t="shared" si="26"/>
        <v>0</v>
      </c>
      <c r="AJ19" s="258">
        <v>22</v>
      </c>
      <c r="AK19" s="258">
        <v>22</v>
      </c>
      <c r="AL19" s="197" t="s">
        <v>182</v>
      </c>
      <c r="AM19" s="196">
        <v>1</v>
      </c>
      <c r="AN19" s="196">
        <v>1</v>
      </c>
      <c r="AO19" s="198">
        <v>0</v>
      </c>
      <c r="AP19" s="199" t="s">
        <v>68</v>
      </c>
      <c r="AQ19" s="206" t="s">
        <v>55</v>
      </c>
      <c r="AR19" s="253">
        <v>1741.45</v>
      </c>
      <c r="AS19" s="202">
        <v>0.25</v>
      </c>
      <c r="AT19" s="823" t="s">
        <v>187</v>
      </c>
      <c r="AU19" s="824"/>
      <c r="AV19" s="202">
        <v>0.2</v>
      </c>
      <c r="AW19" s="203" t="s">
        <v>188</v>
      </c>
      <c r="AX19" s="136">
        <v>44</v>
      </c>
      <c r="AY19" s="204">
        <f t="shared" si="27"/>
        <v>0</v>
      </c>
      <c r="AZ19" s="204">
        <f t="shared" si="28"/>
        <v>0</v>
      </c>
      <c r="BA19" s="259">
        <v>22</v>
      </c>
      <c r="BB19" s="259">
        <v>22</v>
      </c>
      <c r="BC19" s="206" t="s">
        <v>182</v>
      </c>
      <c r="BD19" s="207">
        <v>1</v>
      </c>
      <c r="BE19" s="207">
        <v>1</v>
      </c>
      <c r="BF19" s="208">
        <v>0</v>
      </c>
      <c r="BG19" s="209" t="s">
        <v>68</v>
      </c>
      <c r="BH19" s="210" t="s">
        <v>27</v>
      </c>
      <c r="BI19" s="217">
        <v>4435.2</v>
      </c>
      <c r="BJ19" s="212">
        <v>0.25</v>
      </c>
      <c r="BK19" s="830" t="s">
        <v>187</v>
      </c>
      <c r="BL19" s="824"/>
      <c r="BM19" s="212">
        <v>0.2</v>
      </c>
      <c r="BN19" s="213" t="s">
        <v>189</v>
      </c>
      <c r="BO19" s="166">
        <v>44</v>
      </c>
      <c r="BP19" s="214">
        <f t="shared" si="3"/>
        <v>0</v>
      </c>
      <c r="BQ19" s="214">
        <f t="shared" si="29"/>
        <v>0</v>
      </c>
      <c r="BR19" s="215">
        <v>22</v>
      </c>
      <c r="BS19" s="215">
        <v>22</v>
      </c>
      <c r="BT19" s="210" t="s">
        <v>68</v>
      </c>
      <c r="BU19" s="215"/>
      <c r="BV19" s="216"/>
      <c r="BW19" s="208">
        <v>0</v>
      </c>
      <c r="BX19" s="209" t="s">
        <v>68</v>
      </c>
      <c r="BY19" s="210" t="s">
        <v>27</v>
      </c>
      <c r="BZ19" s="217">
        <v>4435.2</v>
      </c>
      <c r="CA19" s="212">
        <v>0.25</v>
      </c>
      <c r="CB19" s="830" t="s">
        <v>187</v>
      </c>
      <c r="CC19" s="824"/>
      <c r="CD19" s="212">
        <v>0.2</v>
      </c>
      <c r="CE19" s="213" t="s">
        <v>189</v>
      </c>
      <c r="CF19" s="166">
        <v>44</v>
      </c>
      <c r="CG19" s="214">
        <f t="shared" si="5"/>
        <v>0</v>
      </c>
      <c r="CH19" s="214">
        <f t="shared" si="30"/>
        <v>0</v>
      </c>
      <c r="CI19" s="215">
        <v>22</v>
      </c>
      <c r="CJ19" s="215">
        <v>22</v>
      </c>
      <c r="CK19" s="210" t="s">
        <v>68</v>
      </c>
      <c r="CL19" s="215"/>
      <c r="CM19" s="215"/>
      <c r="CN19" s="208">
        <v>0</v>
      </c>
      <c r="CO19" s="209" t="s">
        <v>68</v>
      </c>
      <c r="CP19" s="210" t="s">
        <v>27</v>
      </c>
      <c r="CQ19" s="217">
        <v>1396.01</v>
      </c>
      <c r="CR19" s="212">
        <v>0.25</v>
      </c>
      <c r="CS19" s="830" t="s">
        <v>187</v>
      </c>
      <c r="CT19" s="824"/>
      <c r="CU19" s="212">
        <v>0.2</v>
      </c>
      <c r="CV19" s="213" t="s">
        <v>189</v>
      </c>
      <c r="CW19" s="166">
        <v>44</v>
      </c>
      <c r="CX19" s="214">
        <f t="shared" si="6"/>
        <v>0</v>
      </c>
      <c r="CY19" s="214">
        <f t="shared" si="31"/>
        <v>0</v>
      </c>
      <c r="CZ19" s="215">
        <v>22</v>
      </c>
      <c r="DA19" s="215">
        <v>22</v>
      </c>
      <c r="DB19" s="210" t="s">
        <v>68</v>
      </c>
      <c r="DC19" s="215"/>
      <c r="DD19" s="215"/>
      <c r="DE19" s="208">
        <v>0</v>
      </c>
      <c r="DF19" s="209" t="s">
        <v>68</v>
      </c>
      <c r="DG19" s="210" t="s">
        <v>27</v>
      </c>
      <c r="DH19" s="217">
        <v>1396.01</v>
      </c>
      <c r="DI19" s="212">
        <v>0.25</v>
      </c>
      <c r="DJ19" s="830" t="s">
        <v>187</v>
      </c>
      <c r="DK19" s="824"/>
      <c r="DL19" s="212">
        <v>0.2</v>
      </c>
      <c r="DM19" s="213" t="s">
        <v>189</v>
      </c>
      <c r="DN19" s="166">
        <v>44</v>
      </c>
      <c r="DO19" s="214">
        <f t="shared" si="7"/>
        <v>0</v>
      </c>
      <c r="DP19" s="214">
        <f t="shared" si="32"/>
        <v>0</v>
      </c>
      <c r="DQ19" s="215">
        <v>22</v>
      </c>
      <c r="DR19" s="215">
        <v>22</v>
      </c>
      <c r="DS19" s="210" t="s">
        <v>68</v>
      </c>
      <c r="DT19" s="215"/>
      <c r="DU19" s="215"/>
      <c r="DV19" s="208">
        <v>0</v>
      </c>
      <c r="DW19" s="209" t="s">
        <v>182</v>
      </c>
      <c r="DX19" s="210" t="s">
        <v>44</v>
      </c>
      <c r="DY19" s="217">
        <v>4128.0200000000004</v>
      </c>
      <c r="DZ19" s="212">
        <v>0.25</v>
      </c>
      <c r="EA19" s="830" t="s">
        <v>187</v>
      </c>
      <c r="EB19" s="824"/>
      <c r="EC19" s="212">
        <v>0.2</v>
      </c>
      <c r="ED19" s="213" t="s">
        <v>189</v>
      </c>
      <c r="EE19" s="166">
        <v>44</v>
      </c>
      <c r="EF19" s="214">
        <f t="shared" si="8"/>
        <v>0</v>
      </c>
      <c r="EG19" s="214">
        <f t="shared" si="33"/>
        <v>0</v>
      </c>
      <c r="EH19" s="215">
        <v>22</v>
      </c>
      <c r="EI19" s="215">
        <v>22</v>
      </c>
      <c r="EJ19" s="210" t="s">
        <v>68</v>
      </c>
      <c r="EK19" s="215"/>
      <c r="EL19" s="215"/>
      <c r="EM19" s="208">
        <v>0</v>
      </c>
      <c r="EN19" s="209" t="s">
        <v>182</v>
      </c>
      <c r="EO19" s="210" t="s">
        <v>44</v>
      </c>
      <c r="EP19" s="217">
        <v>4128.0200000000004</v>
      </c>
      <c r="EQ19" s="212">
        <v>0.25</v>
      </c>
      <c r="ER19" s="830" t="s">
        <v>187</v>
      </c>
      <c r="ES19" s="824"/>
      <c r="ET19" s="212">
        <v>0.2</v>
      </c>
      <c r="EU19" s="213" t="s">
        <v>189</v>
      </c>
      <c r="EV19" s="166">
        <v>44</v>
      </c>
      <c r="EW19" s="214">
        <f t="shared" si="9"/>
        <v>0</v>
      </c>
      <c r="EX19" s="214">
        <f t="shared" si="34"/>
        <v>0</v>
      </c>
      <c r="EY19" s="215">
        <v>22</v>
      </c>
      <c r="EZ19" s="215">
        <v>22</v>
      </c>
      <c r="FA19" s="210" t="s">
        <v>68</v>
      </c>
      <c r="FB19" s="215"/>
      <c r="FC19" s="215"/>
      <c r="FD19" s="208">
        <v>0</v>
      </c>
      <c r="FE19" s="209" t="s">
        <v>182</v>
      </c>
      <c r="FF19" s="210" t="s">
        <v>55</v>
      </c>
      <c r="FG19" s="217">
        <v>1741.45</v>
      </c>
      <c r="FH19" s="212">
        <v>0.25</v>
      </c>
      <c r="FI19" s="830" t="s">
        <v>187</v>
      </c>
      <c r="FJ19" s="824"/>
      <c r="FK19" s="212">
        <v>0.2</v>
      </c>
      <c r="FL19" s="213" t="s">
        <v>188</v>
      </c>
      <c r="FM19" s="166">
        <v>44</v>
      </c>
      <c r="FN19" s="214">
        <f t="shared" si="10"/>
        <v>0</v>
      </c>
      <c r="FO19" s="214">
        <f t="shared" si="35"/>
        <v>0</v>
      </c>
      <c r="FP19" s="215">
        <v>9</v>
      </c>
      <c r="FQ19" s="215"/>
      <c r="FR19" s="210" t="s">
        <v>68</v>
      </c>
      <c r="FS19" s="215"/>
      <c r="FT19" s="215"/>
      <c r="FU19" s="208">
        <v>0</v>
      </c>
      <c r="FV19" s="209" t="s">
        <v>182</v>
      </c>
      <c r="FW19" s="218" t="s">
        <v>202</v>
      </c>
      <c r="FX19" s="217">
        <v>0</v>
      </c>
      <c r="FY19" s="212">
        <v>0.25</v>
      </c>
      <c r="FZ19" s="830" t="s">
        <v>187</v>
      </c>
      <c r="GA19" s="824"/>
      <c r="GB19" s="212">
        <v>0.2</v>
      </c>
      <c r="GC19" s="222" t="s">
        <v>189</v>
      </c>
      <c r="GD19" s="166">
        <v>44</v>
      </c>
      <c r="GE19" s="214">
        <f t="shared" si="11"/>
        <v>0</v>
      </c>
      <c r="GF19" s="214">
        <f t="shared" si="36"/>
        <v>0</v>
      </c>
      <c r="GG19" s="219">
        <v>0</v>
      </c>
      <c r="GH19" s="215"/>
      <c r="GI19" s="210" t="s">
        <v>68</v>
      </c>
      <c r="GJ19" s="215"/>
      <c r="GK19" s="215"/>
      <c r="GL19" s="208">
        <v>0</v>
      </c>
      <c r="GM19" s="209" t="s">
        <v>182</v>
      </c>
      <c r="GN19" s="218" t="s">
        <v>202</v>
      </c>
      <c r="GO19" s="217">
        <v>0</v>
      </c>
      <c r="GP19" s="212">
        <v>0.25</v>
      </c>
      <c r="GQ19" s="830" t="s">
        <v>187</v>
      </c>
      <c r="GR19" s="824"/>
      <c r="GS19" s="212">
        <v>0.2</v>
      </c>
      <c r="GT19" s="222" t="s">
        <v>189</v>
      </c>
      <c r="GU19" s="166">
        <v>44</v>
      </c>
      <c r="GV19" s="214">
        <f t="shared" si="22"/>
        <v>0</v>
      </c>
      <c r="GW19" s="214">
        <f t="shared" si="37"/>
        <v>0</v>
      </c>
      <c r="GX19" s="219">
        <v>0</v>
      </c>
      <c r="GY19" s="215"/>
      <c r="GZ19" s="210" t="s">
        <v>68</v>
      </c>
      <c r="HA19" s="215"/>
      <c r="HB19" s="215"/>
      <c r="HC19" s="172">
        <f t="shared" si="13"/>
        <v>0</v>
      </c>
      <c r="HD19" s="70"/>
      <c r="HE19" s="70"/>
      <c r="HF19" s="70"/>
      <c r="HG19" s="70"/>
      <c r="HH19" s="70"/>
      <c r="HI19" s="70"/>
      <c r="HJ19" s="70"/>
      <c r="HK19" s="70"/>
      <c r="HL19" s="70"/>
      <c r="HM19" s="70"/>
      <c r="HN19" s="174">
        <f t="shared" si="14"/>
        <v>0</v>
      </c>
    </row>
    <row r="20" spans="1:222" ht="22.5" customHeight="1">
      <c r="A20" s="125"/>
      <c r="B20" s="175">
        <v>158268</v>
      </c>
      <c r="C20" s="175" t="s">
        <v>203</v>
      </c>
      <c r="D20" s="176" t="s">
        <v>81</v>
      </c>
      <c r="E20" s="178">
        <v>0</v>
      </c>
      <c r="F20" s="178">
        <v>5</v>
      </c>
      <c r="G20" s="179">
        <v>1</v>
      </c>
      <c r="H20" s="179" t="s">
        <v>68</v>
      </c>
      <c r="I20" s="131" t="s">
        <v>87</v>
      </c>
      <c r="J20" s="132">
        <v>1590</v>
      </c>
      <c r="K20" s="224">
        <v>0.25</v>
      </c>
      <c r="L20" s="828" t="s">
        <v>194</v>
      </c>
      <c r="M20" s="824"/>
      <c r="N20" s="260">
        <v>0.2</v>
      </c>
      <c r="O20" s="135" t="s">
        <v>188</v>
      </c>
      <c r="P20" s="136">
        <v>44</v>
      </c>
      <c r="Q20" s="137">
        <f t="shared" si="23"/>
        <v>0.43333333333333335</v>
      </c>
      <c r="R20" s="137">
        <f t="shared" si="24"/>
        <v>0.53333333333333333</v>
      </c>
      <c r="S20" s="226">
        <v>25</v>
      </c>
      <c r="T20" s="226">
        <v>25</v>
      </c>
      <c r="U20" s="131" t="s">
        <v>182</v>
      </c>
      <c r="V20" s="227">
        <v>3</v>
      </c>
      <c r="W20" s="188">
        <v>3</v>
      </c>
      <c r="X20" s="189">
        <v>7</v>
      </c>
      <c r="Y20" s="190" t="s">
        <v>68</v>
      </c>
      <c r="Z20" s="142" t="s">
        <v>87</v>
      </c>
      <c r="AA20" s="143">
        <v>1590</v>
      </c>
      <c r="AB20" s="229">
        <v>0.25</v>
      </c>
      <c r="AC20" s="829" t="s">
        <v>187</v>
      </c>
      <c r="AD20" s="824"/>
      <c r="AE20" s="229">
        <v>0.2</v>
      </c>
      <c r="AF20" s="146" t="s">
        <v>188</v>
      </c>
      <c r="AG20" s="147">
        <v>44</v>
      </c>
      <c r="AH20" s="149">
        <f>IFERROR((52/(IF(Y20="S",(X20-1)+(IF(H20="S",G20,0))+(IF(AP20="S",AO20,0)),0)))/12,0)</f>
        <v>0.48148148148148145</v>
      </c>
      <c r="AI20" s="149">
        <f t="shared" si="26"/>
        <v>0.53333333333333333</v>
      </c>
      <c r="AJ20" s="231">
        <v>25</v>
      </c>
      <c r="AK20" s="231">
        <v>25</v>
      </c>
      <c r="AL20" s="142" t="s">
        <v>182</v>
      </c>
      <c r="AM20" s="231">
        <v>3</v>
      </c>
      <c r="AN20" s="231">
        <v>3</v>
      </c>
      <c r="AO20" s="198">
        <v>2</v>
      </c>
      <c r="AP20" s="199" t="s">
        <v>68</v>
      </c>
      <c r="AQ20" s="153" t="s">
        <v>87</v>
      </c>
      <c r="AR20" s="233">
        <v>1590</v>
      </c>
      <c r="AS20" s="249">
        <v>0.1</v>
      </c>
      <c r="AT20" s="823" t="s">
        <v>194</v>
      </c>
      <c r="AU20" s="824"/>
      <c r="AV20" s="249">
        <v>0.2</v>
      </c>
      <c r="AW20" s="156" t="s">
        <v>188</v>
      </c>
      <c r="AX20" s="136">
        <v>44</v>
      </c>
      <c r="AY20" s="157">
        <f t="shared" si="27"/>
        <v>0.43333333333333335</v>
      </c>
      <c r="AZ20" s="157">
        <f t="shared" si="28"/>
        <v>0.53333333333333333</v>
      </c>
      <c r="BA20" s="235">
        <v>25</v>
      </c>
      <c r="BB20" s="235">
        <v>25</v>
      </c>
      <c r="BC20" s="158" t="s">
        <v>182</v>
      </c>
      <c r="BD20" s="261">
        <v>3</v>
      </c>
      <c r="BE20" s="261">
        <v>3</v>
      </c>
      <c r="BF20" s="208">
        <v>0</v>
      </c>
      <c r="BG20" s="209" t="s">
        <v>68</v>
      </c>
      <c r="BH20" s="162" t="s">
        <v>27</v>
      </c>
      <c r="BI20" s="237">
        <v>4435.2</v>
      </c>
      <c r="BJ20" s="262">
        <v>0.25</v>
      </c>
      <c r="BK20" s="830" t="s">
        <v>187</v>
      </c>
      <c r="BL20" s="824"/>
      <c r="BM20" s="238">
        <v>0.2</v>
      </c>
      <c r="BN20" s="165" t="s">
        <v>189</v>
      </c>
      <c r="BO20" s="166">
        <v>44</v>
      </c>
      <c r="BP20" s="167">
        <f t="shared" si="3"/>
        <v>0.61904761904761907</v>
      </c>
      <c r="BQ20" s="167">
        <f t="shared" si="29"/>
        <v>0.76190476190476186</v>
      </c>
      <c r="BR20" s="239">
        <v>22</v>
      </c>
      <c r="BS20" s="239">
        <v>22</v>
      </c>
      <c r="BT20" s="162" t="s">
        <v>68</v>
      </c>
      <c r="BU20" s="239"/>
      <c r="BV20" s="240"/>
      <c r="BW20" s="208">
        <v>0</v>
      </c>
      <c r="BX20" s="209" t="s">
        <v>68</v>
      </c>
      <c r="BY20" s="162" t="s">
        <v>27</v>
      </c>
      <c r="BZ20" s="237">
        <v>4435.2</v>
      </c>
      <c r="CA20" s="238">
        <v>0.25</v>
      </c>
      <c r="CB20" s="830" t="s">
        <v>187</v>
      </c>
      <c r="CC20" s="824"/>
      <c r="CD20" s="238">
        <v>0.2</v>
      </c>
      <c r="CE20" s="165" t="s">
        <v>189</v>
      </c>
      <c r="CF20" s="166">
        <v>44</v>
      </c>
      <c r="CG20" s="167">
        <f t="shared" si="5"/>
        <v>0.61904761904761907</v>
      </c>
      <c r="CH20" s="167">
        <f t="shared" si="30"/>
        <v>0.76190476190476186</v>
      </c>
      <c r="CI20" s="239">
        <v>22</v>
      </c>
      <c r="CJ20" s="239">
        <v>22</v>
      </c>
      <c r="CK20" s="162" t="s">
        <v>68</v>
      </c>
      <c r="CL20" s="239"/>
      <c r="CM20" s="239"/>
      <c r="CN20" s="208">
        <v>0</v>
      </c>
      <c r="CO20" s="209" t="s">
        <v>68</v>
      </c>
      <c r="CP20" s="162" t="s">
        <v>27</v>
      </c>
      <c r="CQ20" s="237">
        <v>1396.01</v>
      </c>
      <c r="CR20" s="238">
        <v>0.25</v>
      </c>
      <c r="CS20" s="830" t="s">
        <v>187</v>
      </c>
      <c r="CT20" s="824"/>
      <c r="CU20" s="238">
        <v>0.2</v>
      </c>
      <c r="CV20" s="165" t="s">
        <v>189</v>
      </c>
      <c r="CW20" s="166">
        <v>44</v>
      </c>
      <c r="CX20" s="167">
        <f t="shared" si="6"/>
        <v>0.61904761904761907</v>
      </c>
      <c r="CY20" s="167">
        <f t="shared" si="31"/>
        <v>0.76190476190476186</v>
      </c>
      <c r="CZ20" s="239">
        <v>22</v>
      </c>
      <c r="DA20" s="239">
        <v>22</v>
      </c>
      <c r="DB20" s="162" t="s">
        <v>68</v>
      </c>
      <c r="DC20" s="239"/>
      <c r="DD20" s="239"/>
      <c r="DE20" s="208">
        <v>0</v>
      </c>
      <c r="DF20" s="209" t="s">
        <v>68</v>
      </c>
      <c r="DG20" s="162" t="s">
        <v>27</v>
      </c>
      <c r="DH20" s="237">
        <v>1396.01</v>
      </c>
      <c r="DI20" s="238">
        <v>0.25</v>
      </c>
      <c r="DJ20" s="830" t="s">
        <v>187</v>
      </c>
      <c r="DK20" s="824"/>
      <c r="DL20" s="238">
        <v>0.2</v>
      </c>
      <c r="DM20" s="165" t="s">
        <v>189</v>
      </c>
      <c r="DN20" s="166">
        <v>44</v>
      </c>
      <c r="DO20" s="167">
        <f t="shared" si="7"/>
        <v>0.61904761904761907</v>
      </c>
      <c r="DP20" s="167">
        <f t="shared" si="32"/>
        <v>0.76190476190476186</v>
      </c>
      <c r="DQ20" s="239">
        <v>22</v>
      </c>
      <c r="DR20" s="239">
        <v>22</v>
      </c>
      <c r="DS20" s="162" t="s">
        <v>68</v>
      </c>
      <c r="DT20" s="239"/>
      <c r="DU20" s="239"/>
      <c r="DV20" s="208">
        <v>0</v>
      </c>
      <c r="DW20" s="209" t="s">
        <v>182</v>
      </c>
      <c r="DX20" s="162" t="s">
        <v>44</v>
      </c>
      <c r="DY20" s="237">
        <v>4128.0200000000004</v>
      </c>
      <c r="DZ20" s="238">
        <v>0.25</v>
      </c>
      <c r="EA20" s="830" t="s">
        <v>187</v>
      </c>
      <c r="EB20" s="824"/>
      <c r="EC20" s="238">
        <v>0.2</v>
      </c>
      <c r="ED20" s="165" t="s">
        <v>189</v>
      </c>
      <c r="EE20" s="166">
        <v>44</v>
      </c>
      <c r="EF20" s="167">
        <f t="shared" si="8"/>
        <v>0</v>
      </c>
      <c r="EG20" s="167">
        <f t="shared" si="33"/>
        <v>0</v>
      </c>
      <c r="EH20" s="239">
        <v>22</v>
      </c>
      <c r="EI20" s="239">
        <v>22</v>
      </c>
      <c r="EJ20" s="162" t="s">
        <v>68</v>
      </c>
      <c r="EK20" s="239"/>
      <c r="EL20" s="239"/>
      <c r="EM20" s="208">
        <v>0</v>
      </c>
      <c r="EN20" s="209" t="s">
        <v>182</v>
      </c>
      <c r="EO20" s="162" t="s">
        <v>44</v>
      </c>
      <c r="EP20" s="237">
        <v>4128.0200000000004</v>
      </c>
      <c r="EQ20" s="238">
        <v>0.25</v>
      </c>
      <c r="ER20" s="830" t="s">
        <v>187</v>
      </c>
      <c r="ES20" s="824"/>
      <c r="ET20" s="238">
        <v>0.2</v>
      </c>
      <c r="EU20" s="165" t="s">
        <v>189</v>
      </c>
      <c r="EV20" s="166">
        <v>44</v>
      </c>
      <c r="EW20" s="167">
        <f t="shared" si="9"/>
        <v>0</v>
      </c>
      <c r="EX20" s="167">
        <f t="shared" si="34"/>
        <v>0</v>
      </c>
      <c r="EY20" s="239">
        <v>22</v>
      </c>
      <c r="EZ20" s="239">
        <v>22</v>
      </c>
      <c r="FA20" s="162" t="s">
        <v>68</v>
      </c>
      <c r="FB20" s="239"/>
      <c r="FC20" s="239"/>
      <c r="FD20" s="208">
        <v>0</v>
      </c>
      <c r="FE20" s="209" t="s">
        <v>182</v>
      </c>
      <c r="FF20" s="162" t="s">
        <v>55</v>
      </c>
      <c r="FG20" s="237">
        <v>1741.45</v>
      </c>
      <c r="FH20" s="238">
        <v>0.25</v>
      </c>
      <c r="FI20" s="830" t="s">
        <v>187</v>
      </c>
      <c r="FJ20" s="824"/>
      <c r="FK20" s="238">
        <v>0.2</v>
      </c>
      <c r="FL20" s="165" t="s">
        <v>188</v>
      </c>
      <c r="FM20" s="166">
        <v>44</v>
      </c>
      <c r="FN20" s="167">
        <f t="shared" si="10"/>
        <v>0</v>
      </c>
      <c r="FO20" s="167">
        <f t="shared" si="35"/>
        <v>0</v>
      </c>
      <c r="FP20" s="239">
        <v>9</v>
      </c>
      <c r="FQ20" s="239"/>
      <c r="FR20" s="162" t="s">
        <v>68</v>
      </c>
      <c r="FS20" s="239"/>
      <c r="FT20" s="239"/>
      <c r="FU20" s="208">
        <v>0</v>
      </c>
      <c r="FV20" s="209" t="s">
        <v>182</v>
      </c>
      <c r="FW20" s="170" t="s">
        <v>100</v>
      </c>
      <c r="FX20" s="237">
        <v>0</v>
      </c>
      <c r="FY20" s="238">
        <v>0.25</v>
      </c>
      <c r="FZ20" s="830" t="s">
        <v>187</v>
      </c>
      <c r="GA20" s="824"/>
      <c r="GB20" s="238">
        <v>0.2</v>
      </c>
      <c r="GC20" s="171" t="s">
        <v>189</v>
      </c>
      <c r="GD20" s="166">
        <v>44</v>
      </c>
      <c r="GE20" s="167">
        <f t="shared" si="11"/>
        <v>0</v>
      </c>
      <c r="GF20" s="167">
        <f t="shared" si="36"/>
        <v>0</v>
      </c>
      <c r="GG20" s="241">
        <v>0</v>
      </c>
      <c r="GH20" s="239"/>
      <c r="GI20" s="162" t="s">
        <v>68</v>
      </c>
      <c r="GJ20" s="239"/>
      <c r="GK20" s="239"/>
      <c r="GL20" s="208">
        <v>0</v>
      </c>
      <c r="GM20" s="209" t="s">
        <v>182</v>
      </c>
      <c r="GN20" s="170" t="s">
        <v>100</v>
      </c>
      <c r="GO20" s="237">
        <v>0</v>
      </c>
      <c r="GP20" s="238">
        <v>0.25</v>
      </c>
      <c r="GQ20" s="830" t="s">
        <v>187</v>
      </c>
      <c r="GR20" s="824"/>
      <c r="GS20" s="238">
        <v>0.2</v>
      </c>
      <c r="GT20" s="171" t="s">
        <v>189</v>
      </c>
      <c r="GU20" s="166">
        <v>44</v>
      </c>
      <c r="GV20" s="167">
        <f t="shared" si="22"/>
        <v>0</v>
      </c>
      <c r="GW20" s="167">
        <f t="shared" si="37"/>
        <v>0</v>
      </c>
      <c r="GX20" s="241">
        <v>0</v>
      </c>
      <c r="GY20" s="239"/>
      <c r="GZ20" s="162" t="s">
        <v>68</v>
      </c>
      <c r="HA20" s="239"/>
      <c r="HB20" s="239"/>
      <c r="HC20" s="172">
        <f t="shared" si="13"/>
        <v>10</v>
      </c>
      <c r="HD20" s="173"/>
      <c r="HE20" s="173"/>
      <c r="HF20" s="173"/>
      <c r="HG20" s="173"/>
      <c r="HH20" s="173"/>
      <c r="HI20" s="173"/>
      <c r="HJ20" s="173"/>
      <c r="HK20" s="173"/>
      <c r="HL20" s="173"/>
      <c r="HM20" s="173"/>
      <c r="HN20" s="174">
        <f t="shared" si="14"/>
        <v>10</v>
      </c>
    </row>
    <row r="21" spans="1:222" ht="22.5" customHeight="1">
      <c r="A21" s="1"/>
      <c r="B21" s="263"/>
      <c r="C21" s="263"/>
      <c r="D21" s="176" t="s">
        <v>86</v>
      </c>
      <c r="E21" s="178">
        <v>3.9</v>
      </c>
      <c r="F21" s="178">
        <v>3</v>
      </c>
      <c r="G21" s="179">
        <v>0</v>
      </c>
      <c r="H21" s="179" t="s">
        <v>68</v>
      </c>
      <c r="I21" s="180" t="s">
        <v>72</v>
      </c>
      <c r="J21" s="223">
        <v>1764.4</v>
      </c>
      <c r="K21" s="182">
        <v>0.25</v>
      </c>
      <c r="L21" s="828" t="s">
        <v>187</v>
      </c>
      <c r="M21" s="824"/>
      <c r="N21" s="182">
        <v>0.2</v>
      </c>
      <c r="O21" s="225" t="s">
        <v>188</v>
      </c>
      <c r="P21" s="136">
        <v>44</v>
      </c>
      <c r="Q21" s="184">
        <f t="shared" si="23"/>
        <v>0</v>
      </c>
      <c r="R21" s="184">
        <f t="shared" si="24"/>
        <v>0</v>
      </c>
      <c r="S21" s="185">
        <v>25</v>
      </c>
      <c r="T21" s="185">
        <v>25</v>
      </c>
      <c r="U21" s="180" t="s">
        <v>182</v>
      </c>
      <c r="V21" s="187">
        <v>1</v>
      </c>
      <c r="W21" s="188">
        <v>1</v>
      </c>
      <c r="X21" s="189">
        <v>0</v>
      </c>
      <c r="Y21" s="190" t="s">
        <v>68</v>
      </c>
      <c r="Z21" s="191" t="s">
        <v>72</v>
      </c>
      <c r="AA21" s="228">
        <v>1764.4</v>
      </c>
      <c r="AB21" s="193">
        <v>0.25</v>
      </c>
      <c r="AC21" s="829" t="s">
        <v>187</v>
      </c>
      <c r="AD21" s="824"/>
      <c r="AE21" s="194">
        <v>0.2</v>
      </c>
      <c r="AF21" s="195" t="s">
        <v>188</v>
      </c>
      <c r="AG21" s="147">
        <v>44</v>
      </c>
      <c r="AH21" s="148">
        <f>IFERROR((52/(IF(Y21="S",X21+(IF(H21="S",G21,0))+(IF(AP21="S",AO21,0)),0)))/12,0)</f>
        <v>0</v>
      </c>
      <c r="AI21" s="148">
        <f t="shared" si="26"/>
        <v>0</v>
      </c>
      <c r="AJ21" s="196">
        <v>25</v>
      </c>
      <c r="AK21" s="196">
        <v>25</v>
      </c>
      <c r="AL21" s="191" t="s">
        <v>182</v>
      </c>
      <c r="AM21" s="196">
        <v>1</v>
      </c>
      <c r="AN21" s="196">
        <v>1</v>
      </c>
      <c r="AO21" s="198">
        <v>0</v>
      </c>
      <c r="AP21" s="199" t="s">
        <v>68</v>
      </c>
      <c r="AQ21" s="206" t="s">
        <v>55</v>
      </c>
      <c r="AR21" s="253">
        <v>1741.45</v>
      </c>
      <c r="AS21" s="202">
        <v>0.25</v>
      </c>
      <c r="AT21" s="823" t="s">
        <v>187</v>
      </c>
      <c r="AU21" s="824"/>
      <c r="AV21" s="202">
        <v>0.2</v>
      </c>
      <c r="AW21" s="203" t="s">
        <v>188</v>
      </c>
      <c r="AX21" s="136">
        <v>44</v>
      </c>
      <c r="AY21" s="204">
        <f t="shared" si="27"/>
        <v>0</v>
      </c>
      <c r="AZ21" s="204">
        <f t="shared" si="28"/>
        <v>0</v>
      </c>
      <c r="BA21" s="205">
        <v>25</v>
      </c>
      <c r="BB21" s="205">
        <v>25</v>
      </c>
      <c r="BC21" s="200" t="s">
        <v>182</v>
      </c>
      <c r="BD21" s="207">
        <v>1</v>
      </c>
      <c r="BE21" s="207">
        <v>1</v>
      </c>
      <c r="BF21" s="208">
        <v>0</v>
      </c>
      <c r="BG21" s="209" t="s">
        <v>68</v>
      </c>
      <c r="BH21" s="210" t="s">
        <v>27</v>
      </c>
      <c r="BI21" s="217">
        <v>4435.2</v>
      </c>
      <c r="BJ21" s="212">
        <v>0.25</v>
      </c>
      <c r="BK21" s="830" t="s">
        <v>187</v>
      </c>
      <c r="BL21" s="824"/>
      <c r="BM21" s="212">
        <v>0.2</v>
      </c>
      <c r="BN21" s="213" t="s">
        <v>189</v>
      </c>
      <c r="BO21" s="166">
        <v>44</v>
      </c>
      <c r="BP21" s="214">
        <f t="shared" si="3"/>
        <v>0</v>
      </c>
      <c r="BQ21" s="214">
        <f t="shared" si="29"/>
        <v>0</v>
      </c>
      <c r="BR21" s="215">
        <v>22</v>
      </c>
      <c r="BS21" s="215">
        <v>22</v>
      </c>
      <c r="BT21" s="210" t="s">
        <v>68</v>
      </c>
      <c r="BU21" s="215"/>
      <c r="BV21" s="216"/>
      <c r="BW21" s="208">
        <v>0</v>
      </c>
      <c r="BX21" s="209" t="s">
        <v>68</v>
      </c>
      <c r="BY21" s="210" t="s">
        <v>27</v>
      </c>
      <c r="BZ21" s="217">
        <v>4435.2</v>
      </c>
      <c r="CA21" s="212">
        <v>0.25</v>
      </c>
      <c r="CB21" s="830" t="s">
        <v>187</v>
      </c>
      <c r="CC21" s="824"/>
      <c r="CD21" s="212">
        <v>0.2</v>
      </c>
      <c r="CE21" s="213" t="s">
        <v>189</v>
      </c>
      <c r="CF21" s="166">
        <v>44</v>
      </c>
      <c r="CG21" s="214">
        <f t="shared" si="5"/>
        <v>0</v>
      </c>
      <c r="CH21" s="214">
        <f t="shared" si="30"/>
        <v>0</v>
      </c>
      <c r="CI21" s="215">
        <v>22</v>
      </c>
      <c r="CJ21" s="215">
        <v>22</v>
      </c>
      <c r="CK21" s="210" t="s">
        <v>68</v>
      </c>
      <c r="CL21" s="215"/>
      <c r="CM21" s="215"/>
      <c r="CN21" s="208">
        <v>0</v>
      </c>
      <c r="CO21" s="209" t="s">
        <v>68</v>
      </c>
      <c r="CP21" s="210" t="s">
        <v>27</v>
      </c>
      <c r="CQ21" s="217">
        <v>1396.01</v>
      </c>
      <c r="CR21" s="212">
        <v>0.25</v>
      </c>
      <c r="CS21" s="830" t="s">
        <v>187</v>
      </c>
      <c r="CT21" s="824"/>
      <c r="CU21" s="212">
        <v>0.2</v>
      </c>
      <c r="CV21" s="213" t="s">
        <v>189</v>
      </c>
      <c r="CW21" s="166">
        <v>44</v>
      </c>
      <c r="CX21" s="214">
        <f t="shared" si="6"/>
        <v>0</v>
      </c>
      <c r="CY21" s="214">
        <f t="shared" si="31"/>
        <v>0</v>
      </c>
      <c r="CZ21" s="215">
        <v>22</v>
      </c>
      <c r="DA21" s="215">
        <v>22</v>
      </c>
      <c r="DB21" s="210" t="s">
        <v>68</v>
      </c>
      <c r="DC21" s="215"/>
      <c r="DD21" s="215"/>
      <c r="DE21" s="208">
        <v>0</v>
      </c>
      <c r="DF21" s="209" t="s">
        <v>68</v>
      </c>
      <c r="DG21" s="210" t="s">
        <v>27</v>
      </c>
      <c r="DH21" s="217">
        <v>1396.01</v>
      </c>
      <c r="DI21" s="212">
        <v>0.25</v>
      </c>
      <c r="DJ21" s="830" t="s">
        <v>187</v>
      </c>
      <c r="DK21" s="824"/>
      <c r="DL21" s="212">
        <v>0.2</v>
      </c>
      <c r="DM21" s="213" t="s">
        <v>189</v>
      </c>
      <c r="DN21" s="166">
        <v>44</v>
      </c>
      <c r="DO21" s="214">
        <f t="shared" si="7"/>
        <v>0</v>
      </c>
      <c r="DP21" s="214">
        <f t="shared" si="32"/>
        <v>0</v>
      </c>
      <c r="DQ21" s="215">
        <v>22</v>
      </c>
      <c r="DR21" s="215">
        <v>22</v>
      </c>
      <c r="DS21" s="210" t="s">
        <v>68</v>
      </c>
      <c r="DT21" s="215"/>
      <c r="DU21" s="215"/>
      <c r="DV21" s="208">
        <v>0</v>
      </c>
      <c r="DW21" s="209" t="s">
        <v>182</v>
      </c>
      <c r="DX21" s="210" t="s">
        <v>44</v>
      </c>
      <c r="DY21" s="217">
        <v>4128.0200000000004</v>
      </c>
      <c r="DZ21" s="212">
        <v>0.25</v>
      </c>
      <c r="EA21" s="830" t="s">
        <v>187</v>
      </c>
      <c r="EB21" s="824"/>
      <c r="EC21" s="212">
        <v>0.2</v>
      </c>
      <c r="ED21" s="213" t="s">
        <v>189</v>
      </c>
      <c r="EE21" s="166">
        <v>44</v>
      </c>
      <c r="EF21" s="214">
        <f t="shared" si="8"/>
        <v>0</v>
      </c>
      <c r="EG21" s="214">
        <f t="shared" si="33"/>
        <v>0</v>
      </c>
      <c r="EH21" s="215">
        <v>22</v>
      </c>
      <c r="EI21" s="215">
        <v>22</v>
      </c>
      <c r="EJ21" s="210" t="s">
        <v>68</v>
      </c>
      <c r="EK21" s="215"/>
      <c r="EL21" s="215"/>
      <c r="EM21" s="208">
        <v>0</v>
      </c>
      <c r="EN21" s="209" t="s">
        <v>182</v>
      </c>
      <c r="EO21" s="210" t="s">
        <v>44</v>
      </c>
      <c r="EP21" s="217">
        <v>4128.0200000000004</v>
      </c>
      <c r="EQ21" s="212">
        <v>0.25</v>
      </c>
      <c r="ER21" s="830" t="s">
        <v>187</v>
      </c>
      <c r="ES21" s="824"/>
      <c r="ET21" s="212">
        <v>0.2</v>
      </c>
      <c r="EU21" s="213" t="s">
        <v>189</v>
      </c>
      <c r="EV21" s="166">
        <v>44</v>
      </c>
      <c r="EW21" s="214">
        <f t="shared" si="9"/>
        <v>0</v>
      </c>
      <c r="EX21" s="214">
        <f t="shared" si="34"/>
        <v>0</v>
      </c>
      <c r="EY21" s="215">
        <v>22</v>
      </c>
      <c r="EZ21" s="215">
        <v>22</v>
      </c>
      <c r="FA21" s="210" t="s">
        <v>68</v>
      </c>
      <c r="FB21" s="215"/>
      <c r="FC21" s="215"/>
      <c r="FD21" s="208">
        <v>0</v>
      </c>
      <c r="FE21" s="209" t="s">
        <v>182</v>
      </c>
      <c r="FF21" s="210" t="s">
        <v>55</v>
      </c>
      <c r="FG21" s="217">
        <v>1741.45</v>
      </c>
      <c r="FH21" s="212">
        <v>0.25</v>
      </c>
      <c r="FI21" s="830" t="s">
        <v>187</v>
      </c>
      <c r="FJ21" s="824"/>
      <c r="FK21" s="212">
        <v>0.2</v>
      </c>
      <c r="FL21" s="213" t="s">
        <v>188</v>
      </c>
      <c r="FM21" s="166">
        <v>44</v>
      </c>
      <c r="FN21" s="214">
        <f t="shared" si="10"/>
        <v>0</v>
      </c>
      <c r="FO21" s="214">
        <f t="shared" si="35"/>
        <v>0</v>
      </c>
      <c r="FP21" s="215">
        <v>9</v>
      </c>
      <c r="FQ21" s="215"/>
      <c r="FR21" s="210" t="s">
        <v>68</v>
      </c>
      <c r="FS21" s="215"/>
      <c r="FT21" s="215"/>
      <c r="FU21" s="208">
        <v>0</v>
      </c>
      <c r="FV21" s="209" t="s">
        <v>182</v>
      </c>
      <c r="FW21" s="218" t="s">
        <v>100</v>
      </c>
      <c r="FX21" s="217">
        <v>0</v>
      </c>
      <c r="FY21" s="212">
        <v>0.25</v>
      </c>
      <c r="FZ21" s="830" t="s">
        <v>187</v>
      </c>
      <c r="GA21" s="824"/>
      <c r="GB21" s="212">
        <v>0.2</v>
      </c>
      <c r="GC21" s="222" t="s">
        <v>189</v>
      </c>
      <c r="GD21" s="166">
        <v>44</v>
      </c>
      <c r="GE21" s="214">
        <f t="shared" si="11"/>
        <v>0</v>
      </c>
      <c r="GF21" s="214">
        <f t="shared" si="36"/>
        <v>0</v>
      </c>
      <c r="GG21" s="219">
        <v>0</v>
      </c>
      <c r="GH21" s="215"/>
      <c r="GI21" s="210" t="s">
        <v>68</v>
      </c>
      <c r="GJ21" s="215"/>
      <c r="GK21" s="215"/>
      <c r="GL21" s="208">
        <v>0</v>
      </c>
      <c r="GM21" s="209" t="s">
        <v>182</v>
      </c>
      <c r="GN21" s="218" t="s">
        <v>100</v>
      </c>
      <c r="GO21" s="217">
        <v>0</v>
      </c>
      <c r="GP21" s="212">
        <v>0.25</v>
      </c>
      <c r="GQ21" s="830" t="s">
        <v>187</v>
      </c>
      <c r="GR21" s="824"/>
      <c r="GS21" s="212">
        <v>0.2</v>
      </c>
      <c r="GT21" s="222" t="s">
        <v>189</v>
      </c>
      <c r="GU21" s="166">
        <v>44</v>
      </c>
      <c r="GV21" s="214">
        <f t="shared" si="22"/>
        <v>0</v>
      </c>
      <c r="GW21" s="214">
        <f t="shared" si="37"/>
        <v>0</v>
      </c>
      <c r="GX21" s="219">
        <v>0</v>
      </c>
      <c r="GY21" s="215"/>
      <c r="GZ21" s="210" t="s">
        <v>68</v>
      </c>
      <c r="HA21" s="215"/>
      <c r="HB21" s="215"/>
      <c r="HC21" s="172">
        <f t="shared" si="13"/>
        <v>0</v>
      </c>
      <c r="HD21" s="70"/>
      <c r="HE21" s="70"/>
      <c r="HF21" s="70"/>
      <c r="HG21" s="70"/>
      <c r="HH21" s="70"/>
      <c r="HI21" s="70"/>
      <c r="HJ21" s="70"/>
      <c r="HK21" s="70"/>
      <c r="HL21" s="70"/>
      <c r="HM21" s="70"/>
      <c r="HN21" s="174">
        <f t="shared" si="14"/>
        <v>0</v>
      </c>
    </row>
    <row r="22" spans="1:222" ht="18.75" customHeight="1">
      <c r="A22" s="1"/>
      <c r="B22" s="1"/>
      <c r="C22" s="1"/>
      <c r="D22" s="1"/>
      <c r="E22" s="1"/>
      <c r="F22" s="264"/>
      <c r="G22" s="60">
        <f>SUM(G10:G21)</f>
        <v>8</v>
      </c>
      <c r="H22" s="60"/>
      <c r="I22" s="1"/>
      <c r="J22" s="1"/>
      <c r="K22" s="1"/>
      <c r="L22" s="1"/>
      <c r="M22" s="1"/>
      <c r="N22" s="1"/>
      <c r="O22" s="1"/>
      <c r="P22" s="1"/>
      <c r="Q22" s="265"/>
      <c r="R22" s="265"/>
      <c r="S22" s="1"/>
      <c r="T22" s="1"/>
      <c r="U22" s="1"/>
      <c r="V22" s="1"/>
      <c r="W22" s="56"/>
      <c r="X22" s="266">
        <f>SUM(X10:X21)</f>
        <v>31</v>
      </c>
      <c r="Y22" s="266"/>
      <c r="Z22" s="267"/>
      <c r="AA22" s="266"/>
      <c r="AB22" s="266"/>
      <c r="AC22" s="267"/>
      <c r="AD22" s="267"/>
      <c r="AE22" s="267"/>
      <c r="AF22" s="267"/>
      <c r="AG22" s="267"/>
      <c r="AH22" s="268"/>
      <c r="AI22" s="268"/>
      <c r="AJ22" s="267"/>
      <c r="AK22" s="267"/>
      <c r="AL22" s="267"/>
      <c r="AM22" s="267"/>
      <c r="AN22" s="266"/>
      <c r="AO22" s="269">
        <f>SUM(AO10:AO21)</f>
        <v>11</v>
      </c>
      <c r="AP22" s="269"/>
      <c r="AQ22" s="270"/>
      <c r="AR22" s="270"/>
      <c r="AS22" s="270"/>
      <c r="AT22" s="270"/>
      <c r="AU22" s="270"/>
      <c r="AV22" s="270"/>
      <c r="AW22" s="270"/>
      <c r="AX22" s="270"/>
      <c r="AY22" s="271"/>
      <c r="AZ22" s="271"/>
      <c r="BA22" s="270"/>
      <c r="BB22" s="270"/>
      <c r="BC22" s="270"/>
      <c r="BD22" s="270"/>
      <c r="BE22" s="270"/>
      <c r="BF22" s="272">
        <f>SUM(BF10:BF21)</f>
        <v>0</v>
      </c>
      <c r="BG22" s="272"/>
      <c r="BH22" s="273"/>
      <c r="BI22" s="273"/>
      <c r="BJ22" s="273"/>
      <c r="BK22" s="273"/>
      <c r="BL22" s="273"/>
      <c r="BM22" s="273"/>
      <c r="BN22" s="273"/>
      <c r="BO22" s="273"/>
      <c r="BP22" s="273"/>
      <c r="BQ22" s="273"/>
      <c r="BR22" s="273"/>
      <c r="BS22" s="273"/>
      <c r="BT22" s="273"/>
      <c r="BU22" s="273"/>
      <c r="BV22" s="273"/>
      <c r="BW22" s="272">
        <f>SUM(BW10:BW21)</f>
        <v>0</v>
      </c>
      <c r="BX22" s="272"/>
      <c r="BY22" s="273"/>
      <c r="BZ22" s="273"/>
      <c r="CA22" s="273"/>
      <c r="CB22" s="273"/>
      <c r="CC22" s="273"/>
      <c r="CD22" s="273"/>
      <c r="CE22" s="273"/>
      <c r="CF22" s="273"/>
      <c r="CG22" s="273"/>
      <c r="CH22" s="273"/>
      <c r="CI22" s="273"/>
      <c r="CJ22" s="273"/>
      <c r="CK22" s="273"/>
      <c r="CL22" s="273"/>
      <c r="CM22" s="273"/>
      <c r="CN22" s="272">
        <f>SUM(CN10:CN21)</f>
        <v>0</v>
      </c>
      <c r="CO22" s="272"/>
      <c r="CP22" s="273"/>
      <c r="CQ22" s="273"/>
      <c r="CR22" s="273"/>
      <c r="CS22" s="273"/>
      <c r="CT22" s="273"/>
      <c r="CU22" s="273"/>
      <c r="CV22" s="273"/>
      <c r="CW22" s="273"/>
      <c r="CX22" s="273"/>
      <c r="CY22" s="273"/>
      <c r="CZ22" s="273"/>
      <c r="DA22" s="273"/>
      <c r="DB22" s="273"/>
      <c r="DC22" s="273"/>
      <c r="DD22" s="273"/>
      <c r="DE22" s="272">
        <f>SUM(DE10:DE21)</f>
        <v>0</v>
      </c>
      <c r="DF22" s="272"/>
      <c r="DG22" s="273"/>
      <c r="DH22" s="273"/>
      <c r="DI22" s="273"/>
      <c r="DJ22" s="273"/>
      <c r="DK22" s="273"/>
      <c r="DL22" s="273"/>
      <c r="DM22" s="273"/>
      <c r="DN22" s="273"/>
      <c r="DO22" s="273"/>
      <c r="DP22" s="273"/>
      <c r="DQ22" s="273"/>
      <c r="DR22" s="273"/>
      <c r="DS22" s="273"/>
      <c r="DT22" s="273"/>
      <c r="DU22" s="273"/>
      <c r="DV22" s="272">
        <f>SUM(DV10:DV21)</f>
        <v>0</v>
      </c>
      <c r="DW22" s="272"/>
      <c r="DX22" s="273"/>
      <c r="DY22" s="273"/>
      <c r="DZ22" s="273"/>
      <c r="EA22" s="273"/>
      <c r="EB22" s="273"/>
      <c r="EC22" s="273"/>
      <c r="ED22" s="273"/>
      <c r="EE22" s="273"/>
      <c r="EF22" s="273"/>
      <c r="EG22" s="273"/>
      <c r="EH22" s="273"/>
      <c r="EI22" s="273"/>
      <c r="EJ22" s="273"/>
      <c r="EK22" s="273"/>
      <c r="EL22" s="273"/>
      <c r="EM22" s="272">
        <f>SUM(EM10:EM21)</f>
        <v>0</v>
      </c>
      <c r="EN22" s="272"/>
      <c r="EO22" s="273"/>
      <c r="EP22" s="273"/>
      <c r="EQ22" s="273"/>
      <c r="ER22" s="273"/>
      <c r="ES22" s="273"/>
      <c r="ET22" s="273"/>
      <c r="EU22" s="273"/>
      <c r="EV22" s="273"/>
      <c r="EW22" s="273"/>
      <c r="EX22" s="273"/>
      <c r="EY22" s="273"/>
      <c r="EZ22" s="273"/>
      <c r="FA22" s="273"/>
      <c r="FB22" s="273"/>
      <c r="FC22" s="273"/>
      <c r="FD22" s="272">
        <f>SUM(FD10:FD21)</f>
        <v>0</v>
      </c>
      <c r="FE22" s="272"/>
      <c r="FF22" s="273"/>
      <c r="FG22" s="273"/>
      <c r="FH22" s="273"/>
      <c r="FI22" s="273"/>
      <c r="FJ22" s="273"/>
      <c r="FK22" s="273"/>
      <c r="FL22" s="273"/>
      <c r="FM22" s="273"/>
      <c r="FN22" s="273"/>
      <c r="FO22" s="273"/>
      <c r="FP22" s="273"/>
      <c r="FQ22" s="273"/>
      <c r="FR22" s="273"/>
      <c r="FS22" s="273"/>
      <c r="FT22" s="273"/>
      <c r="FU22" s="272">
        <f>SUM(FU10:FU21)</f>
        <v>0</v>
      </c>
      <c r="FV22" s="272"/>
      <c r="FW22" s="102"/>
      <c r="FX22" s="273"/>
      <c r="FY22" s="273"/>
      <c r="FZ22" s="273"/>
      <c r="GA22" s="273"/>
      <c r="GB22" s="273"/>
      <c r="GC22" s="273"/>
      <c r="GD22" s="273"/>
      <c r="GE22" s="273"/>
      <c r="GF22" s="273"/>
      <c r="GG22" s="274"/>
      <c r="GH22" s="273"/>
      <c r="GI22" s="273"/>
      <c r="GJ22" s="273"/>
      <c r="GK22" s="273"/>
      <c r="GL22" s="272">
        <f>SUM(GL10:GL21)</f>
        <v>0</v>
      </c>
      <c r="GM22" s="272"/>
      <c r="GN22" s="102"/>
      <c r="GO22" s="273"/>
      <c r="GP22" s="273"/>
      <c r="GQ22" s="273"/>
      <c r="GR22" s="273"/>
      <c r="GS22" s="273"/>
      <c r="GT22" s="273"/>
      <c r="GU22" s="273"/>
      <c r="GV22" s="273"/>
      <c r="GW22" s="273"/>
      <c r="GX22" s="273"/>
      <c r="GY22" s="273"/>
      <c r="GZ22" s="273"/>
      <c r="HA22" s="273"/>
      <c r="HB22" s="273"/>
      <c r="HC22" s="273"/>
      <c r="HD22" s="273"/>
      <c r="HE22" s="273"/>
      <c r="HF22" s="273"/>
      <c r="HG22" s="273"/>
      <c r="HH22" s="273"/>
      <c r="HI22" s="273"/>
      <c r="HJ22" s="273"/>
      <c r="HK22" s="273"/>
      <c r="HL22" s="273"/>
      <c r="HM22" s="273"/>
      <c r="HN22" s="174">
        <f t="shared" si="14"/>
        <v>50</v>
      </c>
    </row>
    <row r="23" spans="1:222" ht="14.25" customHeight="1">
      <c r="A23" s="1"/>
      <c r="B23" s="275" t="s">
        <v>204</v>
      </c>
      <c r="C23" s="275"/>
      <c r="D23" s="276"/>
      <c r="E23" s="1"/>
      <c r="F23" s="264"/>
      <c r="G23" s="255"/>
      <c r="H23" s="60"/>
      <c r="I23" s="60"/>
      <c r="J23" s="60"/>
      <c r="K23" s="1"/>
      <c r="L23" s="277" t="s">
        <v>205</v>
      </c>
      <c r="M23" s="278"/>
      <c r="N23" s="279"/>
      <c r="O23" s="280" t="s">
        <v>188</v>
      </c>
      <c r="P23" s="281">
        <v>44</v>
      </c>
      <c r="Q23" s="282" t="s">
        <v>206</v>
      </c>
      <c r="R23" s="282" t="s">
        <v>206</v>
      </c>
      <c r="S23" s="1"/>
      <c r="T23" s="1"/>
      <c r="U23" s="1"/>
      <c r="V23" s="1"/>
      <c r="W23" s="1"/>
      <c r="X23" s="283" t="s">
        <v>207</v>
      </c>
      <c r="Y23" s="60"/>
      <c r="Z23" s="60"/>
      <c r="AA23" s="60"/>
      <c r="AB23" s="60"/>
      <c r="AC23" s="1"/>
      <c r="AD23" s="1"/>
      <c r="AE23" s="1"/>
      <c r="AF23" s="1"/>
      <c r="AG23" s="1"/>
      <c r="AH23" s="284" t="s">
        <v>206</v>
      </c>
      <c r="AI23" s="284" t="s">
        <v>206</v>
      </c>
      <c r="AJ23" s="1"/>
      <c r="AK23" s="1"/>
      <c r="AL23" s="1"/>
      <c r="AM23" s="1"/>
      <c r="AN23" s="1"/>
      <c r="AO23" s="60"/>
      <c r="AP23" s="60"/>
      <c r="AQ23" s="1"/>
      <c r="AR23" s="1"/>
      <c r="AS23" s="1"/>
      <c r="AT23" s="1"/>
      <c r="AU23" s="1"/>
      <c r="AV23" s="1"/>
      <c r="AW23" s="1"/>
      <c r="AX23" s="1"/>
      <c r="AY23" s="285" t="s">
        <v>206</v>
      </c>
      <c r="AZ23" s="285" t="s">
        <v>206</v>
      </c>
      <c r="BA23" s="1"/>
      <c r="BB23" s="1"/>
      <c r="BC23" s="1"/>
      <c r="BD23" s="1"/>
      <c r="BE23" s="1"/>
      <c r="BF23" s="272"/>
      <c r="BG23" s="272"/>
      <c r="BH23" s="273"/>
      <c r="BI23" s="273"/>
      <c r="BJ23" s="273"/>
      <c r="BK23" s="273"/>
      <c r="BL23" s="273"/>
      <c r="BM23" s="273"/>
      <c r="BN23" s="273"/>
      <c r="BO23" s="273"/>
      <c r="BP23" s="273"/>
      <c r="BQ23" s="273"/>
      <c r="BR23" s="273"/>
      <c r="BS23" s="273"/>
      <c r="BT23" s="273"/>
      <c r="BU23" s="273"/>
      <c r="BV23" s="273"/>
      <c r="BW23" s="272"/>
      <c r="BX23" s="272"/>
      <c r="BY23" s="273"/>
      <c r="BZ23" s="273"/>
      <c r="CA23" s="273"/>
      <c r="CB23" s="273"/>
      <c r="CC23" s="273"/>
      <c r="CD23" s="273"/>
      <c r="CE23" s="273"/>
      <c r="CF23" s="273"/>
      <c r="CG23" s="273"/>
      <c r="CH23" s="273"/>
      <c r="CI23" s="273"/>
      <c r="CJ23" s="273"/>
      <c r="CK23" s="273"/>
      <c r="CL23" s="273"/>
      <c r="CM23" s="273"/>
      <c r="CN23" s="272"/>
      <c r="CO23" s="272"/>
      <c r="CP23" s="273"/>
      <c r="CQ23" s="273"/>
      <c r="CR23" s="273"/>
      <c r="CS23" s="273"/>
      <c r="CT23" s="273"/>
      <c r="CU23" s="273"/>
      <c r="CV23" s="273"/>
      <c r="CW23" s="273"/>
      <c r="CX23" s="273"/>
      <c r="CY23" s="273"/>
      <c r="CZ23" s="273"/>
      <c r="DA23" s="273"/>
      <c r="DB23" s="273"/>
      <c r="DC23" s="273"/>
      <c r="DD23" s="273"/>
      <c r="DE23" s="272"/>
      <c r="DF23" s="272"/>
      <c r="DG23" s="273"/>
      <c r="DH23" s="273"/>
      <c r="DI23" s="273"/>
      <c r="DJ23" s="273"/>
      <c r="DK23" s="273"/>
      <c r="DL23" s="273"/>
      <c r="DM23" s="273"/>
      <c r="DN23" s="273"/>
      <c r="DO23" s="273"/>
      <c r="DP23" s="273"/>
      <c r="DQ23" s="273"/>
      <c r="DR23" s="273"/>
      <c r="DS23" s="273"/>
      <c r="DT23" s="273"/>
      <c r="DU23" s="273"/>
      <c r="DV23" s="272"/>
      <c r="DW23" s="272"/>
      <c r="DX23" s="273"/>
      <c r="DY23" s="273"/>
      <c r="DZ23" s="273"/>
      <c r="EA23" s="273"/>
      <c r="EB23" s="273"/>
      <c r="EC23" s="273"/>
      <c r="ED23" s="273"/>
      <c r="EE23" s="273"/>
      <c r="EF23" s="273"/>
      <c r="EG23" s="273"/>
      <c r="EH23" s="273"/>
      <c r="EI23" s="273"/>
      <c r="EJ23" s="273"/>
      <c r="EK23" s="273"/>
      <c r="EL23" s="273"/>
      <c r="EM23" s="272"/>
      <c r="EN23" s="272"/>
      <c r="EO23" s="273"/>
      <c r="EP23" s="273"/>
      <c r="EQ23" s="273"/>
      <c r="ER23" s="273"/>
      <c r="ES23" s="273"/>
      <c r="ET23" s="273"/>
      <c r="EU23" s="273"/>
      <c r="EV23" s="273"/>
      <c r="EW23" s="273"/>
      <c r="EX23" s="273"/>
      <c r="EY23" s="273"/>
      <c r="EZ23" s="273"/>
      <c r="FA23" s="273"/>
      <c r="FB23" s="273"/>
      <c r="FC23" s="273"/>
      <c r="FD23" s="272"/>
      <c r="FE23" s="272"/>
      <c r="FF23" s="273"/>
      <c r="FG23" s="273"/>
      <c r="FH23" s="273"/>
      <c r="FI23" s="273"/>
      <c r="FJ23" s="273"/>
      <c r="FK23" s="273"/>
      <c r="FL23" s="273"/>
      <c r="FM23" s="273"/>
      <c r="FN23" s="273"/>
      <c r="FO23" s="273"/>
      <c r="FP23" s="273"/>
      <c r="FQ23" s="273"/>
      <c r="FR23" s="273"/>
      <c r="FS23" s="273"/>
      <c r="FT23" s="273"/>
      <c r="FU23" s="272"/>
      <c r="FV23" s="272"/>
      <c r="FW23" s="273"/>
      <c r="FX23" s="273"/>
      <c r="FY23" s="273"/>
      <c r="FZ23" s="273"/>
      <c r="GA23" s="273"/>
      <c r="GB23" s="273"/>
      <c r="GC23" s="273"/>
      <c r="GD23" s="273"/>
      <c r="GE23" s="273"/>
      <c r="GF23" s="273"/>
      <c r="GG23" s="273"/>
      <c r="GH23" s="273"/>
      <c r="GI23" s="273"/>
      <c r="GJ23" s="273"/>
      <c r="GK23" s="273"/>
      <c r="GL23" s="272"/>
      <c r="GM23" s="272"/>
      <c r="GN23" s="273"/>
      <c r="GO23" s="273"/>
      <c r="GP23" s="273"/>
      <c r="GQ23" s="273"/>
      <c r="GR23" s="273"/>
      <c r="GS23" s="273"/>
      <c r="GT23" s="273"/>
      <c r="GU23" s="273"/>
      <c r="GV23" s="273"/>
      <c r="GW23" s="273"/>
      <c r="GX23" s="273"/>
      <c r="GY23" s="273"/>
      <c r="GZ23" s="273"/>
      <c r="HA23" s="273"/>
      <c r="HB23" s="273"/>
      <c r="HC23" s="273"/>
      <c r="HD23" s="273"/>
      <c r="HE23" s="273"/>
      <c r="HF23" s="273"/>
      <c r="HG23" s="273"/>
      <c r="HH23" s="273"/>
      <c r="HI23" s="273"/>
      <c r="HJ23" s="273"/>
      <c r="HK23" s="273"/>
      <c r="HL23" s="273"/>
      <c r="HM23" s="273"/>
      <c r="HN23" s="286"/>
    </row>
    <row r="24" spans="1:222" ht="18" customHeight="1">
      <c r="A24" s="1"/>
      <c r="B24" s="56"/>
      <c r="C24" s="287"/>
      <c r="D24" s="1"/>
      <c r="E24" s="1"/>
      <c r="F24" s="264"/>
      <c r="G24" s="288"/>
      <c r="H24" s="60"/>
      <c r="I24" s="60"/>
      <c r="J24" s="60"/>
      <c r="K24" s="1"/>
      <c r="L24" s="289" t="s">
        <v>194</v>
      </c>
      <c r="M24" s="290"/>
      <c r="N24" s="1"/>
      <c r="O24" s="291" t="s">
        <v>208</v>
      </c>
      <c r="P24" s="281">
        <v>40</v>
      </c>
      <c r="Q24" s="292" t="s">
        <v>209</v>
      </c>
      <c r="R24" s="292" t="s">
        <v>209</v>
      </c>
      <c r="S24" s="1"/>
      <c r="T24" s="1"/>
      <c r="U24" s="1"/>
      <c r="V24" s="1"/>
      <c r="W24" s="1"/>
      <c r="X24" s="60"/>
      <c r="Y24" s="60"/>
      <c r="Z24" s="60"/>
      <c r="AA24" s="60"/>
      <c r="AB24" s="60"/>
      <c r="AC24" s="1"/>
      <c r="AD24" s="1"/>
      <c r="AE24" s="1"/>
      <c r="AF24" s="1"/>
      <c r="AG24" s="1"/>
      <c r="AH24" s="293" t="s">
        <v>209</v>
      </c>
      <c r="AI24" s="293" t="s">
        <v>209</v>
      </c>
      <c r="AJ24" s="1"/>
      <c r="AK24" s="1"/>
      <c r="AL24" s="1"/>
      <c r="AM24" s="1"/>
      <c r="AN24" s="1"/>
      <c r="AO24" s="60"/>
      <c r="AP24" s="60"/>
      <c r="AQ24" s="1"/>
      <c r="AR24" s="1"/>
      <c r="AS24" s="1"/>
      <c r="AT24" s="1"/>
      <c r="AU24" s="1"/>
      <c r="AV24" s="1"/>
      <c r="AW24" s="1"/>
      <c r="AX24" s="1"/>
      <c r="AY24" s="294" t="s">
        <v>209</v>
      </c>
      <c r="AZ24" s="294" t="s">
        <v>209</v>
      </c>
      <c r="BA24" s="1"/>
      <c r="BB24" s="1"/>
      <c r="BC24" s="1"/>
      <c r="BD24" s="1"/>
      <c r="BE24" s="1"/>
      <c r="BF24" s="295"/>
      <c r="BG24" s="295"/>
      <c r="BH24" s="296"/>
      <c r="BI24" s="296"/>
      <c r="BJ24" s="296"/>
      <c r="BK24" s="296"/>
      <c r="BL24" s="296"/>
      <c r="BM24" s="296"/>
      <c r="BN24" s="296"/>
      <c r="BO24" s="296"/>
      <c r="BP24" s="296"/>
      <c r="BQ24" s="296"/>
      <c r="BR24" s="296"/>
      <c r="BS24" s="296"/>
      <c r="BT24" s="296"/>
      <c r="BU24" s="296"/>
      <c r="BV24" s="296"/>
      <c r="BW24" s="295"/>
      <c r="BX24" s="295"/>
      <c r="BY24" s="296"/>
      <c r="BZ24" s="296"/>
      <c r="CA24" s="296"/>
      <c r="CB24" s="296"/>
      <c r="CC24" s="296"/>
      <c r="CD24" s="296"/>
      <c r="CE24" s="296"/>
      <c r="CF24" s="296"/>
      <c r="CG24" s="296"/>
      <c r="CH24" s="296"/>
      <c r="CI24" s="296"/>
      <c r="CJ24" s="296"/>
      <c r="CK24" s="296"/>
      <c r="CL24" s="296"/>
      <c r="CM24" s="296"/>
      <c r="CN24" s="295"/>
      <c r="CO24" s="295"/>
      <c r="CP24" s="296"/>
      <c r="CQ24" s="296"/>
      <c r="CR24" s="296"/>
      <c r="CS24" s="296"/>
      <c r="CT24" s="296"/>
      <c r="CU24" s="296"/>
      <c r="CV24" s="296"/>
      <c r="CW24" s="296"/>
      <c r="CX24" s="296"/>
      <c r="CY24" s="296"/>
      <c r="CZ24" s="296"/>
      <c r="DA24" s="296"/>
      <c r="DB24" s="296"/>
      <c r="DC24" s="296"/>
      <c r="DD24" s="296"/>
      <c r="DE24" s="295"/>
      <c r="DF24" s="295"/>
      <c r="DG24" s="296"/>
      <c r="DH24" s="296"/>
      <c r="DI24" s="296"/>
      <c r="DJ24" s="296"/>
      <c r="DK24" s="296"/>
      <c r="DL24" s="296"/>
      <c r="DM24" s="296"/>
      <c r="DN24" s="296"/>
      <c r="DO24" s="296"/>
      <c r="DP24" s="296"/>
      <c r="DQ24" s="296"/>
      <c r="DR24" s="296"/>
      <c r="DS24" s="296"/>
      <c r="DT24" s="296"/>
      <c r="DU24" s="296"/>
      <c r="DV24" s="295"/>
      <c r="DW24" s="295"/>
      <c r="DX24" s="296"/>
      <c r="DY24" s="296"/>
      <c r="DZ24" s="296"/>
      <c r="EA24" s="296"/>
      <c r="EB24" s="296"/>
      <c r="EC24" s="296"/>
      <c r="ED24" s="296"/>
      <c r="EE24" s="296"/>
      <c r="EF24" s="296"/>
      <c r="EG24" s="296"/>
      <c r="EH24" s="296"/>
      <c r="EI24" s="296"/>
      <c r="EJ24" s="296"/>
      <c r="EK24" s="296"/>
      <c r="EL24" s="296"/>
      <c r="EM24" s="295"/>
      <c r="EN24" s="295"/>
      <c r="EO24" s="296"/>
      <c r="EP24" s="296"/>
      <c r="EQ24" s="296"/>
      <c r="ER24" s="296"/>
      <c r="ES24" s="296"/>
      <c r="ET24" s="296"/>
      <c r="EU24" s="296"/>
      <c r="EV24" s="296"/>
      <c r="EW24" s="296"/>
      <c r="EX24" s="296"/>
      <c r="EY24" s="296"/>
      <c r="EZ24" s="296"/>
      <c r="FA24" s="296"/>
      <c r="FB24" s="296"/>
      <c r="FC24" s="296"/>
      <c r="FD24" s="295"/>
      <c r="FE24" s="295"/>
      <c r="FF24" s="296"/>
      <c r="FG24" s="296"/>
      <c r="FH24" s="296"/>
      <c r="FI24" s="296"/>
      <c r="FJ24" s="296"/>
      <c r="FK24" s="296"/>
      <c r="FL24" s="296"/>
      <c r="FM24" s="296"/>
      <c r="FN24" s="296"/>
      <c r="FO24" s="296"/>
      <c r="FP24" s="296"/>
      <c r="FQ24" s="296"/>
      <c r="FR24" s="296"/>
      <c r="FS24" s="296"/>
      <c r="FT24" s="296"/>
      <c r="FU24" s="295"/>
      <c r="FV24" s="295"/>
      <c r="FW24" s="296"/>
      <c r="FX24" s="296"/>
      <c r="FY24" s="296"/>
      <c r="FZ24" s="296"/>
      <c r="GA24" s="296"/>
      <c r="GB24" s="296"/>
      <c r="GC24" s="296"/>
      <c r="GD24" s="296"/>
      <c r="GE24" s="296"/>
      <c r="GF24" s="296"/>
      <c r="GG24" s="296"/>
      <c r="GH24" s="296"/>
      <c r="GI24" s="296"/>
      <c r="GJ24" s="296"/>
      <c r="GK24" s="296"/>
      <c r="GL24" s="295"/>
      <c r="GM24" s="295"/>
      <c r="GN24" s="296"/>
      <c r="GO24" s="296"/>
      <c r="GP24" s="296"/>
      <c r="GQ24" s="296"/>
      <c r="GR24" s="296"/>
      <c r="GS24" s="296"/>
      <c r="GT24" s="296"/>
      <c r="GU24" s="296"/>
      <c r="GV24" s="296"/>
      <c r="GW24" s="296"/>
      <c r="GX24" s="296"/>
      <c r="GY24" s="296"/>
      <c r="GZ24" s="296"/>
      <c r="HA24" s="296"/>
      <c r="HB24" s="296"/>
      <c r="HC24" s="296"/>
      <c r="HD24" s="296"/>
      <c r="HE24" s="296"/>
      <c r="HF24" s="296"/>
      <c r="HG24" s="296"/>
      <c r="HH24" s="296"/>
      <c r="HI24" s="296"/>
      <c r="HJ24" s="296"/>
      <c r="HK24" s="296"/>
      <c r="HL24" s="296"/>
      <c r="HM24" s="1"/>
      <c r="HN24" s="1"/>
    </row>
    <row r="25" spans="1:222" ht="18" customHeight="1">
      <c r="A25" s="297"/>
      <c r="B25" s="56"/>
      <c r="C25" s="287"/>
      <c r="E25" s="297"/>
      <c r="F25" s="297"/>
      <c r="G25" s="298"/>
      <c r="H25" s="298"/>
      <c r="I25" s="298"/>
      <c r="J25" s="298"/>
      <c r="K25" s="298"/>
      <c r="L25" s="299" t="s">
        <v>187</v>
      </c>
      <c r="M25" s="300"/>
      <c r="N25" s="297"/>
      <c r="O25" s="280" t="s">
        <v>210</v>
      </c>
      <c r="P25" s="281">
        <v>30</v>
      </c>
      <c r="Q25" s="301" t="s">
        <v>211</v>
      </c>
      <c r="R25" s="301" t="s">
        <v>211</v>
      </c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302" t="s">
        <v>211</v>
      </c>
      <c r="AI25" s="302" t="s">
        <v>211</v>
      </c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303" t="s">
        <v>211</v>
      </c>
      <c r="AZ25" s="303" t="s">
        <v>211</v>
      </c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298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298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298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298"/>
      <c r="FG25" s="298"/>
      <c r="FH25" s="298"/>
      <c r="FI25" s="298"/>
      <c r="FJ25" s="298"/>
      <c r="FK25" s="298"/>
      <c r="FL25" s="298"/>
      <c r="FM25" s="298"/>
      <c r="FN25" s="298"/>
      <c r="FO25" s="298"/>
      <c r="FP25" s="298"/>
      <c r="FQ25" s="298"/>
      <c r="FR25" s="298"/>
      <c r="FS25" s="298"/>
      <c r="FT25" s="298"/>
      <c r="FU25" s="298"/>
      <c r="FV25" s="298"/>
      <c r="FW25" s="298"/>
      <c r="FX25" s="298"/>
      <c r="FY25" s="298"/>
      <c r="FZ25" s="298"/>
      <c r="GA25" s="298"/>
      <c r="GB25" s="298"/>
      <c r="GC25" s="298"/>
      <c r="GD25" s="298"/>
      <c r="GE25" s="298"/>
      <c r="GF25" s="298"/>
      <c r="GG25" s="298"/>
      <c r="GH25" s="298"/>
      <c r="GI25" s="298"/>
      <c r="GJ25" s="298"/>
      <c r="GK25" s="298"/>
      <c r="GL25" s="298"/>
      <c r="GM25" s="298">
        <f t="shared" ref="GM25:HM25" si="38">GM6</f>
        <v>0</v>
      </c>
      <c r="GN25" s="298">
        <f t="shared" si="38"/>
        <v>0</v>
      </c>
      <c r="GO25" s="298">
        <f t="shared" si="38"/>
        <v>0</v>
      </c>
      <c r="GP25" s="298">
        <f t="shared" si="38"/>
        <v>0</v>
      </c>
      <c r="GQ25" s="298">
        <f t="shared" si="38"/>
        <v>0</v>
      </c>
      <c r="GR25" s="298">
        <f t="shared" si="38"/>
        <v>0</v>
      </c>
      <c r="GS25" s="298">
        <f t="shared" si="38"/>
        <v>0</v>
      </c>
      <c r="GT25" s="298">
        <f t="shared" si="38"/>
        <v>0</v>
      </c>
      <c r="GU25" s="298">
        <f t="shared" si="38"/>
        <v>0</v>
      </c>
      <c r="GV25" s="298">
        <f t="shared" si="38"/>
        <v>0</v>
      </c>
      <c r="GW25" s="298">
        <f t="shared" si="38"/>
        <v>0</v>
      </c>
      <c r="GX25" s="298">
        <f t="shared" si="38"/>
        <v>0</v>
      </c>
      <c r="GY25" s="298">
        <f t="shared" si="38"/>
        <v>0</v>
      </c>
      <c r="GZ25" s="298">
        <f t="shared" si="38"/>
        <v>0</v>
      </c>
      <c r="HA25" s="298">
        <f t="shared" si="38"/>
        <v>0</v>
      </c>
      <c r="HB25" s="298">
        <f t="shared" si="38"/>
        <v>0</v>
      </c>
      <c r="HC25" s="298">
        <f t="shared" si="38"/>
        <v>0</v>
      </c>
      <c r="HD25" s="298">
        <f t="shared" si="38"/>
        <v>0</v>
      </c>
      <c r="HE25" s="298">
        <f t="shared" si="38"/>
        <v>0</v>
      </c>
      <c r="HF25" s="298">
        <f t="shared" si="38"/>
        <v>0</v>
      </c>
      <c r="HG25" s="298">
        <f t="shared" si="38"/>
        <v>0</v>
      </c>
      <c r="HH25" s="298">
        <f t="shared" si="38"/>
        <v>0</v>
      </c>
      <c r="HI25" s="298">
        <f t="shared" si="38"/>
        <v>0</v>
      </c>
      <c r="HJ25" s="298">
        <f t="shared" si="38"/>
        <v>0</v>
      </c>
      <c r="HK25" s="298">
        <f t="shared" si="38"/>
        <v>0</v>
      </c>
      <c r="HL25" s="298">
        <f t="shared" si="38"/>
        <v>0</v>
      </c>
      <c r="HM25" s="298">
        <f t="shared" si="38"/>
        <v>0</v>
      </c>
      <c r="HN25" s="297"/>
    </row>
    <row r="26" spans="1:222" ht="18" customHeight="1">
      <c r="A26" s="297"/>
      <c r="B26" s="56"/>
      <c r="C26" s="304" t="s">
        <v>212</v>
      </c>
      <c r="D26" s="304" t="s">
        <v>213</v>
      </c>
      <c r="E26" s="305"/>
      <c r="F26" s="305"/>
      <c r="G26" s="298"/>
      <c r="H26" s="60"/>
      <c r="I26" s="60"/>
      <c r="J26" s="60"/>
      <c r="K26" s="305"/>
      <c r="L26" s="306" t="s">
        <v>191</v>
      </c>
      <c r="M26" s="307"/>
      <c r="N26" s="305"/>
      <c r="O26" s="291" t="s">
        <v>189</v>
      </c>
      <c r="P26" s="281">
        <v>20</v>
      </c>
      <c r="Q26" s="308"/>
      <c r="R26" s="309" t="s">
        <v>214</v>
      </c>
      <c r="S26" s="305"/>
      <c r="T26" s="305"/>
      <c r="U26" s="305"/>
      <c r="V26" s="305"/>
      <c r="W26" s="297"/>
      <c r="X26" s="60"/>
      <c r="Y26" s="60"/>
      <c r="Z26" s="60"/>
      <c r="AA26" s="60"/>
      <c r="AB26" s="60"/>
      <c r="AC26" s="297"/>
      <c r="AD26" s="297"/>
      <c r="AE26" s="297"/>
      <c r="AF26" s="297"/>
      <c r="AG26" s="310"/>
      <c r="AH26" s="311" t="s">
        <v>215</v>
      </c>
      <c r="AI26" s="312" t="s">
        <v>214</v>
      </c>
      <c r="AJ26" s="297"/>
      <c r="AK26" s="297"/>
      <c r="AL26" s="297"/>
      <c r="AM26" s="297"/>
      <c r="AN26" s="297"/>
      <c r="AO26" s="60"/>
      <c r="AP26" s="60"/>
      <c r="AQ26" s="297"/>
      <c r="AR26" s="297"/>
      <c r="AS26" s="297"/>
      <c r="AT26" s="297"/>
      <c r="AU26" s="297"/>
      <c r="AV26" s="297"/>
      <c r="AW26" s="297"/>
      <c r="AX26" s="297"/>
      <c r="AY26" s="297"/>
      <c r="AZ26" s="312" t="s">
        <v>214</v>
      </c>
      <c r="BA26" s="297"/>
      <c r="BB26" s="297"/>
      <c r="BC26" s="297"/>
      <c r="BD26" s="297"/>
      <c r="BE26" s="297"/>
      <c r="BF26" s="60"/>
      <c r="BG26" s="60"/>
      <c r="BH26" s="297"/>
      <c r="BI26" s="297"/>
      <c r="BJ26" s="297"/>
      <c r="BK26" s="297"/>
      <c r="BL26" s="297"/>
      <c r="BM26" s="297"/>
      <c r="BN26" s="297"/>
      <c r="BO26" s="297"/>
      <c r="BP26" s="297"/>
      <c r="BQ26" s="297"/>
      <c r="BR26" s="297"/>
      <c r="BS26" s="297"/>
      <c r="BT26" s="297"/>
      <c r="BU26" s="297"/>
      <c r="BV26" s="297"/>
      <c r="BW26" s="60"/>
      <c r="BX26" s="60"/>
      <c r="BY26" s="297"/>
      <c r="BZ26" s="297"/>
      <c r="CA26" s="297"/>
      <c r="CB26" s="297"/>
      <c r="CC26" s="297"/>
      <c r="CD26" s="297"/>
      <c r="CE26" s="297"/>
      <c r="CF26" s="297"/>
      <c r="CG26" s="297"/>
      <c r="CH26" s="297"/>
      <c r="CI26" s="297"/>
      <c r="CJ26" s="297"/>
      <c r="CK26" s="297"/>
      <c r="CL26" s="297"/>
      <c r="CM26" s="297"/>
      <c r="CN26" s="60"/>
      <c r="CO26" s="60"/>
      <c r="CP26" s="297"/>
      <c r="CQ26" s="297"/>
      <c r="CR26" s="297"/>
      <c r="CS26" s="297"/>
      <c r="CT26" s="297"/>
      <c r="CU26" s="297"/>
      <c r="CV26" s="297"/>
      <c r="CW26" s="297"/>
      <c r="CX26" s="297"/>
      <c r="CY26" s="297"/>
      <c r="CZ26" s="297"/>
      <c r="DA26" s="297"/>
      <c r="DB26" s="297"/>
      <c r="DC26" s="297"/>
      <c r="DD26" s="297"/>
      <c r="DE26" s="60"/>
      <c r="DF26" s="60"/>
      <c r="DG26" s="297"/>
      <c r="DH26" s="297"/>
      <c r="DI26" s="297"/>
      <c r="DJ26" s="297"/>
      <c r="DK26" s="297"/>
      <c r="DL26" s="297"/>
      <c r="DM26" s="297"/>
      <c r="DN26" s="297"/>
      <c r="DO26" s="297"/>
      <c r="DP26" s="297"/>
      <c r="DQ26" s="297"/>
      <c r="DR26" s="297"/>
      <c r="DS26" s="297"/>
      <c r="DT26" s="297"/>
      <c r="DU26" s="297"/>
      <c r="DV26" s="60"/>
      <c r="DW26" s="60"/>
      <c r="DX26" s="297"/>
      <c r="DY26" s="297"/>
      <c r="DZ26" s="297"/>
      <c r="EA26" s="297"/>
      <c r="EB26" s="297"/>
      <c r="EC26" s="297"/>
      <c r="ED26" s="297"/>
      <c r="EE26" s="297"/>
      <c r="EF26" s="297"/>
      <c r="EG26" s="297"/>
      <c r="EH26" s="297"/>
      <c r="EI26" s="297"/>
      <c r="EJ26" s="297"/>
      <c r="EK26" s="297"/>
      <c r="EL26" s="297"/>
      <c r="EM26" s="60"/>
      <c r="EN26" s="60"/>
      <c r="EO26" s="297"/>
      <c r="EP26" s="297"/>
      <c r="EQ26" s="297"/>
      <c r="ER26" s="297"/>
      <c r="ES26" s="297"/>
      <c r="ET26" s="297"/>
      <c r="EU26" s="297"/>
      <c r="EV26" s="297"/>
      <c r="EW26" s="297"/>
      <c r="EX26" s="297"/>
      <c r="EY26" s="297"/>
      <c r="EZ26" s="297"/>
      <c r="FA26" s="297"/>
      <c r="FB26" s="297"/>
      <c r="FC26" s="297"/>
      <c r="FD26" s="60"/>
      <c r="FE26" s="60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60"/>
      <c r="FV26" s="60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60"/>
      <c r="GM26" s="60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  <c r="HG26" s="297"/>
      <c r="HH26" s="297"/>
      <c r="HI26" s="297"/>
      <c r="HJ26" s="297"/>
      <c r="HK26" s="297"/>
      <c r="HL26" s="297"/>
      <c r="HM26" s="297"/>
      <c r="HN26" s="297"/>
    </row>
    <row r="27" spans="1:222" ht="18" customHeight="1">
      <c r="A27" s="1"/>
      <c r="B27" s="56">
        <v>0</v>
      </c>
      <c r="C27" s="313" t="e">
        <f t="shared" ref="C27:C31" ca="1" si="39">D27</f>
        <v>#NAME?</v>
      </c>
      <c r="D27" s="313" t="e">
        <f ca="1">nomeaba0()</f>
        <v>#NAME?</v>
      </c>
      <c r="E27" s="1"/>
      <c r="F27" s="264"/>
      <c r="G27" s="298"/>
      <c r="H27" s="60"/>
      <c r="I27" s="60"/>
      <c r="J27" s="60"/>
      <c r="K27" s="1"/>
      <c r="L27" s="314" t="s">
        <v>216</v>
      </c>
      <c r="M27" s="1"/>
      <c r="N27" s="1"/>
      <c r="O27" s="315" t="s">
        <v>216</v>
      </c>
      <c r="P27" s="316" t="s">
        <v>216</v>
      </c>
      <c r="Q27" s="265"/>
      <c r="R27" s="292" t="s">
        <v>217</v>
      </c>
      <c r="S27" s="1"/>
      <c r="T27" s="1"/>
      <c r="U27" s="1"/>
      <c r="V27" s="1"/>
      <c r="W27" s="1"/>
      <c r="X27" s="60"/>
      <c r="Y27" s="60"/>
      <c r="Z27" s="60"/>
      <c r="AA27" s="60"/>
      <c r="AB27" s="60"/>
      <c r="AC27" s="1"/>
      <c r="AD27" s="1"/>
      <c r="AE27" s="1"/>
      <c r="AF27" s="1"/>
      <c r="AG27" s="1"/>
      <c r="AH27" s="1"/>
      <c r="AI27" s="56" t="s">
        <v>217</v>
      </c>
      <c r="AJ27" s="1"/>
      <c r="AK27" s="1"/>
      <c r="AL27" s="1"/>
      <c r="AM27" s="1"/>
      <c r="AN27" s="1"/>
      <c r="AO27" s="60"/>
      <c r="AP27" s="60"/>
      <c r="AQ27" s="1"/>
      <c r="AR27" s="1"/>
      <c r="AS27" s="1"/>
      <c r="AT27" s="1"/>
      <c r="AU27" s="1"/>
      <c r="AV27" s="1"/>
      <c r="AW27" s="1"/>
      <c r="AX27" s="1"/>
      <c r="AY27" s="1"/>
      <c r="AZ27" s="56" t="s">
        <v>217</v>
      </c>
      <c r="BA27" s="1"/>
      <c r="BB27" s="1"/>
      <c r="BC27" s="1"/>
      <c r="BD27" s="1"/>
      <c r="BE27" s="1"/>
      <c r="BF27" s="60"/>
      <c r="BG27" s="60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60"/>
      <c r="BX27" s="60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60"/>
      <c r="CO27" s="60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60"/>
      <c r="DF27" s="60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60"/>
      <c r="DW27" s="60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60"/>
      <c r="EN27" s="60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60"/>
      <c r="FE27" s="60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60"/>
      <c r="FV27" s="60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60"/>
      <c r="GM27" s="60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1:222" ht="18" customHeight="1">
      <c r="A28" s="1"/>
      <c r="B28" s="56">
        <f t="shared" ref="B28:B44" si="40">B27+1</f>
        <v>1</v>
      </c>
      <c r="C28" s="313" t="e">
        <f t="shared" ca="1" si="39"/>
        <v>#NAME?</v>
      </c>
      <c r="D28" s="313" t="e">
        <f ca="1">nomeaba1()</f>
        <v>#NAME?</v>
      </c>
      <c r="E28" s="1"/>
      <c r="F28" s="264"/>
      <c r="G28" s="298"/>
      <c r="H28" s="60"/>
      <c r="I28" s="1"/>
      <c r="J28" s="1"/>
      <c r="K28" s="1"/>
      <c r="L28" s="31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60"/>
      <c r="Y28" s="60"/>
      <c r="Z28" s="60"/>
      <c r="AA28" s="60"/>
      <c r="AB28" s="60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60"/>
      <c r="AP28" s="60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60"/>
      <c r="BG28" s="60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60"/>
      <c r="BX28" s="60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60"/>
      <c r="CO28" s="60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60"/>
      <c r="DF28" s="60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60"/>
      <c r="DW28" s="60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60"/>
      <c r="EN28" s="60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60"/>
      <c r="FE28" s="60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60"/>
      <c r="FV28" s="60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60"/>
      <c r="GM28" s="60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1:222" ht="18" customHeight="1">
      <c r="A29" s="1"/>
      <c r="B29" s="56">
        <f t="shared" si="40"/>
        <v>2</v>
      </c>
      <c r="C29" s="313" t="e">
        <f t="shared" ca="1" si="39"/>
        <v>#NAME?</v>
      </c>
      <c r="D29" s="313" t="e">
        <f ca="1">nomeaba2()</f>
        <v>#NAME?</v>
      </c>
      <c r="E29" s="1"/>
      <c r="F29" s="264"/>
      <c r="G29" s="298"/>
      <c r="H29" s="6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60"/>
      <c r="Y29" s="60"/>
      <c r="Z29" s="60"/>
      <c r="AA29" s="60"/>
      <c r="AB29" s="60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60"/>
      <c r="AP29" s="60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60"/>
      <c r="BG29" s="60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60"/>
      <c r="BX29" s="60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60"/>
      <c r="CO29" s="60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60"/>
      <c r="DF29" s="60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60"/>
      <c r="DW29" s="60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60"/>
      <c r="EN29" s="60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60"/>
      <c r="FE29" s="60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60"/>
      <c r="FV29" s="60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60"/>
      <c r="GM29" s="60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1:222" ht="18" customHeight="1">
      <c r="A30" s="1"/>
      <c r="B30" s="56">
        <f t="shared" si="40"/>
        <v>3</v>
      </c>
      <c r="C30" s="313" t="e">
        <f t="shared" ca="1" si="39"/>
        <v>#NAME?</v>
      </c>
      <c r="D30" s="313" t="e">
        <f ca="1">nomeaba3()</f>
        <v>#NAME?</v>
      </c>
      <c r="E30" s="1"/>
      <c r="F30" s="264"/>
      <c r="G30" s="298"/>
      <c r="H30" s="6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60"/>
      <c r="Y30" s="60"/>
      <c r="Z30" s="60"/>
      <c r="AA30" s="60"/>
      <c r="AB30" s="60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60"/>
      <c r="AP30" s="60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60"/>
      <c r="BG30" s="60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60"/>
      <c r="BX30" s="60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60"/>
      <c r="CO30" s="60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60"/>
      <c r="DF30" s="60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60"/>
      <c r="DW30" s="60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60"/>
      <c r="EN30" s="60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60"/>
      <c r="FE30" s="60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60"/>
      <c r="FV30" s="60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60"/>
      <c r="GM30" s="60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1" spans="1:222" ht="18" customHeight="1">
      <c r="A31" s="1"/>
      <c r="B31" s="56">
        <f t="shared" si="40"/>
        <v>4</v>
      </c>
      <c r="C31" s="313" t="e">
        <f t="shared" ca="1" si="39"/>
        <v>#NAME?</v>
      </c>
      <c r="D31" s="313" t="e">
        <f ca="1">nomeaba4()</f>
        <v>#NAME?</v>
      </c>
      <c r="E31" s="1"/>
      <c r="F31" s="264"/>
      <c r="G31" s="298"/>
      <c r="H31" s="6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60"/>
      <c r="Y31" s="60"/>
      <c r="Z31" s="60"/>
      <c r="AA31" s="60"/>
      <c r="AB31" s="60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60"/>
      <c r="AP31" s="60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60"/>
      <c r="BG31" s="60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60"/>
      <c r="BX31" s="60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60"/>
      <c r="CO31" s="60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60"/>
      <c r="DF31" s="60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60"/>
      <c r="DW31" s="60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60"/>
      <c r="EN31" s="60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60"/>
      <c r="FE31" s="60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60"/>
      <c r="FV31" s="60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60"/>
      <c r="GM31" s="60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</row>
    <row r="32" spans="1:222" ht="18" customHeight="1">
      <c r="A32" s="1"/>
      <c r="B32" s="56">
        <f t="shared" si="40"/>
        <v>5</v>
      </c>
      <c r="C32" s="318" t="s">
        <v>218</v>
      </c>
      <c r="D32" s="313" t="e">
        <f ca="1">nomeaba5()</f>
        <v>#NAME?</v>
      </c>
      <c r="E32" s="1"/>
      <c r="F32" s="264"/>
      <c r="G32" s="298"/>
      <c r="H32" s="6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60"/>
      <c r="Y32" s="60"/>
      <c r="Z32" s="60"/>
      <c r="AA32" s="60"/>
      <c r="AB32" s="60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60"/>
      <c r="AP32" s="60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60"/>
      <c r="BG32" s="60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60"/>
      <c r="BX32" s="60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60"/>
      <c r="CO32" s="60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60"/>
      <c r="DF32" s="60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60"/>
      <c r="DW32" s="60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60"/>
      <c r="EN32" s="60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60"/>
      <c r="FE32" s="60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60"/>
      <c r="FV32" s="60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60"/>
      <c r="GM32" s="60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  <row r="33" spans="1:222" ht="18" customHeight="1">
      <c r="A33" s="1"/>
      <c r="B33" s="56">
        <f t="shared" si="40"/>
        <v>6</v>
      </c>
      <c r="C33" s="318" t="s">
        <v>219</v>
      </c>
      <c r="D33" s="313" t="e">
        <f ca="1">nomeaba6()</f>
        <v>#NAME?</v>
      </c>
      <c r="E33" s="1"/>
      <c r="F33" s="264"/>
      <c r="G33" s="298"/>
      <c r="H33" s="6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60"/>
      <c r="Y33" s="60"/>
      <c r="Z33" s="60"/>
      <c r="AA33" s="60"/>
      <c r="AB33" s="60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60"/>
      <c r="AP33" s="60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60"/>
      <c r="BG33" s="60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60"/>
      <c r="BX33" s="60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60"/>
      <c r="CO33" s="60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60"/>
      <c r="DF33" s="60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60"/>
      <c r="DW33" s="60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60"/>
      <c r="EN33" s="60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60"/>
      <c r="FE33" s="60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60"/>
      <c r="FV33" s="60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60"/>
      <c r="GM33" s="60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</row>
    <row r="34" spans="1:222" ht="18" customHeight="1">
      <c r="A34" s="1"/>
      <c r="B34" s="56">
        <f t="shared" si="40"/>
        <v>7</v>
      </c>
      <c r="C34" s="318" t="s">
        <v>220</v>
      </c>
      <c r="D34" s="313" t="e">
        <f ca="1">nomeaba7()</f>
        <v>#NAME?</v>
      </c>
      <c r="E34" s="1"/>
      <c r="F34" s="264"/>
      <c r="G34" s="298"/>
      <c r="H34" s="6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60"/>
      <c r="Y34" s="60"/>
      <c r="Z34" s="60"/>
      <c r="AA34" s="60"/>
      <c r="AB34" s="60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60"/>
      <c r="AP34" s="60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60"/>
      <c r="BG34" s="60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60"/>
      <c r="BX34" s="60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60"/>
      <c r="CO34" s="60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60"/>
      <c r="DF34" s="60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60"/>
      <c r="DW34" s="60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60"/>
      <c r="EN34" s="60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60"/>
      <c r="FE34" s="60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60"/>
      <c r="FV34" s="60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60"/>
      <c r="GM34" s="60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</row>
    <row r="35" spans="1:222" ht="18" customHeight="1">
      <c r="A35" s="1"/>
      <c r="B35" s="56">
        <f t="shared" si="40"/>
        <v>8</v>
      </c>
      <c r="C35" s="318" t="s">
        <v>221</v>
      </c>
      <c r="D35" s="313" t="e">
        <f ca="1">nomeaba8()</f>
        <v>#NAME?</v>
      </c>
      <c r="E35" s="1"/>
      <c r="F35" s="264"/>
      <c r="G35" s="298"/>
      <c r="H35" s="60"/>
      <c r="I35" s="56" t="s">
        <v>222</v>
      </c>
      <c r="J35" s="1"/>
      <c r="K35" s="1">
        <f t="shared" ref="K35:K37" si="41">LEN(I35)</f>
        <v>29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60"/>
      <c r="Y35" s="60"/>
      <c r="Z35" s="60"/>
      <c r="AA35" s="60"/>
      <c r="AB35" s="60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60"/>
      <c r="AP35" s="60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60"/>
      <c r="BG35" s="60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60"/>
      <c r="BX35" s="60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60"/>
      <c r="CO35" s="60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60"/>
      <c r="DF35" s="60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60"/>
      <c r="DW35" s="60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60"/>
      <c r="EN35" s="60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60"/>
      <c r="FE35" s="60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60"/>
      <c r="FV35" s="60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60"/>
      <c r="GM35" s="60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</row>
    <row r="36" spans="1:222" ht="18" customHeight="1">
      <c r="A36" s="1"/>
      <c r="B36" s="56">
        <f t="shared" si="40"/>
        <v>9</v>
      </c>
      <c r="C36" s="318" t="s">
        <v>223</v>
      </c>
      <c r="D36" s="313" t="e">
        <f ca="1">nomeaba9()</f>
        <v>#NAME?</v>
      </c>
      <c r="E36" s="1"/>
      <c r="F36" s="264"/>
      <c r="G36" s="298"/>
      <c r="H36" s="60"/>
      <c r="I36" s="56" t="s">
        <v>224</v>
      </c>
      <c r="J36" s="1"/>
      <c r="K36" s="1">
        <f t="shared" si="41"/>
        <v>29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60"/>
      <c r="Y36" s="60"/>
      <c r="Z36" s="60"/>
      <c r="AA36" s="60"/>
      <c r="AB36" s="60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60"/>
      <c r="AP36" s="60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60"/>
      <c r="BG36" s="60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60"/>
      <c r="BX36" s="60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60"/>
      <c r="CO36" s="60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60"/>
      <c r="DF36" s="60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60"/>
      <c r="DW36" s="60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60"/>
      <c r="EN36" s="60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60"/>
      <c r="FE36" s="60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60"/>
      <c r="FV36" s="60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60"/>
      <c r="GM36" s="60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</row>
    <row r="37" spans="1:222" ht="18" customHeight="1">
      <c r="A37" s="1"/>
      <c r="B37" s="56">
        <f t="shared" si="40"/>
        <v>10</v>
      </c>
      <c r="C37" s="318" t="s">
        <v>225</v>
      </c>
      <c r="D37" s="313" t="e">
        <f ca="1">nomeaba10()</f>
        <v>#NAME?</v>
      </c>
      <c r="E37" s="1"/>
      <c r="F37" s="264"/>
      <c r="G37" s="298"/>
      <c r="H37" s="60"/>
      <c r="I37" s="56" t="s">
        <v>226</v>
      </c>
      <c r="J37" s="1"/>
      <c r="K37" s="1">
        <f t="shared" si="41"/>
        <v>29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60"/>
      <c r="Y37" s="60"/>
      <c r="Z37" s="60"/>
      <c r="AA37" s="60"/>
      <c r="AB37" s="60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60"/>
      <c r="AP37" s="60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60"/>
      <c r="BG37" s="60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60"/>
      <c r="BX37" s="60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60"/>
      <c r="CO37" s="60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60"/>
      <c r="DF37" s="60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60"/>
      <c r="DW37" s="60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60"/>
      <c r="EN37" s="60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60"/>
      <c r="FE37" s="60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60"/>
      <c r="FV37" s="60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60"/>
      <c r="GM37" s="60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</row>
    <row r="38" spans="1:222" ht="18" customHeight="1">
      <c r="A38" s="1"/>
      <c r="B38" s="56">
        <f t="shared" si="40"/>
        <v>11</v>
      </c>
      <c r="C38" s="318" t="s">
        <v>227</v>
      </c>
      <c r="D38" s="313" t="e">
        <f ca="1">nomeaba11()</f>
        <v>#NAME?</v>
      </c>
      <c r="E38" s="1"/>
      <c r="F38" s="264"/>
      <c r="G38" s="1"/>
      <c r="H38" s="6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60"/>
      <c r="Y38" s="60"/>
      <c r="Z38" s="60"/>
      <c r="AA38" s="60"/>
      <c r="AB38" s="60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60"/>
      <c r="AP38" s="60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60"/>
      <c r="BG38" s="60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60"/>
      <c r="BX38" s="60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60"/>
      <c r="CO38" s="60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60"/>
      <c r="DF38" s="60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60"/>
      <c r="DW38" s="60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60"/>
      <c r="EN38" s="60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60"/>
      <c r="FE38" s="60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60"/>
      <c r="FV38" s="60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60"/>
      <c r="GM38" s="60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</row>
    <row r="39" spans="1:222" ht="18" customHeight="1">
      <c r="A39" s="1"/>
      <c r="B39" s="56">
        <f t="shared" si="40"/>
        <v>12</v>
      </c>
      <c r="C39" s="318" t="s">
        <v>228</v>
      </c>
      <c r="D39" s="313" t="e">
        <f ca="1">nomeaba12()</f>
        <v>#NAME?</v>
      </c>
      <c r="E39" s="1"/>
      <c r="F39" s="264"/>
      <c r="G39" s="60"/>
      <c r="H39" s="6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60"/>
      <c r="Y39" s="60"/>
      <c r="Z39" s="60"/>
      <c r="AA39" s="60"/>
      <c r="AB39" s="60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60"/>
      <c r="AP39" s="60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60"/>
      <c r="BG39" s="60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60"/>
      <c r="BX39" s="60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60"/>
      <c r="CO39" s="60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60"/>
      <c r="DF39" s="60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60"/>
      <c r="DW39" s="60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60"/>
      <c r="EN39" s="60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60"/>
      <c r="FE39" s="60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60"/>
      <c r="FV39" s="60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60"/>
      <c r="GM39" s="60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</row>
    <row r="40" spans="1:222" ht="18" customHeight="1">
      <c r="A40" s="1"/>
      <c r="B40" s="56">
        <f t="shared" si="40"/>
        <v>13</v>
      </c>
      <c r="C40" s="318" t="s">
        <v>229</v>
      </c>
      <c r="D40" s="313" t="e">
        <f ca="1">nomeaba13()</f>
        <v>#NAME?</v>
      </c>
      <c r="E40" s="1"/>
      <c r="F40" s="264"/>
      <c r="G40" s="60"/>
      <c r="H40" s="6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60"/>
      <c r="Y40" s="60"/>
      <c r="Z40" s="60"/>
      <c r="AA40" s="60"/>
      <c r="AB40" s="60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60"/>
      <c r="AP40" s="60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60"/>
      <c r="BG40" s="60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60"/>
      <c r="BX40" s="60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60"/>
      <c r="CO40" s="60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60"/>
      <c r="DF40" s="60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60"/>
      <c r="DW40" s="60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60"/>
      <c r="EN40" s="60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60"/>
      <c r="FE40" s="60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60"/>
      <c r="FV40" s="60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60"/>
      <c r="GM40" s="60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</row>
    <row r="41" spans="1:222" ht="15.75" customHeight="1">
      <c r="A41" s="1"/>
      <c r="B41" s="56">
        <f t="shared" si="40"/>
        <v>14</v>
      </c>
      <c r="C41" s="318" t="s">
        <v>230</v>
      </c>
      <c r="D41" s="313" t="e">
        <f ca="1">nomeaba14()</f>
        <v>#NAME?</v>
      </c>
      <c r="E41" s="1"/>
      <c r="F41" s="264"/>
      <c r="G41" s="60"/>
      <c r="H41" s="6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60"/>
      <c r="Y41" s="60"/>
      <c r="Z41" s="60"/>
      <c r="AA41" s="60"/>
      <c r="AB41" s="60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60"/>
      <c r="AP41" s="60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60"/>
      <c r="BG41" s="60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60"/>
      <c r="BX41" s="60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60"/>
      <c r="CO41" s="60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60"/>
      <c r="DF41" s="60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60"/>
      <c r="DW41" s="60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60"/>
      <c r="EN41" s="60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60"/>
      <c r="FE41" s="60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60"/>
      <c r="FV41" s="60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60"/>
      <c r="GM41" s="60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</row>
    <row r="42" spans="1:222" ht="15.75" customHeight="1">
      <c r="A42" s="1"/>
      <c r="B42" s="56">
        <f t="shared" si="40"/>
        <v>15</v>
      </c>
      <c r="C42" s="318" t="s">
        <v>231</v>
      </c>
      <c r="D42" s="313" t="e">
        <f ca="1">nomeaba15()</f>
        <v>#NAME?</v>
      </c>
      <c r="E42" s="1"/>
      <c r="F42" s="264"/>
      <c r="G42" s="60"/>
      <c r="H42" s="6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0"/>
      <c r="Y42" s="60"/>
      <c r="Z42" s="60"/>
      <c r="AA42" s="60"/>
      <c r="AB42" s="60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60"/>
      <c r="AP42" s="60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60"/>
      <c r="BG42" s="60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60"/>
      <c r="BX42" s="60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60"/>
      <c r="CO42" s="60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60"/>
      <c r="DF42" s="60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60"/>
      <c r="DW42" s="60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60"/>
      <c r="EN42" s="60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60"/>
      <c r="FE42" s="60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60"/>
      <c r="FV42" s="60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60"/>
      <c r="GM42" s="60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</row>
    <row r="43" spans="1:222" ht="15.75" customHeight="1">
      <c r="A43" s="1"/>
      <c r="B43" s="56">
        <f t="shared" si="40"/>
        <v>16</v>
      </c>
      <c r="C43" s="318" t="s">
        <v>232</v>
      </c>
      <c r="D43" s="313" t="e">
        <f ca="1">nomeaba16()</f>
        <v>#NAME?</v>
      </c>
      <c r="E43" s="1"/>
      <c r="F43" s="264"/>
      <c r="G43" s="60"/>
      <c r="H43" s="6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60"/>
      <c r="Y43" s="60"/>
      <c r="Z43" s="60"/>
      <c r="AA43" s="60"/>
      <c r="AB43" s="60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60"/>
      <c r="AP43" s="60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60"/>
      <c r="BG43" s="60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60"/>
      <c r="BX43" s="60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60"/>
      <c r="CO43" s="60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60"/>
      <c r="DF43" s="60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60"/>
      <c r="DW43" s="60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60"/>
      <c r="EN43" s="60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60"/>
      <c r="FE43" s="60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60"/>
      <c r="FV43" s="60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60"/>
      <c r="GM43" s="60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</row>
    <row r="44" spans="1:222" ht="15.75" customHeight="1">
      <c r="A44" s="1"/>
      <c r="B44" s="56">
        <f t="shared" si="40"/>
        <v>17</v>
      </c>
      <c r="C44" s="313" t="e">
        <f t="shared" ref="C44:D44" ca="1" si="42">nomeaba17()</f>
        <v>#NAME?</v>
      </c>
      <c r="D44" s="313" t="e">
        <f t="shared" ca="1" si="42"/>
        <v>#NAME?</v>
      </c>
      <c r="E44" s="1"/>
      <c r="F44" s="264"/>
      <c r="G44" s="60"/>
      <c r="H44" s="6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60"/>
      <c r="Y44" s="60"/>
      <c r="Z44" s="60"/>
      <c r="AA44" s="60"/>
      <c r="AB44" s="60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60"/>
      <c r="AP44" s="60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60"/>
      <c r="BG44" s="60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60"/>
      <c r="BX44" s="60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60"/>
      <c r="CO44" s="60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60"/>
      <c r="DF44" s="60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60"/>
      <c r="DW44" s="60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60"/>
      <c r="EN44" s="60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60"/>
      <c r="FE44" s="60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60"/>
      <c r="FV44" s="60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60"/>
      <c r="GM44" s="60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</row>
    <row r="45" spans="1:222" ht="15.75" customHeight="1">
      <c r="A45" s="1"/>
      <c r="B45" s="56"/>
      <c r="C45" s="287"/>
      <c r="D45" s="1"/>
      <c r="E45" s="1"/>
      <c r="F45" s="264"/>
      <c r="G45" s="60"/>
      <c r="H45" s="6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60"/>
      <c r="Y45" s="60"/>
      <c r="Z45" s="60"/>
      <c r="AA45" s="60"/>
      <c r="AB45" s="60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60"/>
      <c r="AP45" s="60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60"/>
      <c r="BG45" s="60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60"/>
      <c r="BX45" s="60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60"/>
      <c r="CO45" s="60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60"/>
      <c r="DF45" s="60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60"/>
      <c r="DW45" s="60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60"/>
      <c r="EN45" s="60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60"/>
      <c r="FE45" s="60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60"/>
      <c r="FV45" s="60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60"/>
      <c r="GM45" s="60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</row>
    <row r="46" spans="1:222" ht="15.75" customHeight="1">
      <c r="A46" s="1"/>
      <c r="B46" s="56"/>
      <c r="C46" s="287"/>
      <c r="D46" s="1"/>
      <c r="E46" s="1"/>
      <c r="F46" s="264"/>
      <c r="G46" s="60"/>
      <c r="H46" s="6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60"/>
      <c r="Y46" s="60"/>
      <c r="Z46" s="60"/>
      <c r="AA46" s="60"/>
      <c r="AB46" s="60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60"/>
      <c r="AP46" s="60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60"/>
      <c r="BG46" s="60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60"/>
      <c r="BX46" s="60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60"/>
      <c r="CO46" s="60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60"/>
      <c r="DF46" s="60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60"/>
      <c r="DW46" s="60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60"/>
      <c r="EN46" s="60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60"/>
      <c r="FE46" s="60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60"/>
      <c r="FV46" s="60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60"/>
      <c r="GM46" s="60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</row>
    <row r="47" spans="1:222" ht="15.75" customHeight="1">
      <c r="A47" s="1"/>
      <c r="B47" s="56"/>
      <c r="C47" s="287"/>
      <c r="D47" s="1"/>
      <c r="E47" s="1"/>
      <c r="F47" s="264"/>
      <c r="G47" s="60"/>
      <c r="H47" s="6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60"/>
      <c r="Y47" s="60"/>
      <c r="Z47" s="60"/>
      <c r="AA47" s="60"/>
      <c r="AB47" s="60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60"/>
      <c r="AP47" s="60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60"/>
      <c r="BG47" s="60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60"/>
      <c r="BX47" s="60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60"/>
      <c r="CO47" s="60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60"/>
      <c r="DF47" s="60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60"/>
      <c r="DW47" s="60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60"/>
      <c r="EN47" s="60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60"/>
      <c r="FE47" s="60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60"/>
      <c r="FV47" s="60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60"/>
      <c r="GM47" s="60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</row>
    <row r="48" spans="1:222" ht="15.75" customHeight="1">
      <c r="A48" s="1"/>
      <c r="B48" s="56"/>
      <c r="C48" s="287"/>
      <c r="D48" s="1"/>
      <c r="E48" s="1"/>
      <c r="F48" s="264"/>
      <c r="G48" s="60"/>
      <c r="H48" s="6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0"/>
      <c r="Y48" s="60"/>
      <c r="Z48" s="60"/>
      <c r="AA48" s="60"/>
      <c r="AB48" s="60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60"/>
      <c r="AP48" s="60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60"/>
      <c r="BG48" s="60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60"/>
      <c r="BX48" s="60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60"/>
      <c r="CO48" s="60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60"/>
      <c r="DF48" s="60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60"/>
      <c r="DW48" s="60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60"/>
      <c r="EN48" s="60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60"/>
      <c r="FE48" s="60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60"/>
      <c r="FV48" s="60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60"/>
      <c r="GM48" s="60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</row>
    <row r="49" spans="1:222" ht="15.75" customHeight="1">
      <c r="A49" s="1"/>
      <c r="B49" s="56"/>
      <c r="C49" s="287"/>
      <c r="D49" s="1"/>
      <c r="E49" s="1"/>
      <c r="F49" s="264"/>
      <c r="G49" s="60"/>
      <c r="H49" s="6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60"/>
      <c r="Y49" s="60"/>
      <c r="Z49" s="60"/>
      <c r="AA49" s="60"/>
      <c r="AB49" s="60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60"/>
      <c r="AP49" s="60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60"/>
      <c r="BG49" s="60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60"/>
      <c r="BX49" s="60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60"/>
      <c r="CO49" s="60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60"/>
      <c r="DF49" s="60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60"/>
      <c r="DW49" s="60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60"/>
      <c r="EN49" s="60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60"/>
      <c r="FE49" s="60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60"/>
      <c r="FV49" s="60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60"/>
      <c r="GM49" s="60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</row>
    <row r="50" spans="1:222" ht="15.75" customHeight="1">
      <c r="A50" s="1"/>
      <c r="B50" s="56"/>
      <c r="C50" s="287"/>
      <c r="D50" s="1"/>
      <c r="E50" s="1"/>
      <c r="F50" s="264"/>
      <c r="G50" s="60"/>
      <c r="H50" s="6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60"/>
      <c r="Y50" s="60"/>
      <c r="Z50" s="60"/>
      <c r="AA50" s="60"/>
      <c r="AB50" s="60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60"/>
      <c r="AP50" s="60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60"/>
      <c r="BG50" s="60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60"/>
      <c r="BX50" s="60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60"/>
      <c r="CO50" s="60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60"/>
      <c r="DF50" s="60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60"/>
      <c r="DW50" s="60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60"/>
      <c r="EN50" s="60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60"/>
      <c r="FE50" s="60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60"/>
      <c r="FV50" s="60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60"/>
      <c r="GM50" s="60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</row>
    <row r="51" spans="1:222" ht="15.75" customHeight="1">
      <c r="A51" s="1"/>
      <c r="B51" s="56"/>
      <c r="C51" s="287"/>
      <c r="D51" s="1"/>
      <c r="E51" s="1"/>
      <c r="F51" s="264"/>
      <c r="G51" s="60"/>
      <c r="H51" s="6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60"/>
      <c r="Y51" s="60"/>
      <c r="Z51" s="60"/>
      <c r="AA51" s="60"/>
      <c r="AB51" s="60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60"/>
      <c r="AP51" s="60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60"/>
      <c r="BG51" s="60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60"/>
      <c r="BX51" s="60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60"/>
      <c r="CO51" s="60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60"/>
      <c r="DF51" s="60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60"/>
      <c r="DW51" s="60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60"/>
      <c r="EN51" s="60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60"/>
      <c r="FE51" s="60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60"/>
      <c r="FV51" s="60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60"/>
      <c r="GM51" s="60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</row>
    <row r="52" spans="1:222" ht="15.75" customHeight="1">
      <c r="A52" s="1"/>
      <c r="B52" s="56"/>
      <c r="C52" s="287"/>
      <c r="D52" s="1"/>
      <c r="E52" s="1"/>
      <c r="F52" s="264"/>
      <c r="G52" s="60"/>
      <c r="H52" s="6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60"/>
      <c r="Y52" s="60"/>
      <c r="Z52" s="60"/>
      <c r="AA52" s="60"/>
      <c r="AB52" s="60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60"/>
      <c r="AP52" s="60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60"/>
      <c r="BG52" s="60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60"/>
      <c r="BX52" s="60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60"/>
      <c r="CO52" s="60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60"/>
      <c r="DF52" s="60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60"/>
      <c r="DW52" s="60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60"/>
      <c r="EN52" s="60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60"/>
      <c r="FE52" s="60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60"/>
      <c r="FV52" s="60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60"/>
      <c r="GM52" s="60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</row>
    <row r="53" spans="1:222" ht="15.75" customHeight="1">
      <c r="A53" s="1"/>
      <c r="B53" s="1"/>
      <c r="C53" s="1"/>
      <c r="D53" s="1"/>
      <c r="E53" s="1"/>
      <c r="F53" s="264"/>
      <c r="G53" s="60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60"/>
      <c r="Y53" s="60"/>
      <c r="Z53" s="60"/>
      <c r="AA53" s="60"/>
      <c r="AB53" s="60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60"/>
      <c r="AP53" s="60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60"/>
      <c r="BG53" s="60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60"/>
      <c r="BX53" s="60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60"/>
      <c r="CO53" s="60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60"/>
      <c r="DF53" s="60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60"/>
      <c r="DW53" s="60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60"/>
      <c r="EN53" s="60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60"/>
      <c r="FE53" s="60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60"/>
      <c r="FV53" s="60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60"/>
      <c r="GM53" s="60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</row>
    <row r="54" spans="1:222" ht="15.75" customHeight="1">
      <c r="A54" s="1"/>
      <c r="B54" s="1"/>
      <c r="C54" s="1"/>
      <c r="D54" s="1"/>
      <c r="E54" s="1"/>
      <c r="F54" s="264"/>
      <c r="G54" s="60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60"/>
      <c r="Y54" s="60"/>
      <c r="Z54" s="60"/>
      <c r="AA54" s="60"/>
      <c r="AB54" s="60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60"/>
      <c r="AP54" s="60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60"/>
      <c r="BG54" s="60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60"/>
      <c r="BX54" s="60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60"/>
      <c r="CO54" s="60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60"/>
      <c r="DF54" s="60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60"/>
      <c r="DW54" s="60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60"/>
      <c r="EN54" s="60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60"/>
      <c r="FE54" s="60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60"/>
      <c r="FV54" s="60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60"/>
      <c r="GM54" s="60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</row>
    <row r="55" spans="1:222" ht="15.75" customHeight="1">
      <c r="A55" s="1"/>
      <c r="B55" s="1"/>
      <c r="C55" s="1"/>
      <c r="D55" s="1"/>
      <c r="E55" s="1"/>
      <c r="F55" s="264"/>
      <c r="G55" s="60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60"/>
      <c r="Y55" s="60"/>
      <c r="Z55" s="60"/>
      <c r="AA55" s="60"/>
      <c r="AB55" s="60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60"/>
      <c r="AP55" s="60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60"/>
      <c r="BG55" s="60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60"/>
      <c r="BX55" s="60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60"/>
      <c r="CO55" s="60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60"/>
      <c r="DF55" s="60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60"/>
      <c r="DW55" s="60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60"/>
      <c r="EN55" s="60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60"/>
      <c r="FE55" s="60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60"/>
      <c r="FV55" s="60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60"/>
      <c r="GM55" s="60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</row>
    <row r="56" spans="1:222" ht="15.75" customHeight="1">
      <c r="A56" s="1"/>
      <c r="B56" s="1"/>
      <c r="C56" s="1"/>
      <c r="D56" s="1"/>
      <c r="E56" s="1"/>
      <c r="F56" s="264"/>
      <c r="G56" s="60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60"/>
      <c r="Y56" s="60"/>
      <c r="Z56" s="60"/>
      <c r="AA56" s="60"/>
      <c r="AB56" s="60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60"/>
      <c r="AP56" s="60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60"/>
      <c r="BG56" s="60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60"/>
      <c r="BX56" s="60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60"/>
      <c r="CO56" s="60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60"/>
      <c r="DF56" s="60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60"/>
      <c r="DW56" s="60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60"/>
      <c r="EN56" s="60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60"/>
      <c r="FE56" s="60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60"/>
      <c r="FV56" s="60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60"/>
      <c r="GM56" s="60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</row>
    <row r="57" spans="1:222" ht="15.75" customHeight="1">
      <c r="A57" s="1"/>
      <c r="B57" s="1"/>
      <c r="C57" s="1"/>
      <c r="D57" s="1"/>
      <c r="E57" s="1"/>
      <c r="F57" s="264"/>
      <c r="G57" s="60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60"/>
      <c r="Y57" s="60"/>
      <c r="Z57" s="60"/>
      <c r="AA57" s="60"/>
      <c r="AB57" s="60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60"/>
      <c r="AP57" s="60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60"/>
      <c r="BG57" s="60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60"/>
      <c r="BX57" s="60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60"/>
      <c r="CO57" s="60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60"/>
      <c r="DF57" s="60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60"/>
      <c r="DW57" s="60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60"/>
      <c r="EN57" s="60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60"/>
      <c r="FE57" s="60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60"/>
      <c r="FV57" s="60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60"/>
      <c r="GM57" s="60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</row>
    <row r="58" spans="1:222" ht="15.75" customHeight="1">
      <c r="A58" s="1"/>
      <c r="B58" s="1"/>
      <c r="C58" s="1"/>
      <c r="D58" s="1"/>
      <c r="E58" s="1"/>
      <c r="F58" s="264"/>
      <c r="G58" s="60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60"/>
      <c r="Y58" s="60"/>
      <c r="Z58" s="60"/>
      <c r="AA58" s="60"/>
      <c r="AB58" s="60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60"/>
      <c r="AP58" s="60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60"/>
      <c r="BG58" s="60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60"/>
      <c r="BX58" s="60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60"/>
      <c r="CO58" s="60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60"/>
      <c r="DF58" s="60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60"/>
      <c r="DW58" s="60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60"/>
      <c r="EN58" s="60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60"/>
      <c r="FE58" s="60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60"/>
      <c r="FV58" s="60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60"/>
      <c r="GM58" s="60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</row>
    <row r="59" spans="1:222" ht="15.75" customHeight="1">
      <c r="A59" s="1"/>
      <c r="B59" s="1"/>
      <c r="C59" s="1"/>
      <c r="D59" s="1"/>
      <c r="E59" s="1"/>
      <c r="F59" s="264"/>
      <c r="G59" s="60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60"/>
      <c r="Y59" s="60"/>
      <c r="Z59" s="60"/>
      <c r="AA59" s="60"/>
      <c r="AB59" s="60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60"/>
      <c r="AP59" s="60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60"/>
      <c r="BG59" s="60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60"/>
      <c r="BX59" s="60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60"/>
      <c r="CO59" s="60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60"/>
      <c r="DF59" s="60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60"/>
      <c r="DW59" s="60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60"/>
      <c r="EN59" s="60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60"/>
      <c r="FE59" s="60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60"/>
      <c r="FV59" s="60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60"/>
      <c r="GM59" s="60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</row>
  </sheetData>
  <mergeCells count="311">
    <mergeCell ref="GL6:HB6"/>
    <mergeCell ref="EC7:EE7"/>
    <mergeCell ref="EF7:EF9"/>
    <mergeCell ref="EG7:EG9"/>
    <mergeCell ref="ED8:ED9"/>
    <mergeCell ref="GT8:GT9"/>
    <mergeCell ref="FX7:FX9"/>
    <mergeCell ref="FY7:GA7"/>
    <mergeCell ref="GB7:GD7"/>
    <mergeCell ref="GE7:GE9"/>
    <mergeCell ref="GF7:GF9"/>
    <mergeCell ref="ET7:EV7"/>
    <mergeCell ref="EW7:EW9"/>
    <mergeCell ref="EX7:EX9"/>
    <mergeCell ref="FC7:FC9"/>
    <mergeCell ref="FD7:FD9"/>
    <mergeCell ref="FF7:FF9"/>
    <mergeCell ref="FO7:FO9"/>
    <mergeCell ref="FT7:FT9"/>
    <mergeCell ref="DV5:EL5"/>
    <mergeCell ref="EM5:FC5"/>
    <mergeCell ref="FD5:FT5"/>
    <mergeCell ref="FU5:GK5"/>
    <mergeCell ref="EM7:EM9"/>
    <mergeCell ref="EO7:EO9"/>
    <mergeCell ref="CV8:CV9"/>
    <mergeCell ref="DJ8:DJ9"/>
    <mergeCell ref="DK8:DK9"/>
    <mergeCell ref="DM8:DM9"/>
    <mergeCell ref="DG7:DG9"/>
    <mergeCell ref="DH7:DH9"/>
    <mergeCell ref="CU7:CW7"/>
    <mergeCell ref="FU7:FU9"/>
    <mergeCell ref="FW7:FW9"/>
    <mergeCell ref="CX7:CX9"/>
    <mergeCell ref="CY7:CY9"/>
    <mergeCell ref="DD7:DD9"/>
    <mergeCell ref="DE7:DE9"/>
    <mergeCell ref="FL8:FL9"/>
    <mergeCell ref="FK7:FM7"/>
    <mergeCell ref="FN7:FN9"/>
    <mergeCell ref="FD6:FT6"/>
    <mergeCell ref="FU6:GK6"/>
    <mergeCell ref="GL5:HB5"/>
    <mergeCell ref="B1:D1"/>
    <mergeCell ref="B5:D5"/>
    <mergeCell ref="G5:W5"/>
    <mergeCell ref="X5:AN5"/>
    <mergeCell ref="AO5:BE5"/>
    <mergeCell ref="BF5:BV5"/>
    <mergeCell ref="BW5:CM5"/>
    <mergeCell ref="DV6:EL6"/>
    <mergeCell ref="EM6:FC6"/>
    <mergeCell ref="B6:B9"/>
    <mergeCell ref="C6:C9"/>
    <mergeCell ref="D6:D9"/>
    <mergeCell ref="E6:E9"/>
    <mergeCell ref="F6:F9"/>
    <mergeCell ref="G6:W6"/>
    <mergeCell ref="X6:AN6"/>
    <mergeCell ref="AI7:AI9"/>
    <mergeCell ref="AF8:AF9"/>
    <mergeCell ref="EL7:EL9"/>
    <mergeCell ref="ER8:ER9"/>
    <mergeCell ref="ES8:ES9"/>
    <mergeCell ref="CN5:DD5"/>
    <mergeCell ref="DE5:DU5"/>
    <mergeCell ref="J7:J9"/>
    <mergeCell ref="K7:M7"/>
    <mergeCell ref="L8:L9"/>
    <mergeCell ref="M8:M9"/>
    <mergeCell ref="O8:O9"/>
    <mergeCell ref="AC8:AC9"/>
    <mergeCell ref="AD8:AD9"/>
    <mergeCell ref="CS8:CS9"/>
    <mergeCell ref="CT8:CT9"/>
    <mergeCell ref="BK8:BK9"/>
    <mergeCell ref="BL8:BL9"/>
    <mergeCell ref="BJ7:BL7"/>
    <mergeCell ref="BM7:BO7"/>
    <mergeCell ref="BP7:BP9"/>
    <mergeCell ref="BQ7:BQ9"/>
    <mergeCell ref="BU7:BU9"/>
    <mergeCell ref="CG7:CG9"/>
    <mergeCell ref="CH7:CH9"/>
    <mergeCell ref="CM7:CM9"/>
    <mergeCell ref="CD7:CF7"/>
    <mergeCell ref="CN7:CN9"/>
    <mergeCell ref="CP7:CP9"/>
    <mergeCell ref="R7:R9"/>
    <mergeCell ref="V7:V9"/>
    <mergeCell ref="G7:G9"/>
    <mergeCell ref="I7:I9"/>
    <mergeCell ref="AO6:BE6"/>
    <mergeCell ref="BF6:BV6"/>
    <mergeCell ref="BW6:CM6"/>
    <mergeCell ref="CN6:DD6"/>
    <mergeCell ref="DE6:DU6"/>
    <mergeCell ref="BV7:BV9"/>
    <mergeCell ref="BW7:BW9"/>
    <mergeCell ref="BN8:BN9"/>
    <mergeCell ref="AT8:AT9"/>
    <mergeCell ref="AU8:AU9"/>
    <mergeCell ref="AW8:AW9"/>
    <mergeCell ref="CB8:CB9"/>
    <mergeCell ref="CC8:CC9"/>
    <mergeCell ref="CE8:CE9"/>
    <mergeCell ref="BD7:BD9"/>
    <mergeCell ref="BE7:BE9"/>
    <mergeCell ref="BF7:BF9"/>
    <mergeCell ref="BH7:BH9"/>
    <mergeCell ref="BI7:BI9"/>
    <mergeCell ref="BY7:BY9"/>
    <mergeCell ref="BZ7:BZ9"/>
    <mergeCell ref="CA7:CC7"/>
    <mergeCell ref="FZ10:GA10"/>
    <mergeCell ref="FZ11:GA11"/>
    <mergeCell ref="FZ12:GA12"/>
    <mergeCell ref="FZ13:GA13"/>
    <mergeCell ref="FZ14:GA14"/>
    <mergeCell ref="ER15:ES15"/>
    <mergeCell ref="ER16:ES16"/>
    <mergeCell ref="EQ7:ES7"/>
    <mergeCell ref="ER10:ES10"/>
    <mergeCell ref="ER11:ES11"/>
    <mergeCell ref="ER12:ES12"/>
    <mergeCell ref="ER13:ES13"/>
    <mergeCell ref="ER14:ES14"/>
    <mergeCell ref="FI15:FJ15"/>
    <mergeCell ref="FI16:FJ16"/>
    <mergeCell ref="FG7:FG9"/>
    <mergeCell ref="FH7:FJ7"/>
    <mergeCell ref="FI10:FJ10"/>
    <mergeCell ref="FI11:FJ11"/>
    <mergeCell ref="FI12:FJ12"/>
    <mergeCell ref="FI13:FJ13"/>
    <mergeCell ref="FI14:FJ14"/>
    <mergeCell ref="BK21:BL21"/>
    <mergeCell ref="BK10:BL10"/>
    <mergeCell ref="BK11:BL11"/>
    <mergeCell ref="BK12:BL12"/>
    <mergeCell ref="BK13:BL13"/>
    <mergeCell ref="BK14:BL14"/>
    <mergeCell ref="BK15:BL15"/>
    <mergeCell ref="BK16:BL16"/>
    <mergeCell ref="N7:P7"/>
    <mergeCell ref="Q7:Q9"/>
    <mergeCell ref="AO7:AO9"/>
    <mergeCell ref="AQ7:AQ9"/>
    <mergeCell ref="AR7:AR9"/>
    <mergeCell ref="AS7:AU7"/>
    <mergeCell ref="AV7:AX7"/>
    <mergeCell ref="AY7:AY9"/>
    <mergeCell ref="AZ7:AZ9"/>
    <mergeCell ref="Z7:Z9"/>
    <mergeCell ref="AA7:AA9"/>
    <mergeCell ref="W7:W9"/>
    <mergeCell ref="X7:X9"/>
    <mergeCell ref="AB7:AD7"/>
    <mergeCell ref="AE7:AG7"/>
    <mergeCell ref="AH7:AH9"/>
    <mergeCell ref="CS10:CT10"/>
    <mergeCell ref="CS11:CT11"/>
    <mergeCell ref="CS12:CT12"/>
    <mergeCell ref="CS13:CT13"/>
    <mergeCell ref="CS14:CT14"/>
    <mergeCell ref="CQ7:CQ9"/>
    <mergeCell ref="CR7:CT7"/>
    <mergeCell ref="CB21:CC21"/>
    <mergeCell ref="CB10:CC10"/>
    <mergeCell ref="CB11:CC11"/>
    <mergeCell ref="CB12:CC12"/>
    <mergeCell ref="CB13:CC13"/>
    <mergeCell ref="CB14:CC14"/>
    <mergeCell ref="CB15:CC15"/>
    <mergeCell ref="CB16:CC16"/>
    <mergeCell ref="CS15:CT15"/>
    <mergeCell ref="CS16:CT16"/>
    <mergeCell ref="CS17:CT17"/>
    <mergeCell ref="CS18:CT18"/>
    <mergeCell ref="CS19:CT19"/>
    <mergeCell ref="CS20:CT20"/>
    <mergeCell ref="CS21:CT21"/>
    <mergeCell ref="CB17:CC17"/>
    <mergeCell ref="CB18:CC18"/>
    <mergeCell ref="DI7:DK7"/>
    <mergeCell ref="DL7:DN7"/>
    <mergeCell ref="DO7:DO9"/>
    <mergeCell ref="DP7:DP9"/>
    <mergeCell ref="DU7:DU9"/>
    <mergeCell ref="DV7:DV9"/>
    <mergeCell ref="DX7:DX9"/>
    <mergeCell ref="EA15:EB15"/>
    <mergeCell ref="EA16:EB16"/>
    <mergeCell ref="ER18:ES18"/>
    <mergeCell ref="FI18:FJ18"/>
    <mergeCell ref="EA18:EB18"/>
    <mergeCell ref="DY7:DY9"/>
    <mergeCell ref="DZ7:EB7"/>
    <mergeCell ref="EA10:EB10"/>
    <mergeCell ref="EA11:EB11"/>
    <mergeCell ref="EA12:EB12"/>
    <mergeCell ref="EA13:EB13"/>
    <mergeCell ref="EA14:EB14"/>
    <mergeCell ref="EP7:EP9"/>
    <mergeCell ref="EA8:EA9"/>
    <mergeCell ref="EB8:EB9"/>
    <mergeCell ref="EU8:EU9"/>
    <mergeCell ref="FI8:FI9"/>
    <mergeCell ref="FJ8:FJ9"/>
    <mergeCell ref="EA21:EB21"/>
    <mergeCell ref="ER21:ES21"/>
    <mergeCell ref="FI21:FJ21"/>
    <mergeCell ref="DJ17:DK17"/>
    <mergeCell ref="DJ18:DK18"/>
    <mergeCell ref="DJ19:DK19"/>
    <mergeCell ref="DJ20:DK20"/>
    <mergeCell ref="DJ21:DK21"/>
    <mergeCell ref="DJ10:DK10"/>
    <mergeCell ref="DJ11:DK11"/>
    <mergeCell ref="DJ12:DK12"/>
    <mergeCell ref="DJ13:DK13"/>
    <mergeCell ref="DJ14:DK14"/>
    <mergeCell ref="DJ15:DK15"/>
    <mergeCell ref="DJ16:DK16"/>
    <mergeCell ref="EA19:EB19"/>
    <mergeCell ref="ER19:ES19"/>
    <mergeCell ref="FI19:FJ19"/>
    <mergeCell ref="ER20:ES20"/>
    <mergeCell ref="FI20:FJ20"/>
    <mergeCell ref="EA20:EB20"/>
    <mergeCell ref="EA17:EB17"/>
    <mergeCell ref="ER17:ES17"/>
    <mergeCell ref="FI17:FJ17"/>
    <mergeCell ref="GQ20:GR20"/>
    <mergeCell ref="FZ21:GA21"/>
    <mergeCell ref="GQ21:GR21"/>
    <mergeCell ref="GW7:GW9"/>
    <mergeCell ref="HB7:HB9"/>
    <mergeCell ref="GK7:GK9"/>
    <mergeCell ref="GL7:GL9"/>
    <mergeCell ref="GN7:GN9"/>
    <mergeCell ref="GO7:GO9"/>
    <mergeCell ref="GP7:GR7"/>
    <mergeCell ref="GS7:GU7"/>
    <mergeCell ref="GV7:GV9"/>
    <mergeCell ref="FZ15:GA15"/>
    <mergeCell ref="FZ16:GA16"/>
    <mergeCell ref="FZ8:FZ9"/>
    <mergeCell ref="GA8:GA9"/>
    <mergeCell ref="GC8:GC9"/>
    <mergeCell ref="GQ8:GQ9"/>
    <mergeCell ref="GR8:GR9"/>
    <mergeCell ref="FZ20:GA20"/>
    <mergeCell ref="GQ10:GR10"/>
    <mergeCell ref="GQ11:GR11"/>
    <mergeCell ref="GQ12:GR12"/>
    <mergeCell ref="FZ17:GA17"/>
    <mergeCell ref="AC15:AD15"/>
    <mergeCell ref="AC16:AD16"/>
    <mergeCell ref="AC10:AD10"/>
    <mergeCell ref="AC11:AD11"/>
    <mergeCell ref="AC12:AD12"/>
    <mergeCell ref="AC13:AD13"/>
    <mergeCell ref="AC14:AD14"/>
    <mergeCell ref="AT19:AU19"/>
    <mergeCell ref="AT20:AU20"/>
    <mergeCell ref="CB19:CC19"/>
    <mergeCell ref="CB20:CC20"/>
    <mergeCell ref="BK17:BL17"/>
    <mergeCell ref="BK18:BL18"/>
    <mergeCell ref="BK19:BL19"/>
    <mergeCell ref="BK20:BL20"/>
    <mergeCell ref="L17:M17"/>
    <mergeCell ref="AC17:AD17"/>
    <mergeCell ref="L18:M18"/>
    <mergeCell ref="AC18:AD18"/>
    <mergeCell ref="AC19:AD19"/>
    <mergeCell ref="FZ18:GA18"/>
    <mergeCell ref="FZ19:GA19"/>
    <mergeCell ref="GQ16:GR16"/>
    <mergeCell ref="GQ17:GR17"/>
    <mergeCell ref="GQ15:GR15"/>
    <mergeCell ref="GQ18:GR18"/>
    <mergeCell ref="GQ14:GR14"/>
    <mergeCell ref="GQ19:GR19"/>
    <mergeCell ref="GQ13:GR13"/>
    <mergeCell ref="AT21:AU21"/>
    <mergeCell ref="AM7:AM9"/>
    <mergeCell ref="AN7:AN9"/>
    <mergeCell ref="AT10:AU10"/>
    <mergeCell ref="AT11:AU11"/>
    <mergeCell ref="AT12:AU12"/>
    <mergeCell ref="AT13:AU13"/>
    <mergeCell ref="AT14:AU14"/>
    <mergeCell ref="L10:M10"/>
    <mergeCell ref="L11:M11"/>
    <mergeCell ref="L12:M12"/>
    <mergeCell ref="L13:M13"/>
    <mergeCell ref="L14:M14"/>
    <mergeCell ref="AT15:AU15"/>
    <mergeCell ref="AT16:AU16"/>
    <mergeCell ref="AT17:AU17"/>
    <mergeCell ref="AT18:AU18"/>
    <mergeCell ref="L19:M19"/>
    <mergeCell ref="L20:M20"/>
    <mergeCell ref="L21:M21"/>
    <mergeCell ref="AC20:AD20"/>
    <mergeCell ref="AC21:AD21"/>
    <mergeCell ref="L15:M15"/>
    <mergeCell ref="L16:M16"/>
  </mergeCells>
  <dataValidations count="6">
    <dataValidation type="list" allowBlank="1" showErrorMessage="1" sqref="L10:L21 AC10:AC21 AT10:AT21 BK10:BK21 CB10:CB21 CS10:CS21 DJ10:DJ21 EA10:EA21 ER10:ER21 FI10:FI21 FZ10:FZ21 GQ10:GQ21">
      <formula1>$L$23:$L$26</formula1>
    </dataValidation>
    <dataValidation type="list" allowBlank="1" showErrorMessage="1" sqref="P10 AG10 AX10 BO10 CF10 CW10 DN10 EE10 EV10 FM10 GD10 GU10">
      <formula1>$P23:$P26</formula1>
    </dataValidation>
    <dataValidation type="list" allowBlank="1" showErrorMessage="1" sqref="U10:U21 AL10:AL21 BC10:BC21 BT10:BT21 CK10:CK21 DB10:DB21 DS10:DS21 EJ10:EJ21 FA10:FA21 FR10:FR21 GI10:GI21 GZ10:GZ21">
      <formula1>$U$8:$U$9</formula1>
    </dataValidation>
    <dataValidation type="list" allowBlank="1" showErrorMessage="1" sqref="O10:O21 AF10:AF21 AW10:AW21 BN10:BN21 CE10:CE21 CV10:CV21 DM10:DM21 ED10:ED21 EU10:EU21 FL10:FL21 GC10:GC21 GT10:GT21">
      <formula1>$O$23:$O$26</formula1>
    </dataValidation>
    <dataValidation type="list" allowBlank="1" showErrorMessage="1" sqref="H10:H21 Y10:Y21 AP10:AP21 BG10:BG21 BX10:BX21 CO10:CO21 DF10:DF21 DW10:DW21 EN10:EN21 FE10:FE21 FV10:FV21 GM10:GM21">
      <formula1>$H$8:$H$9</formula1>
    </dataValidation>
    <dataValidation type="list" allowBlank="1" sqref="P11:P21 AG11:AG21 AX11:AX21 BO11:BO21 CF11:CF21 CW11:CW21 DN11:DN21 EE11:EE21 EV11:EV21 FM11:FM21 GD11:GD21 GU11:GU21">
      <formula1>$P$23:$P$26</formula1>
    </dataValidation>
  </dataValidations>
  <printOptions horizontalCentered="1" verticalCentered="1"/>
  <pageMargins left="0.25" right="0.25" top="0.75" bottom="0.75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'DADOS-CADASTRAIS'!$C$6:$C$102</xm:f>
          </x14:formula1>
          <xm:sqref>I10:I21 Z10:Z21 AQ10:AQ21 BH10:BH21 BY10:BY21 CP10:CP21 DG10:DG21 DX10:DX21 EO10:EO21 FF10:FF21 FW10:FW21 GN10:GN21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2" sqref="R32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97"/>
  <sheetViews>
    <sheetView workbookViewId="0">
      <selection activeCell="C14" sqref="C14:E14"/>
    </sheetView>
  </sheetViews>
  <sheetFormatPr defaultColWidth="14.42578125" defaultRowHeight="15" customHeight="1"/>
  <cols>
    <col min="1" max="1" width="2.42578125" customWidth="1"/>
    <col min="2" max="2" width="56.7109375" customWidth="1"/>
    <col min="3" max="4" width="41.7109375" customWidth="1"/>
    <col min="5" max="5" width="47.28515625" customWidth="1"/>
    <col min="6" max="6" width="48.28515625" customWidth="1"/>
    <col min="7" max="8" width="48.28515625" hidden="1" customWidth="1"/>
    <col min="9" max="14" width="46.7109375" hidden="1" customWidth="1"/>
    <col min="15" max="15" width="9.140625" customWidth="1"/>
  </cols>
  <sheetData>
    <row r="1" spans="1:15" ht="4.5" customHeight="1">
      <c r="A1" s="319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</row>
    <row r="2" spans="1:15" ht="12.75" customHeight="1">
      <c r="A2" s="320"/>
      <c r="B2" s="321"/>
      <c r="C2" s="320"/>
      <c r="D2" s="322"/>
      <c r="E2" s="322"/>
      <c r="F2" s="320"/>
      <c r="G2" s="320"/>
      <c r="H2" s="320"/>
      <c r="I2" s="320"/>
      <c r="J2" s="320"/>
      <c r="K2" s="320"/>
      <c r="L2" s="320"/>
      <c r="M2" s="320"/>
      <c r="N2" s="320"/>
      <c r="O2" s="320"/>
    </row>
    <row r="3" spans="1:15" ht="12.75" customHeight="1">
      <c r="A3" s="320"/>
      <c r="B3" s="323" t="s">
        <v>233</v>
      </c>
      <c r="C3" s="322" t="s">
        <v>234</v>
      </c>
      <c r="D3" s="322"/>
      <c r="E3" s="322"/>
      <c r="F3" s="320"/>
      <c r="G3" s="320"/>
      <c r="H3" s="320"/>
      <c r="I3" s="320"/>
      <c r="J3" s="320"/>
      <c r="K3" s="320"/>
      <c r="L3" s="320"/>
      <c r="M3" s="320"/>
      <c r="N3" s="320"/>
      <c r="O3" s="320"/>
    </row>
    <row r="4" spans="1:15" ht="12.75" customHeight="1">
      <c r="A4" s="320"/>
      <c r="B4" s="321"/>
      <c r="C4" s="322" t="s">
        <v>235</v>
      </c>
      <c r="D4" s="322"/>
      <c r="E4" s="322"/>
      <c r="F4" s="320"/>
      <c r="G4" s="320"/>
      <c r="H4" s="320"/>
      <c r="I4" s="320"/>
      <c r="J4" s="320"/>
      <c r="K4" s="320"/>
      <c r="L4" s="320"/>
      <c r="M4" s="320"/>
      <c r="N4" s="320"/>
      <c r="O4" s="320"/>
    </row>
    <row r="5" spans="1:15" ht="12.75" customHeight="1">
      <c r="A5" s="320"/>
      <c r="B5" s="321"/>
      <c r="C5" s="322" t="s">
        <v>236</v>
      </c>
      <c r="D5" s="324"/>
      <c r="E5" s="324"/>
      <c r="F5" s="320"/>
      <c r="G5" s="320"/>
      <c r="H5" s="320"/>
      <c r="I5" s="320"/>
      <c r="J5" s="320"/>
      <c r="K5" s="320"/>
      <c r="L5" s="320"/>
      <c r="M5" s="320"/>
      <c r="N5" s="320"/>
      <c r="O5" s="320"/>
    </row>
    <row r="6" spans="1:15" ht="12.75" customHeight="1">
      <c r="A6" s="320"/>
      <c r="B6" s="321"/>
      <c r="C6" s="322"/>
      <c r="D6" s="322"/>
      <c r="E6" s="322"/>
      <c r="F6" s="320"/>
      <c r="G6" s="320"/>
      <c r="H6" s="320"/>
      <c r="I6" s="320"/>
      <c r="J6" s="320"/>
      <c r="K6" s="320"/>
      <c r="L6" s="320"/>
      <c r="M6" s="320"/>
      <c r="N6" s="320"/>
      <c r="O6" s="320"/>
    </row>
    <row r="7" spans="1:15" ht="12.75" customHeight="1">
      <c r="A7" s="320"/>
      <c r="B7" s="321"/>
      <c r="C7" s="322"/>
      <c r="D7" s="322"/>
      <c r="E7" s="322"/>
      <c r="F7" s="320"/>
      <c r="G7" s="320"/>
      <c r="H7" s="320"/>
      <c r="I7" s="320"/>
      <c r="J7" s="320"/>
      <c r="K7" s="320"/>
      <c r="L7" s="320"/>
      <c r="M7" s="320"/>
      <c r="N7" s="320"/>
      <c r="O7" s="320"/>
    </row>
    <row r="8" spans="1:15" ht="12.75" customHeight="1">
      <c r="A8" s="320"/>
      <c r="B8" s="321"/>
      <c r="C8" s="322"/>
      <c r="D8" s="322"/>
      <c r="E8" s="322"/>
      <c r="F8" s="320"/>
      <c r="G8" s="320"/>
      <c r="H8" s="320"/>
      <c r="I8" s="320"/>
      <c r="J8" s="320"/>
      <c r="K8" s="320"/>
      <c r="L8" s="320"/>
      <c r="M8" s="320"/>
      <c r="N8" s="320"/>
      <c r="O8" s="320"/>
    </row>
    <row r="9" spans="1:15" ht="12.75" customHeight="1">
      <c r="A9" s="320"/>
      <c r="B9" s="912" t="s">
        <v>237</v>
      </c>
      <c r="C9" s="846"/>
      <c r="D9" s="846"/>
      <c r="E9" s="901"/>
      <c r="F9" s="320"/>
      <c r="G9" s="320"/>
      <c r="H9" s="320"/>
      <c r="I9" s="320"/>
      <c r="J9" s="320"/>
      <c r="K9" s="320"/>
      <c r="L9" s="320"/>
      <c r="M9" s="320"/>
      <c r="N9" s="320"/>
      <c r="O9" s="320"/>
    </row>
    <row r="10" spans="1:15" ht="12.75" customHeight="1">
      <c r="A10" s="320"/>
      <c r="B10" s="321"/>
      <c r="C10" s="321"/>
      <c r="D10" s="321"/>
      <c r="E10" s="321"/>
      <c r="F10" s="320"/>
      <c r="G10" s="320"/>
      <c r="H10" s="320"/>
      <c r="I10" s="320"/>
      <c r="J10" s="320"/>
      <c r="K10" s="320"/>
      <c r="L10" s="320"/>
      <c r="M10" s="320"/>
      <c r="N10" s="320"/>
      <c r="O10" s="320"/>
    </row>
    <row r="11" spans="1:15" ht="18.75" customHeight="1">
      <c r="A11" s="320"/>
      <c r="B11" s="325" t="s">
        <v>238</v>
      </c>
      <c r="C11" s="913" t="str">
        <f>CAMPUS.CONTRATANTE!G5</f>
        <v xml:space="preserve"> S E R V I Ç O S     -    A G R O P E C U A R I O S </v>
      </c>
      <c r="D11" s="884"/>
      <c r="E11" s="884"/>
      <c r="F11" s="320"/>
      <c r="G11" s="320"/>
      <c r="H11" s="320"/>
      <c r="I11" s="320"/>
      <c r="J11" s="320"/>
      <c r="K11" s="320"/>
      <c r="L11" s="320"/>
      <c r="M11" s="320"/>
      <c r="N11" s="320"/>
      <c r="O11" s="320"/>
    </row>
    <row r="12" spans="1:15" ht="12.75" customHeight="1">
      <c r="A12" s="320"/>
      <c r="B12" s="326" t="s">
        <v>239</v>
      </c>
      <c r="C12" s="906" t="s">
        <v>1310</v>
      </c>
      <c r="D12" s="884"/>
      <c r="E12" s="907"/>
      <c r="F12" s="320"/>
      <c r="G12" s="320"/>
      <c r="H12" s="320"/>
      <c r="I12" s="320"/>
      <c r="J12" s="320"/>
      <c r="K12" s="320"/>
      <c r="L12" s="320"/>
      <c r="M12" s="320"/>
      <c r="N12" s="320"/>
      <c r="O12" s="320"/>
    </row>
    <row r="13" spans="1:15" ht="12.75" customHeight="1">
      <c r="A13" s="320"/>
      <c r="B13" s="327" t="s">
        <v>240</v>
      </c>
      <c r="C13" s="906" t="s">
        <v>1309</v>
      </c>
      <c r="D13" s="884"/>
      <c r="E13" s="907"/>
      <c r="F13" s="320"/>
      <c r="G13" s="320"/>
      <c r="H13" s="320"/>
      <c r="I13" s="320"/>
      <c r="J13" s="320"/>
      <c r="K13" s="320"/>
      <c r="L13" s="320"/>
      <c r="M13" s="320"/>
      <c r="N13" s="320"/>
      <c r="O13" s="320"/>
    </row>
    <row r="14" spans="1:15" ht="23.25" customHeight="1">
      <c r="A14" s="328"/>
      <c r="B14" s="329" t="s">
        <v>241</v>
      </c>
      <c r="C14" s="914" t="s">
        <v>43</v>
      </c>
      <c r="D14" s="884"/>
      <c r="E14" s="884"/>
      <c r="F14" s="330" t="s">
        <v>242</v>
      </c>
      <c r="G14" s="331"/>
      <c r="H14" s="331"/>
      <c r="I14" s="331"/>
      <c r="J14" s="331"/>
      <c r="K14" s="331"/>
      <c r="L14" s="331"/>
      <c r="M14" s="331"/>
      <c r="N14" s="331"/>
      <c r="O14" s="328"/>
    </row>
    <row r="15" spans="1:15" ht="12.75" customHeight="1">
      <c r="A15" s="320"/>
      <c r="B15" s="327" t="s">
        <v>243</v>
      </c>
      <c r="C15" s="906"/>
      <c r="D15" s="884"/>
      <c r="E15" s="907"/>
      <c r="F15" s="320"/>
      <c r="G15" s="320"/>
      <c r="H15" s="320"/>
      <c r="I15" s="320"/>
      <c r="J15" s="320"/>
      <c r="K15" s="320"/>
      <c r="L15" s="320"/>
      <c r="M15" s="320"/>
      <c r="N15" s="320"/>
      <c r="O15" s="320"/>
    </row>
    <row r="16" spans="1:15" ht="12.75" customHeight="1">
      <c r="A16" s="320"/>
      <c r="B16" s="327" t="s">
        <v>244</v>
      </c>
      <c r="C16" s="908"/>
      <c r="D16" s="884"/>
      <c r="E16" s="907"/>
      <c r="F16" s="320"/>
      <c r="G16" s="320"/>
      <c r="H16" s="320"/>
      <c r="I16" s="320"/>
      <c r="J16" s="320"/>
      <c r="K16" s="320"/>
      <c r="L16" s="320"/>
      <c r="M16" s="320"/>
      <c r="N16" s="320"/>
      <c r="O16" s="320"/>
    </row>
    <row r="17" spans="1:15" ht="12.75" customHeight="1">
      <c r="A17" s="320"/>
      <c r="B17" s="327" t="s">
        <v>245</v>
      </c>
      <c r="C17" s="906"/>
      <c r="D17" s="884"/>
      <c r="E17" s="907"/>
      <c r="F17" s="320"/>
      <c r="G17" s="320"/>
      <c r="H17" s="320"/>
      <c r="I17" s="320"/>
      <c r="J17" s="320"/>
      <c r="K17" s="320"/>
      <c r="L17" s="320"/>
      <c r="M17" s="320"/>
      <c r="N17" s="320"/>
      <c r="O17" s="320"/>
    </row>
    <row r="18" spans="1:15" ht="12.75" customHeight="1">
      <c r="A18" s="320"/>
      <c r="B18" s="327" t="s">
        <v>246</v>
      </c>
      <c r="C18" s="906"/>
      <c r="D18" s="884"/>
      <c r="E18" s="907"/>
      <c r="F18" s="320"/>
      <c r="G18" s="320"/>
      <c r="H18" s="320"/>
      <c r="I18" s="320"/>
      <c r="J18" s="320"/>
      <c r="K18" s="320"/>
      <c r="L18" s="320"/>
      <c r="M18" s="320"/>
      <c r="N18" s="320"/>
      <c r="O18" s="320"/>
    </row>
    <row r="19" spans="1:15" ht="12.75" customHeight="1">
      <c r="A19" s="320"/>
      <c r="B19" s="327" t="s">
        <v>247</v>
      </c>
      <c r="C19" s="906"/>
      <c r="D19" s="884"/>
      <c r="E19" s="907"/>
      <c r="F19" s="320"/>
      <c r="G19" s="320"/>
      <c r="H19" s="320"/>
      <c r="I19" s="320"/>
      <c r="J19" s="320"/>
      <c r="K19" s="320"/>
      <c r="L19" s="320"/>
      <c r="M19" s="320"/>
      <c r="N19" s="320"/>
      <c r="O19" s="320"/>
    </row>
    <row r="20" spans="1:15" ht="12.75" customHeight="1">
      <c r="A20" s="320"/>
      <c r="B20" s="327" t="s">
        <v>248</v>
      </c>
      <c r="C20" s="332"/>
      <c r="D20" s="333"/>
      <c r="E20" s="334"/>
      <c r="F20" s="320"/>
      <c r="G20" s="320"/>
      <c r="H20" s="320"/>
      <c r="I20" s="320"/>
      <c r="J20" s="320"/>
      <c r="K20" s="320"/>
      <c r="L20" s="320"/>
      <c r="M20" s="320"/>
      <c r="N20" s="320"/>
      <c r="O20" s="320"/>
    </row>
    <row r="21" spans="1:15" ht="12.75" customHeight="1">
      <c r="A21" s="320"/>
      <c r="B21" s="327" t="s">
        <v>249</v>
      </c>
      <c r="C21" s="906"/>
      <c r="D21" s="884"/>
      <c r="E21" s="907"/>
      <c r="F21" s="320"/>
      <c r="G21" s="320"/>
      <c r="H21" s="320"/>
      <c r="I21" s="320"/>
      <c r="J21" s="320"/>
      <c r="K21" s="320"/>
      <c r="L21" s="320"/>
      <c r="M21" s="320"/>
      <c r="N21" s="320"/>
      <c r="O21" s="320"/>
    </row>
    <row r="22" spans="1:15" ht="12.75" customHeight="1">
      <c r="A22" s="320"/>
      <c r="B22" s="327" t="s">
        <v>250</v>
      </c>
      <c r="C22" s="910"/>
      <c r="D22" s="884"/>
      <c r="E22" s="907"/>
      <c r="F22" s="320"/>
      <c r="G22" s="320"/>
      <c r="H22" s="320"/>
      <c r="I22" s="320"/>
      <c r="J22" s="320"/>
      <c r="K22" s="320"/>
      <c r="L22" s="320"/>
      <c r="M22" s="320"/>
      <c r="N22" s="320"/>
      <c r="O22" s="320"/>
    </row>
    <row r="23" spans="1:15" ht="12.75" customHeight="1">
      <c r="A23" s="320"/>
      <c r="B23" s="327" t="s">
        <v>251</v>
      </c>
      <c r="C23" s="911"/>
      <c r="D23" s="889"/>
      <c r="E23" s="890"/>
      <c r="F23" s="320"/>
      <c r="G23" s="320"/>
      <c r="H23" s="320"/>
      <c r="I23" s="320"/>
      <c r="J23" s="320"/>
      <c r="K23" s="320"/>
      <c r="L23" s="320"/>
      <c r="M23" s="320"/>
      <c r="N23" s="320"/>
      <c r="O23" s="320"/>
    </row>
    <row r="24" spans="1:15" ht="12.75" customHeight="1">
      <c r="A24" s="320"/>
      <c r="B24" s="335" t="s">
        <v>252</v>
      </c>
      <c r="C24" s="332"/>
      <c r="D24" s="334"/>
      <c r="E24" s="336"/>
      <c r="F24" s="320"/>
      <c r="G24" s="320"/>
      <c r="H24" s="320"/>
      <c r="I24" s="320"/>
      <c r="J24" s="320"/>
      <c r="K24" s="320"/>
      <c r="L24" s="320"/>
      <c r="M24" s="320"/>
      <c r="N24" s="320"/>
      <c r="O24" s="320"/>
    </row>
    <row r="25" spans="1:15" ht="12.75" customHeight="1">
      <c r="A25" s="320"/>
      <c r="B25" s="337"/>
      <c r="C25" s="337"/>
      <c r="D25" s="337"/>
      <c r="E25" s="337"/>
      <c r="F25" s="320"/>
      <c r="G25" s="320"/>
      <c r="H25" s="320"/>
      <c r="I25" s="320"/>
      <c r="J25" s="320"/>
      <c r="K25" s="320"/>
      <c r="L25" s="320"/>
      <c r="M25" s="320"/>
      <c r="N25" s="320"/>
      <c r="O25" s="320"/>
    </row>
    <row r="26" spans="1:15" ht="12.75" customHeight="1">
      <c r="A26" s="320"/>
      <c r="B26" s="900" t="s">
        <v>253</v>
      </c>
      <c r="C26" s="846"/>
      <c r="D26" s="901"/>
      <c r="E26" s="909" t="s">
        <v>254</v>
      </c>
      <c r="F26" s="909" t="s">
        <v>255</v>
      </c>
      <c r="G26" s="338"/>
      <c r="H26" s="338"/>
      <c r="I26" s="338"/>
      <c r="J26" s="338"/>
      <c r="K26" s="339"/>
      <c r="L26" s="339"/>
      <c r="M26" s="339"/>
      <c r="N26" s="339"/>
      <c r="O26" s="320"/>
    </row>
    <row r="27" spans="1:15" ht="12.75" customHeight="1">
      <c r="A27" s="320"/>
      <c r="B27" s="320"/>
      <c r="C27" s="320"/>
      <c r="D27" s="320"/>
      <c r="E27" s="905"/>
      <c r="F27" s="905"/>
      <c r="G27" s="339"/>
      <c r="H27" s="339"/>
      <c r="I27" s="339"/>
      <c r="J27" s="339"/>
      <c r="K27" s="339"/>
      <c r="L27" s="339"/>
      <c r="M27" s="339"/>
      <c r="N27" s="339"/>
      <c r="O27" s="320"/>
    </row>
    <row r="28" spans="1:15" ht="21.75" customHeight="1">
      <c r="A28" s="340"/>
      <c r="B28" s="341" t="s">
        <v>256</v>
      </c>
      <c r="C28" s="902">
        <v>1</v>
      </c>
      <c r="D28" s="342"/>
      <c r="E28" s="904">
        <v>1.6500000000000001E-2</v>
      </c>
      <c r="F28" s="904">
        <v>7.5999999999999998E-2</v>
      </c>
      <c r="G28" s="343"/>
      <c r="H28" s="344"/>
      <c r="I28" s="344"/>
      <c r="J28" s="344"/>
      <c r="K28" s="344"/>
      <c r="L28" s="344"/>
      <c r="M28" s="344"/>
      <c r="N28" s="344"/>
      <c r="O28" s="340"/>
    </row>
    <row r="29" spans="1:15" ht="21.75" customHeight="1">
      <c r="A29" s="340"/>
      <c r="B29" s="341" t="s">
        <v>257</v>
      </c>
      <c r="C29" s="903"/>
      <c r="D29" s="345"/>
      <c r="E29" s="905"/>
      <c r="F29" s="905"/>
      <c r="G29" s="343"/>
      <c r="H29" s="344"/>
      <c r="I29" s="344"/>
      <c r="J29" s="344"/>
      <c r="K29" s="344"/>
      <c r="L29" s="344"/>
      <c r="M29" s="344"/>
      <c r="N29" s="344"/>
      <c r="O29" s="340"/>
    </row>
    <row r="30" spans="1:15" ht="12.75" customHeight="1">
      <c r="A30" s="320"/>
      <c r="B30" s="346"/>
      <c r="C30" s="347"/>
      <c r="D30" s="347"/>
      <c r="E30" s="320"/>
      <c r="F30" s="320"/>
      <c r="G30" s="339"/>
      <c r="H30" s="339"/>
      <c r="I30" s="339"/>
      <c r="J30" s="339"/>
      <c r="K30" s="339"/>
      <c r="L30" s="339"/>
      <c r="M30" s="339"/>
      <c r="N30" s="339"/>
      <c r="O30" s="320"/>
    </row>
    <row r="31" spans="1:15" ht="12.75" customHeight="1">
      <c r="A31" s="320"/>
      <c r="B31" s="900" t="s">
        <v>258</v>
      </c>
      <c r="C31" s="846"/>
      <c r="D31" s="901"/>
      <c r="E31" s="348"/>
      <c r="F31" s="348"/>
      <c r="G31" s="349"/>
      <c r="H31" s="349"/>
      <c r="I31" s="349"/>
      <c r="J31" s="349"/>
      <c r="K31" s="349"/>
      <c r="L31" s="349"/>
      <c r="M31" s="349"/>
      <c r="N31" s="349"/>
      <c r="O31" s="320"/>
    </row>
    <row r="32" spans="1:15" ht="12.75" customHeight="1">
      <c r="A32" s="320"/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20"/>
    </row>
    <row r="33" spans="1:15" ht="32.25" customHeight="1">
      <c r="A33" s="320"/>
      <c r="B33" s="346" t="s">
        <v>259</v>
      </c>
      <c r="C33" s="351" t="str">
        <f>CAMPUS.CONTRATANTE!G6</f>
        <v>6210-05_CAPATAZ-Encarreg</v>
      </c>
      <c r="D33" s="351" t="str">
        <f>CAMPUS.CONTRATANTE!X6</f>
        <v>6210-05_PEAO-Trabalh.Agropec</v>
      </c>
      <c r="E33" s="351" t="str">
        <f>CAMPUS.CONTRATANTE!AO6</f>
        <v>6410-15_TRATORISTA-em-Geral</v>
      </c>
      <c r="F33" s="352" t="str">
        <f>CAMPUS.CONTRATANTE!BF6</f>
        <v>A NÃO TEM MAIS POSTOS-11</v>
      </c>
      <c r="G33" s="352" t="str">
        <f>CAMPUS.CONTRATANTE!BW6</f>
        <v>A NÃO TEM MAIS POSTOS-22</v>
      </c>
      <c r="H33" s="352" t="str">
        <f>CAMPUS.CONTRATANTE!CN6</f>
        <v>A NÃO TEM MAIS POSTOS-33</v>
      </c>
      <c r="I33" s="352" t="str">
        <f>CAMPUS.CONTRATANTE!DE6</f>
        <v>A NÃO TEM MAIS POSTOS-44</v>
      </c>
      <c r="J33" s="352" t="str">
        <f>CAMPUS.CONTRATANTE!DV6</f>
        <v>A NÃO TEM MAIS POSTOS-55</v>
      </c>
      <c r="K33" s="352" t="str">
        <f>CAMPUS.CONTRATANTE!EM6</f>
        <v>A NÃO TEM MAIS POSTOS-66</v>
      </c>
      <c r="L33" s="352" t="str">
        <f>CAMPUS.CONTRATANTE!FD6</f>
        <v>A NÃO TEM MAIS POSTOS-77</v>
      </c>
      <c r="M33" s="352" t="str">
        <f>CAMPUS.CONTRATANTE!FU6</f>
        <v>A NÃO TEM MAIS POSTOS-88</v>
      </c>
      <c r="N33" s="352" t="str">
        <f>CAMPUS.CONTRATANTE!GL6</f>
        <v>A NÃO TEM MAIS POSTOS-99</v>
      </c>
      <c r="O33" s="353"/>
    </row>
    <row r="34" spans="1:15" ht="8.25" customHeight="1">
      <c r="A34" s="320"/>
      <c r="B34" s="346"/>
      <c r="C34" s="351"/>
      <c r="D34" s="351"/>
      <c r="E34" s="351"/>
      <c r="F34" s="352"/>
      <c r="G34" s="352"/>
      <c r="H34" s="352"/>
      <c r="I34" s="352"/>
      <c r="J34" s="352"/>
      <c r="K34" s="352"/>
      <c r="L34" s="352"/>
      <c r="M34" s="352"/>
      <c r="N34" s="352"/>
      <c r="O34" s="353"/>
    </row>
    <row r="35" spans="1:15" ht="15" customHeight="1">
      <c r="A35" s="320"/>
      <c r="B35" s="346" t="s">
        <v>260</v>
      </c>
      <c r="C35" s="354" t="str">
        <f>VLOOKUP(C14,CAMPUS.CONTRATANTE!$D$10:$HD$21,6,0)</f>
        <v>RS002758/2022</v>
      </c>
      <c r="D35" s="354" t="str">
        <f>VLOOKUP(C14,CAMPUS.CONTRATANTE!$D$10:$HD$21,23,0)</f>
        <v>RS002758/2022</v>
      </c>
      <c r="E35" s="354" t="str">
        <f>VLOOKUP(C14,CAMPUS.CONTRATANTE!$D$10:$HD$21,40,0)</f>
        <v>RS002758/2022</v>
      </c>
      <c r="F35" s="355" t="str">
        <f>VLOOKUP(C14,CAMPUS.CONTRATANTE!$D$10:$HD$21,57,0)</f>
        <v>RS005021/2021</v>
      </c>
      <c r="G35" s="355" t="str">
        <f>VLOOKUP(C14,CAMPUS.CONTRATANTE!$D$10:$HD$21,74,0)</f>
        <v>RS005021/2021</v>
      </c>
      <c r="H35" s="355" t="str">
        <f>VLOOKUP(C14,CAMPUS.CONTRATANTE!$D$10:$HD$21,91,0)</f>
        <v>RS005021/2021</v>
      </c>
      <c r="I35" s="355" t="str">
        <f>VLOOKUP(C14,CAMPUS.CONTRATANTE!$D$10:$HD$21,108,0)</f>
        <v>RS005021/2021</v>
      </c>
      <c r="J35" s="355" t="str">
        <f>VLOOKUP(C14,CAMPUS.CONTRATANTE!$D$10:$HD$21,125,0)</f>
        <v>RS001505/2021</v>
      </c>
      <c r="K35" s="355" t="str">
        <f>VLOOKUP(C14,CAMPUS.CONTRATANTE!$D$10:$HD$21,142,0)</f>
        <v>RS001505/2021</v>
      </c>
      <c r="L35" s="355" t="str">
        <f>VLOOKUP(C14,CAMPUS.CONTRATANTE!$D$10:$HD$21,159,0)</f>
        <v>RS000690/2022</v>
      </c>
      <c r="M35" s="355" t="str">
        <f>VLOOKUP(C14,CAMPUS.CONTRATANTE!$D$10:$HD$21,176,0)</f>
        <v>RS005021/2021</v>
      </c>
      <c r="N35" s="355" t="str">
        <f>VLOOKUP(C14,CAMPUS.CONTRATANTE!$D$10:$HD$21,193,0)</f>
        <v>RS005021/2021</v>
      </c>
      <c r="O35" s="353"/>
    </row>
    <row r="36" spans="1:15" ht="15" customHeight="1">
      <c r="A36" s="320"/>
      <c r="B36" s="346" t="s">
        <v>261</v>
      </c>
      <c r="C36" s="350" t="str">
        <f>VLOOKUP(C35,'DADOS-CADASTRAIS'!$C$6:$O$102,3,0)</f>
        <v>01 de MARÇO</v>
      </c>
      <c r="D36" s="350" t="str">
        <f>VLOOKUP(D35,'DADOS-CADASTRAIS'!$C$6:$O$102,3,0)</f>
        <v>01 de MARÇO</v>
      </c>
      <c r="E36" s="356" t="str">
        <f>VLOOKUP(E35,'DADOS-CADASTRAIS'!$C$6:$O$102,3,0)</f>
        <v>01 de MARÇO</v>
      </c>
      <c r="F36" s="357" t="str">
        <f>VLOOKUP(F35,'DADOS-CADASTRAIS'!$C$6:$O$102,3,0)</f>
        <v>01 de JANEIRO</v>
      </c>
      <c r="G36" s="357" t="str">
        <f>VLOOKUP(G35,'DADOS-CADASTRAIS'!$C$6:$F$17,3,0)</f>
        <v>01 de JANEIRO</v>
      </c>
      <c r="H36" s="357" t="str">
        <f>VLOOKUP(H35,'DADOS-CADASTRAIS'!$C$6:$F$17,3,0)</f>
        <v>01 de JANEIRO</v>
      </c>
      <c r="I36" s="357" t="str">
        <f>VLOOKUP(I35,'DADOS-CADASTRAIS'!$C$6:$F$17,3,0)</f>
        <v>01 de JANEIRO</v>
      </c>
      <c r="J36" s="357" t="str">
        <f>VLOOKUP(J35,'DADOS-CADASTRAIS'!$C$6:$F$17,3,0)</f>
        <v>01 de ABRIL</v>
      </c>
      <c r="K36" s="357" t="str">
        <f>VLOOKUP(K35,'DADOS-CADASTRAIS'!$C$6:$F$17,3,0)</f>
        <v>01 de ABRIL</v>
      </c>
      <c r="L36" s="357" t="str">
        <f>VLOOKUP(L35,'DADOS-CADASTRAIS'!$C$6:$F$17,3,0)</f>
        <v>2 de ABRIL</v>
      </c>
      <c r="M36" s="357" t="str">
        <f>VLOOKUP(M35,'DADOS-CADASTRAIS'!$C$6:$O$102,3,0)</f>
        <v>01 de JANEIRO</v>
      </c>
      <c r="N36" s="357" t="str">
        <f>VLOOKUP(N35,'DADOS-CADASTRAIS'!$C$6:$O$102,3,0)</f>
        <v>01 de JANEIRO</v>
      </c>
      <c r="O36" s="353"/>
    </row>
    <row r="37" spans="1:15" ht="15" customHeight="1">
      <c r="A37" s="320"/>
      <c r="B37" s="346" t="s">
        <v>262</v>
      </c>
      <c r="C37" s="358">
        <f>VLOOKUP(C14,CAMPUS.CONTRATANTE!$D$10:$HD$21,7,0)</f>
        <v>2205</v>
      </c>
      <c r="D37" s="358">
        <f>VLOOKUP(C14,CAMPUS.CONTRATANTE!$D$10:$HD$21,24,0)</f>
        <v>1575</v>
      </c>
      <c r="E37" s="358">
        <f>VLOOKUP(C14,CAMPUS.CONTRATANTE!$D$10:$HD$21,41,0)</f>
        <v>1890</v>
      </c>
      <c r="F37" s="359">
        <f>VLOOKUP(C14,CAMPUS.CONTRATANTE!$D$10:$HD$21,58,0)</f>
        <v>4435.2</v>
      </c>
      <c r="G37" s="359">
        <f>VLOOKUP(C14,CAMPUS.CONTRATANTE!$D$10:$HD$21,75,0)</f>
        <v>4435.2</v>
      </c>
      <c r="H37" s="359">
        <f>VLOOKUP(C14,CAMPUS.CONTRATANTE!$D$10:$HD$21,92,0)</f>
        <v>1396.01</v>
      </c>
      <c r="I37" s="359">
        <f>VLOOKUP(C14,CAMPUS.CONTRATANTE!$D$10:$HD$21,109,0)</f>
        <v>1396.01</v>
      </c>
      <c r="J37" s="359">
        <f>VLOOKUP(C14,CAMPUS.CONTRATANTE!$D$10:$HD$21,126,0)</f>
        <v>4128.0200000000004</v>
      </c>
      <c r="K37" s="359">
        <f>VLOOKUP(C14,CAMPUS.CONTRATANTE!$D$10:$HD$21,143,0)</f>
        <v>4128.0200000000004</v>
      </c>
      <c r="L37" s="359">
        <f>VLOOKUP(C14,CAMPUS.CONTRATANTE!$D$10:$HD$21,160,0)</f>
        <v>1741.45</v>
      </c>
      <c r="M37" s="359">
        <f>VLOOKUP(C14,CAMPUS.CONTRATANTE!$D$10:$HD$21,177,0)</f>
        <v>0</v>
      </c>
      <c r="N37" s="359">
        <f>VLOOKUP(C14,CAMPUS.CONTRATANTE!$D$10:$HD$21,194,0)</f>
        <v>0</v>
      </c>
      <c r="O37" s="353"/>
    </row>
    <row r="38" spans="1:15" ht="15" customHeight="1">
      <c r="A38" s="320"/>
      <c r="B38" s="346" t="s">
        <v>263</v>
      </c>
      <c r="C38" s="360" t="str">
        <f>VLOOKUP(C14,CAMPUS.CONTRATANTE!$D$10:$HD$21,9,0)</f>
        <v>SEM ADICIONAL DE FUNÇÃO</v>
      </c>
      <c r="D38" s="360" t="str">
        <f>VLOOKUP(C14,CAMPUS.CONTRATANTE!$D$10:$HD$21,26,0)</f>
        <v>SEM ADICIONAL DE FUNÇÃO</v>
      </c>
      <c r="E38" s="360" t="str">
        <f>VLOOKUP(C14,CAMPUS.CONTRATANTE!$D$10:$HD$21,43,0)</f>
        <v>SEM ADICIONAL DE FUNÇÃO</v>
      </c>
      <c r="F38" s="361" t="str">
        <f>VLOOKUP(C14,CAMPUS.CONTRATANTE!$D$10:$HD$21,60,0)</f>
        <v>SEM ADICIONAL DE FUNÇÃO</v>
      </c>
      <c r="G38" s="361" t="str">
        <f>VLOOKUP(C14,CAMPUS.CONTRATANTE!$D$10:$HD$21,77,0)</f>
        <v>SEM ADICIONAL DE FUNÇÃO</v>
      </c>
      <c r="H38" s="361" t="str">
        <f>VLOOKUP(C14,CAMPUS.CONTRATANTE!$D$10:$HD$21,94,0)</f>
        <v>SEM ADICIONAL DE FUNÇÃO</v>
      </c>
      <c r="I38" s="361" t="str">
        <f>VLOOKUP(C14,CAMPUS.CONTRATANTE!$D$10:$HD$21,111,0)</f>
        <v>SEM ADICIONAL DE FUNÇÃO</v>
      </c>
      <c r="J38" s="361" t="str">
        <f>VLOOKUP(C14,CAMPUS.CONTRATANTE!$D$10:$HD$21,128,0)</f>
        <v>SEM ADICIONAL DE FUNÇÃO</v>
      </c>
      <c r="K38" s="361" t="str">
        <f>VLOOKUP(C14,CAMPUS.CONTRATANTE!$D$10:$HD$21,145,0)</f>
        <v>SEM ADICIONAL DE FUNÇÃO</v>
      </c>
      <c r="L38" s="361" t="str">
        <f>VLOOKUP(C14,CAMPUS.CONTRATANTE!$D$10:$HD$21,162,0)</f>
        <v>SEM ADICIONAL DE FUNÇÃO</v>
      </c>
      <c r="M38" s="359" t="str">
        <f>VLOOKUP(C14,CAMPUS.CONTRATANTE!$D$10:$HD$21,179,0)</f>
        <v>SEM ADICIONAL DE FUNÇÃO</v>
      </c>
      <c r="N38" s="359" t="str">
        <f>VLOOKUP(C14,CAMPUS.CONTRATANTE!$D$10:$HD$21,196,0)</f>
        <v>SEM ADICIONAL DE FUNÇÃO</v>
      </c>
      <c r="O38" s="353"/>
    </row>
    <row r="39" spans="1:15" ht="15" customHeight="1">
      <c r="A39" s="320"/>
      <c r="B39" s="346" t="s">
        <v>264</v>
      </c>
      <c r="C39" s="362">
        <f>IF(C38="SEM ADICIONAL DE FUNÇÃO",0,VLOOKUP(C14,CAMPUS.CONTRATANTE!$D$10:$HD$21,8,0))</f>
        <v>0</v>
      </c>
      <c r="D39" s="362">
        <f>IF(D38="SEM ADICIONAL DE FUNÇÃO",0,VLOOKUP(C14,CAMPUS.CONTRATANTE!$D$10:$HD$21,25,0))</f>
        <v>0</v>
      </c>
      <c r="E39" s="362">
        <f>IF(E38="SEM ADICIONAL DE FUNÇÃO",0,VLOOKUP(C14,CAMPUS.CONTRATANTE!$D$10:$HD$21,42,0))</f>
        <v>0</v>
      </c>
      <c r="F39" s="363">
        <f t="shared" ref="F39:H39" si="0">IF(F38="SEM ADICIONAL DE FUNÇÃO",0,25%)</f>
        <v>0</v>
      </c>
      <c r="G39" s="363">
        <f t="shared" si="0"/>
        <v>0</v>
      </c>
      <c r="H39" s="363">
        <f t="shared" si="0"/>
        <v>0</v>
      </c>
      <c r="I39" s="363"/>
      <c r="J39" s="359"/>
      <c r="K39" s="359"/>
      <c r="L39" s="359"/>
      <c r="M39" s="359"/>
      <c r="N39" s="359"/>
      <c r="O39" s="353"/>
    </row>
    <row r="40" spans="1:15" ht="15" customHeight="1">
      <c r="A40" s="320"/>
      <c r="B40" s="364" t="s">
        <v>265</v>
      </c>
      <c r="C40" s="360" t="str">
        <f>VLOOKUP(C14,CAMPUS.CONTRATANTE!$D$10:$HD$21,12,0)</f>
        <v>INSALUB S/MINIMO</v>
      </c>
      <c r="D40" s="360" t="str">
        <f>VLOOKUP(C14,CAMPUS.CONTRATANTE!$D$10:$HD$21,29,0)</f>
        <v>INSALUB S/MINIMO</v>
      </c>
      <c r="E40" s="360" t="str">
        <f>VLOOKUP(C14,CAMPUS.CONTRATANTE!$D$10:$HD$21,46,0)</f>
        <v>INSALUB S/MINIMO</v>
      </c>
      <c r="F40" s="361" t="str">
        <f>VLOOKUP(C14,CAMPUS.CONTRATANTE!$D$10:$HD$21,63,0)</f>
        <v>SEM ADICIONAL DE RISCO</v>
      </c>
      <c r="G40" s="361" t="str">
        <f>VLOOKUP(C14,CAMPUS.CONTRATANTE!$D$10:$HD$21,80,0)</f>
        <v>SEM ADICIONAL DE RISCO</v>
      </c>
      <c r="H40" s="361" t="str">
        <f>VLOOKUP(C14,CAMPUS.CONTRATANTE!$D$10:$HD$21,97,0)</f>
        <v>SEM ADICIONAL DE RISCO</v>
      </c>
      <c r="I40" s="361" t="str">
        <f>VLOOKUP(C14,CAMPUS.CONTRATANTE!$D$10:$HD$21,114,0)</f>
        <v>SEM ADICIONAL DE RISCO</v>
      </c>
      <c r="J40" s="361" t="str">
        <f>VLOOKUP(C14,CAMPUS.CONTRATANTE!$D$10:$HD$21,131,0)</f>
        <v>SEM ADICIONAL DE RISCO</v>
      </c>
      <c r="K40" s="361" t="str">
        <f>VLOOKUP(C14,CAMPUS.CONTRATANTE!$D$10:$HD$21,148,0)</f>
        <v>SEM ADICIONAL DE RISCO</v>
      </c>
      <c r="L40" s="361" t="str">
        <f>VLOOKUP(C14,CAMPUS.CONTRATANTE!$D$10:$HD$21,165,0)</f>
        <v>INSALUB S/MINIMO</v>
      </c>
      <c r="M40" s="361" t="str">
        <f>VLOOKUP(C14,CAMPUS.CONTRATANTE!$D$10:$HD$21,182,0)</f>
        <v>SEM ADICIONAL DE RISCO</v>
      </c>
      <c r="N40" s="361" t="str">
        <f>VLOOKUP(C14,CAMPUS.CONTRATANTE!$D$10:$HD$21,199,0)</f>
        <v>SEM ADICIONAL DE RISCO</v>
      </c>
      <c r="O40" s="353"/>
    </row>
    <row r="41" spans="1:15" ht="15" customHeight="1">
      <c r="A41" s="320"/>
      <c r="B41" s="364" t="s">
        <v>266</v>
      </c>
      <c r="C41" s="362">
        <f>IFERROR(IF(C40="INSALUB S/MINIMO",VLOOKUP(C14,CAMPUS.CONTRATANTE!$D$10:$HD$21,11,0),IF(C40="INSALUB S/NORMATIVO",VLOOKUP(C14,CAMPUS.CONTRATANTE!$D$10:$HD$21,11,0),IF(C35="PERICULOSIDADE",0*0,0))),0)</f>
        <v>0.2</v>
      </c>
      <c r="D41" s="362">
        <f>IFERROR(IF(D40="INSALUB S/MINIMO",VLOOKUP(C14,CAMPUS.CONTRATANTE!$D$10:$HD$21,28,0),IF(D40="INSALUB S/NORMATIVO",VLOOKUP(C14,CAMPUS.CONTRATANTE!$D$10:$HD$21,28,0),IF(D35="PERICULOSIDADE",0*0,0))),0)</f>
        <v>0.2</v>
      </c>
      <c r="E41" s="362">
        <f>IFERROR(IF(E40="INSALUB S/MINIMO",VLOOKUP(C14,CAMPUS.CONTRATANTE!$D$10:$HD$21,45,0),IF(E40="INSALUB S/NORMATIVO",VLOOKUP(C14,CAMPUS.CONTRATANTE!$D$10:$HD$21,45,0),IF(E35="PERICULOSIDADE",0*0,0))),0)</f>
        <v>0.2</v>
      </c>
      <c r="F41" s="363">
        <f>IFERROR(IF(F40="INSALUB S/MINIMO",VLOOKUP(C14,CAMPUS.CONTRATANTE!$D$10:$HD$21,62,0),IF(F40="INSALUB S/NORMATIVO",VLOOKUP(C14,CAMPUS.CONTRATANTE!$D$10:$HD$21,62,0),IF(F35="PERICULOSIDADE",0*0,0))),0)</f>
        <v>0</v>
      </c>
      <c r="G41" s="363">
        <f>IFERROR(IF(G40="INSALUB S/MINIMO",VLOOKUP(C14,CAMPUS.CONTRATANTE!$D$10:$HD$21,79,0),IF(G40="INSALUB S/NORMATIVO",VLOOKUP(C14,CAMPUS.CONTRATANTE!$D$10:$HD$21,79,0),IF(G35="PERICULOSIDADE",0*0,0))),0)</f>
        <v>0</v>
      </c>
      <c r="H41" s="363">
        <f>IFERROR(IF(H40="INSALUB S/MINIMO",VLOOKUP(C14,CAMPUS.CONTRATANTE!$D$10:$HD$21,96,0),IF(H40="INSALUB S/NORMATIVO",VLOOKUP(C14,CAMPUS.CONTRATANTE!$D$10:$HD$21,96,0),IF(H35="PERICULOSIDADE",0*0,0))),0)</f>
        <v>0</v>
      </c>
      <c r="I41" s="363">
        <f>IFERROR(IF(I40="INSALUB S/MINIMO",VLOOKUP(C14,CAMPUS.CONTRATANTE!$D$10:$HD$21,113,0),IF(I40="INSALUB S/NORMATIVO",VLOOKUP(C14,CAMPUS.CONTRATANTE!$D$10:$HD$21,113,0),IF(I35="PERICULOSIDADE",0*0,0))),0)</f>
        <v>0</v>
      </c>
      <c r="J41" s="363">
        <f>IFERROR(IF(J40="INSALUB S/MINIMO",VLOOKUP(C14,CAMPUS.CONTRATANTE!$D$10:$HD$21,130,0),IF(J40="INSALUB S/NORMATIVO",VLOOKUP(C14,CAMPUS.CONTRATANTE!$D$10:$HD$21,130,0),IF(J35="PERICULOSIDADE",0*0,0))),0)</f>
        <v>0</v>
      </c>
      <c r="K41" s="363">
        <f>IFERROR(IF(K40="INSALUB S/MINIMO",VLOOKUP(C14,CAMPUS.CONTRATANTE!$D$10:$HD$21,147,0),IF(K40="INSALUB S/NORMATIVO",VLOOKUP(C14,CAMPUS.CONTRATANTE!$D$10:$HD$21,147,0),IF(K35="PERICULOSIDADE",0*0,0))),0)</f>
        <v>0</v>
      </c>
      <c r="L41" s="363">
        <f>IFERROR(IF(L40="INSALUB S/MINIMO",VLOOKUP(C14,CAMPUS.CONTRATANTE!$D$10:$HD$21,164,0),IF(L40="INSALUB S/NORMATIVO",VLOOKUP(C14,CAMPUS.CONTRATANTE!$D$10:$HD$21,164,0),IF(L35="PERICULOSIDADE",0*0,0))),0)</f>
        <v>0.2</v>
      </c>
      <c r="M41" s="363">
        <f>IFERROR(IF(M40="INSALUB S/MINIMO",VLOOKUP(C14,CAMPUS.CONTRATANTE!$D$10:$HD$21,181,0),IF(M40="INSALUB S/NORMATIVO",VLOOKUP(C14,CAMPUS.CONTRATANTE!$D$10:$HD$21,181,0),IF(M35="PERICULOSIDADE",0*0,0))),0)</f>
        <v>0</v>
      </c>
      <c r="N41" s="363">
        <f>IFERROR(IF(N40="INSALUB S/MINIMO",VLOOKUP(C14,CAMPUS.CONTRATANTE!$D$10:$HD$21,198,0),IF(N40="INSALUB S/NORMATIVO",VLOOKUP(C14,CAMPUS.CONTRATANTE!$D$10:$HD$21,198,0),IF(N35="PERICULOSIDADE",0*0,0))),0)</f>
        <v>0</v>
      </c>
      <c r="O41" s="353"/>
    </row>
    <row r="42" spans="1:15" ht="15" customHeight="1">
      <c r="A42" s="365"/>
      <c r="B42" s="366" t="s">
        <v>267</v>
      </c>
      <c r="C42" s="367">
        <v>1212</v>
      </c>
      <c r="D42" s="367">
        <f t="shared" ref="D42:N42" si="1">C42</f>
        <v>1212</v>
      </c>
      <c r="E42" s="367">
        <f t="shared" si="1"/>
        <v>1212</v>
      </c>
      <c r="F42" s="359">
        <f t="shared" si="1"/>
        <v>1212</v>
      </c>
      <c r="G42" s="359">
        <f t="shared" si="1"/>
        <v>1212</v>
      </c>
      <c r="H42" s="359">
        <f t="shared" si="1"/>
        <v>1212</v>
      </c>
      <c r="I42" s="359">
        <f t="shared" si="1"/>
        <v>1212</v>
      </c>
      <c r="J42" s="359">
        <f t="shared" si="1"/>
        <v>1212</v>
      </c>
      <c r="K42" s="359">
        <f t="shared" si="1"/>
        <v>1212</v>
      </c>
      <c r="L42" s="359">
        <f t="shared" si="1"/>
        <v>1212</v>
      </c>
      <c r="M42" s="359">
        <f t="shared" si="1"/>
        <v>1212</v>
      </c>
      <c r="N42" s="359">
        <f t="shared" si="1"/>
        <v>1212</v>
      </c>
      <c r="O42" s="368"/>
    </row>
    <row r="43" spans="1:15" ht="15" customHeight="1">
      <c r="A43" s="320"/>
      <c r="B43" s="346" t="s">
        <v>268</v>
      </c>
      <c r="C43" s="369">
        <f>IF(VLOOKUP(C14,CAMPUS.CONTRATANTE!$D$10:$HB$21,18,0)="S",20%,0)</f>
        <v>0</v>
      </c>
      <c r="D43" s="370">
        <f>IF(VLOOKUP(C14,CAMPUS.CONTRATANTE!$D$10:$HB$21,35,0)="S",20%,0)</f>
        <v>0</v>
      </c>
      <c r="E43" s="370">
        <f>IF(VLOOKUP(C14,CAMPUS.CONTRATANTE!$D$10:$HB$21,18,0)="S",20%,0)</f>
        <v>0</v>
      </c>
      <c r="F43" s="371"/>
      <c r="G43" s="371"/>
      <c r="H43" s="371"/>
      <c r="I43" s="371"/>
      <c r="J43" s="371"/>
      <c r="K43" s="371"/>
      <c r="L43" s="371"/>
      <c r="M43" s="371"/>
      <c r="N43" s="371"/>
      <c r="O43" s="353"/>
    </row>
    <row r="44" spans="1:15" ht="15" customHeight="1">
      <c r="A44" s="320"/>
      <c r="B44" s="346" t="s">
        <v>269</v>
      </c>
      <c r="C44" s="372">
        <f>IF(C40="PERICULOSIDADE",30%,0)</f>
        <v>0</v>
      </c>
      <c r="D44" s="373">
        <f>IF(C40="PERICULOSIDADE",30%,0)</f>
        <v>0</v>
      </c>
      <c r="E44" s="373">
        <f>IF(C40="PERICULOSIDADE",30%,0)</f>
        <v>0</v>
      </c>
      <c r="F44" s="371"/>
      <c r="G44" s="371"/>
      <c r="H44" s="371"/>
      <c r="I44" s="371"/>
      <c r="J44" s="371"/>
      <c r="K44" s="371"/>
      <c r="L44" s="371"/>
      <c r="M44" s="371"/>
      <c r="N44" s="371"/>
      <c r="O44" s="353"/>
    </row>
    <row r="45" spans="1:15" ht="18.75" customHeight="1">
      <c r="A45" s="320"/>
      <c r="B45" s="1"/>
      <c r="C45" s="1"/>
      <c r="D45" s="1"/>
      <c r="E45" s="270"/>
      <c r="F45" s="273"/>
      <c r="G45" s="273"/>
      <c r="H45" s="273"/>
      <c r="I45" s="273"/>
      <c r="J45" s="273"/>
      <c r="K45" s="273"/>
      <c r="L45" s="273"/>
      <c r="M45" s="273"/>
      <c r="N45" s="273"/>
      <c r="O45" s="353"/>
    </row>
    <row r="46" spans="1:15" ht="8.25" customHeight="1">
      <c r="A46" s="320"/>
      <c r="B46" s="346"/>
      <c r="C46" s="374"/>
      <c r="D46" s="374"/>
      <c r="E46" s="375"/>
      <c r="F46" s="376"/>
      <c r="G46" s="376"/>
      <c r="H46" s="376"/>
      <c r="I46" s="376"/>
      <c r="J46" s="376"/>
      <c r="K46" s="376"/>
      <c r="L46" s="376"/>
      <c r="M46" s="376"/>
      <c r="N46" s="376"/>
      <c r="O46" s="353"/>
    </row>
    <row r="47" spans="1:15" ht="12.75" customHeight="1">
      <c r="A47" s="320"/>
      <c r="B47" s="900" t="s">
        <v>270</v>
      </c>
      <c r="C47" s="846"/>
      <c r="D47" s="901"/>
      <c r="E47" s="377"/>
      <c r="F47" s="273"/>
      <c r="G47" s="273"/>
      <c r="H47" s="273"/>
      <c r="I47" s="273"/>
      <c r="J47" s="273"/>
      <c r="K47" s="273"/>
      <c r="L47" s="273"/>
      <c r="M47" s="273"/>
      <c r="N47" s="273"/>
      <c r="O47" s="353"/>
    </row>
    <row r="48" spans="1:15" ht="12.75" customHeight="1">
      <c r="A48" s="320"/>
      <c r="B48" s="320"/>
      <c r="C48" s="320"/>
      <c r="D48" s="320"/>
      <c r="E48" s="339"/>
      <c r="F48" s="378"/>
      <c r="G48" s="378"/>
      <c r="H48" s="378"/>
      <c r="I48" s="378"/>
      <c r="J48" s="378"/>
      <c r="K48" s="378"/>
      <c r="L48" s="378"/>
      <c r="M48" s="378"/>
      <c r="N48" s="378"/>
      <c r="O48" s="353"/>
    </row>
    <row r="49" spans="1:15" ht="17.25" customHeight="1">
      <c r="A49" s="320"/>
      <c r="B49" s="320"/>
      <c r="C49" s="379" t="str">
        <f t="shared" ref="C49:N49" si="2">C33</f>
        <v>6210-05_CAPATAZ-Encarreg</v>
      </c>
      <c r="D49" s="379" t="str">
        <f t="shared" si="2"/>
        <v>6210-05_PEAO-Trabalh.Agropec</v>
      </c>
      <c r="E49" s="379" t="str">
        <f t="shared" si="2"/>
        <v>6410-15_TRATORISTA-em-Geral</v>
      </c>
      <c r="F49" s="380" t="str">
        <f t="shared" si="2"/>
        <v>A NÃO TEM MAIS POSTOS-11</v>
      </c>
      <c r="G49" s="380" t="str">
        <f t="shared" si="2"/>
        <v>A NÃO TEM MAIS POSTOS-22</v>
      </c>
      <c r="H49" s="380" t="str">
        <f t="shared" si="2"/>
        <v>A NÃO TEM MAIS POSTOS-33</v>
      </c>
      <c r="I49" s="380" t="str">
        <f t="shared" si="2"/>
        <v>A NÃO TEM MAIS POSTOS-44</v>
      </c>
      <c r="J49" s="380" t="str">
        <f t="shared" si="2"/>
        <v>A NÃO TEM MAIS POSTOS-55</v>
      </c>
      <c r="K49" s="380" t="str">
        <f t="shared" si="2"/>
        <v>A NÃO TEM MAIS POSTOS-66</v>
      </c>
      <c r="L49" s="380" t="str">
        <f t="shared" si="2"/>
        <v>A NÃO TEM MAIS POSTOS-77</v>
      </c>
      <c r="M49" s="380" t="str">
        <f t="shared" si="2"/>
        <v>A NÃO TEM MAIS POSTOS-88</v>
      </c>
      <c r="N49" s="380" t="str">
        <f t="shared" si="2"/>
        <v>A NÃO TEM MAIS POSTOS-99</v>
      </c>
      <c r="O49" s="353"/>
    </row>
    <row r="50" spans="1:15" ht="13.5" customHeight="1">
      <c r="A50" s="320"/>
      <c r="B50" s="381" t="s">
        <v>271</v>
      </c>
      <c r="C50" s="382">
        <v>8</v>
      </c>
      <c r="D50" s="382">
        <v>8</v>
      </c>
      <c r="E50" s="382">
        <v>8</v>
      </c>
      <c r="F50" s="383">
        <v>4</v>
      </c>
      <c r="G50" s="383">
        <v>8</v>
      </c>
      <c r="H50" s="383">
        <v>4</v>
      </c>
      <c r="I50" s="383">
        <v>8</v>
      </c>
      <c r="J50" s="383">
        <v>4</v>
      </c>
      <c r="K50" s="383">
        <v>8</v>
      </c>
      <c r="L50" s="383">
        <v>8</v>
      </c>
      <c r="M50" s="383">
        <v>8</v>
      </c>
      <c r="N50" s="383">
        <v>8</v>
      </c>
      <c r="O50" s="353"/>
    </row>
    <row r="51" spans="1:15" ht="13.5" customHeight="1">
      <c r="A51" s="320"/>
      <c r="B51" s="381" t="s">
        <v>272</v>
      </c>
      <c r="C51" s="384">
        <f>VLOOKUP(C14,CAMPUS.CONTRATANTE!$D$10:$HD$21,13,0)</f>
        <v>44</v>
      </c>
      <c r="D51" s="384">
        <f>VLOOKUP(C14,CAMPUS.CONTRATANTE!$D$10:$HD$21,30,0)</f>
        <v>44</v>
      </c>
      <c r="E51" s="384">
        <f>VLOOKUP(C14,CAMPUS.CONTRATANTE!$D$10:$HD$21,47,0)</f>
        <v>44</v>
      </c>
      <c r="F51" s="385">
        <f>VLOOKUP(C14,CAMPUS.CONTRATANTE!$D$10:$HD$21,64,0)</f>
        <v>44</v>
      </c>
      <c r="G51" s="385">
        <f>VLOOKUP(C14,CAMPUS.CONTRATANTE!$D$10:$HD$21,81,0)</f>
        <v>44</v>
      </c>
      <c r="H51" s="385">
        <f>VLOOKUP(C14,CAMPUS.CONTRATANTE!$D$10:$HD$21,98,0)</f>
        <v>44</v>
      </c>
      <c r="I51" s="386">
        <f>VLOOKUP(C14,CAMPUS.CONTRATANTE!$D$10:$HD$21,115,0)</f>
        <v>44</v>
      </c>
      <c r="J51" s="385">
        <f>VLOOKUP(C14,CAMPUS.CONTRATANTE!$D$10:$HD$21,132,0)</f>
        <v>44</v>
      </c>
      <c r="K51" s="385">
        <f>VLOOKUP(C14,CAMPUS.CONTRATANTE!$D$10:$HD$21,149,0)</f>
        <v>44</v>
      </c>
      <c r="L51" s="385">
        <f>VLOOKUP(C14,CAMPUS.CONTRATANTE!$D$10:$HD$21,166,0)</f>
        <v>44</v>
      </c>
      <c r="M51" s="385">
        <f>VLOOKUP(C14,CAMPUS.CONTRATANTE!$D$10:$HD$21,183,0)</f>
        <v>44</v>
      </c>
      <c r="N51" s="385">
        <f>VLOOKUP(C14,CAMPUS.CONTRATANTE!$D$10:$HD$21,200,0)</f>
        <v>44</v>
      </c>
      <c r="O51" s="353"/>
    </row>
    <row r="52" spans="1:15" ht="18.75" customHeight="1">
      <c r="A52" s="387"/>
      <c r="B52" s="388" t="s">
        <v>273</v>
      </c>
      <c r="C52" s="389">
        <f t="shared" ref="C52:N52" si="3">C51*5</f>
        <v>220</v>
      </c>
      <c r="D52" s="389">
        <f t="shared" si="3"/>
        <v>220</v>
      </c>
      <c r="E52" s="389">
        <f t="shared" si="3"/>
        <v>220</v>
      </c>
      <c r="F52" s="390">
        <f t="shared" si="3"/>
        <v>220</v>
      </c>
      <c r="G52" s="390">
        <f t="shared" si="3"/>
        <v>220</v>
      </c>
      <c r="H52" s="390">
        <f t="shared" si="3"/>
        <v>220</v>
      </c>
      <c r="I52" s="390">
        <f t="shared" si="3"/>
        <v>220</v>
      </c>
      <c r="J52" s="390">
        <f t="shared" si="3"/>
        <v>220</v>
      </c>
      <c r="K52" s="390">
        <f t="shared" si="3"/>
        <v>220</v>
      </c>
      <c r="L52" s="390">
        <f t="shared" si="3"/>
        <v>220</v>
      </c>
      <c r="M52" s="390">
        <f t="shared" si="3"/>
        <v>220</v>
      </c>
      <c r="N52" s="390">
        <f t="shared" si="3"/>
        <v>220</v>
      </c>
      <c r="O52" s="391"/>
    </row>
    <row r="53" spans="1:15" ht="6.75" customHeight="1">
      <c r="A53" s="320"/>
      <c r="B53" s="346"/>
      <c r="C53" s="392"/>
      <c r="D53" s="392"/>
      <c r="E53" s="393"/>
      <c r="F53" s="394"/>
      <c r="G53" s="394"/>
      <c r="H53" s="394"/>
      <c r="I53" s="394"/>
      <c r="J53" s="394"/>
      <c r="K53" s="394"/>
      <c r="L53" s="394"/>
      <c r="M53" s="394"/>
      <c r="N53" s="394"/>
      <c r="O53" s="353"/>
    </row>
    <row r="54" spans="1:15" ht="12.75" customHeight="1">
      <c r="A54" s="320"/>
      <c r="B54" s="900" t="s">
        <v>274</v>
      </c>
      <c r="C54" s="846"/>
      <c r="D54" s="901"/>
      <c r="E54" s="377"/>
      <c r="F54" s="273"/>
      <c r="G54" s="273"/>
      <c r="H54" s="273"/>
      <c r="I54" s="273"/>
      <c r="J54" s="273"/>
      <c r="K54" s="273"/>
      <c r="L54" s="273"/>
      <c r="M54" s="273"/>
      <c r="N54" s="273"/>
      <c r="O54" s="353"/>
    </row>
    <row r="55" spans="1:15" ht="9.75" customHeight="1">
      <c r="A55" s="320"/>
      <c r="B55" s="395"/>
      <c r="C55" s="396"/>
      <c r="D55" s="396"/>
      <c r="E55" s="397"/>
      <c r="F55" s="398"/>
      <c r="G55" s="398"/>
      <c r="H55" s="398"/>
      <c r="I55" s="398"/>
      <c r="J55" s="398"/>
      <c r="K55" s="398"/>
      <c r="L55" s="398"/>
      <c r="M55" s="398"/>
      <c r="N55" s="398"/>
      <c r="O55" s="353"/>
    </row>
    <row r="56" spans="1:15" ht="27" customHeight="1">
      <c r="A56" s="320"/>
      <c r="B56" s="320"/>
      <c r="C56" s="379" t="str">
        <f t="shared" ref="C56:N56" si="4">C49</f>
        <v>6210-05_CAPATAZ-Encarreg</v>
      </c>
      <c r="D56" s="379" t="str">
        <f t="shared" si="4"/>
        <v>6210-05_PEAO-Trabalh.Agropec</v>
      </c>
      <c r="E56" s="379" t="str">
        <f t="shared" si="4"/>
        <v>6410-15_TRATORISTA-em-Geral</v>
      </c>
      <c r="F56" s="380" t="str">
        <f t="shared" si="4"/>
        <v>A NÃO TEM MAIS POSTOS-11</v>
      </c>
      <c r="G56" s="380" t="str">
        <f t="shared" si="4"/>
        <v>A NÃO TEM MAIS POSTOS-22</v>
      </c>
      <c r="H56" s="380" t="str">
        <f t="shared" si="4"/>
        <v>A NÃO TEM MAIS POSTOS-33</v>
      </c>
      <c r="I56" s="380" t="str">
        <f t="shared" si="4"/>
        <v>A NÃO TEM MAIS POSTOS-44</v>
      </c>
      <c r="J56" s="380" t="str">
        <f t="shared" si="4"/>
        <v>A NÃO TEM MAIS POSTOS-55</v>
      </c>
      <c r="K56" s="380" t="str">
        <f t="shared" si="4"/>
        <v>A NÃO TEM MAIS POSTOS-66</v>
      </c>
      <c r="L56" s="380" t="str">
        <f t="shared" si="4"/>
        <v>A NÃO TEM MAIS POSTOS-77</v>
      </c>
      <c r="M56" s="380" t="str">
        <f t="shared" si="4"/>
        <v>A NÃO TEM MAIS POSTOS-88</v>
      </c>
      <c r="N56" s="380" t="str">
        <f t="shared" si="4"/>
        <v>A NÃO TEM MAIS POSTOS-99</v>
      </c>
      <c r="O56" s="353"/>
    </row>
    <row r="57" spans="1:15" ht="15.75" customHeight="1">
      <c r="A57" s="320"/>
      <c r="B57" s="381" t="s">
        <v>275</v>
      </c>
      <c r="C57" s="399">
        <v>0.03</v>
      </c>
      <c r="D57" s="400">
        <f t="shared" ref="D57:N57" si="5">C57</f>
        <v>0.03</v>
      </c>
      <c r="E57" s="400">
        <f t="shared" si="5"/>
        <v>0.03</v>
      </c>
      <c r="F57" s="401">
        <f t="shared" si="5"/>
        <v>0.03</v>
      </c>
      <c r="G57" s="401">
        <f t="shared" si="5"/>
        <v>0.03</v>
      </c>
      <c r="H57" s="401">
        <f t="shared" si="5"/>
        <v>0.03</v>
      </c>
      <c r="I57" s="401">
        <f t="shared" si="5"/>
        <v>0.03</v>
      </c>
      <c r="J57" s="401">
        <f t="shared" si="5"/>
        <v>0.03</v>
      </c>
      <c r="K57" s="401">
        <f t="shared" si="5"/>
        <v>0.03</v>
      </c>
      <c r="L57" s="401">
        <f t="shared" si="5"/>
        <v>0.03</v>
      </c>
      <c r="M57" s="401">
        <f t="shared" si="5"/>
        <v>0.03</v>
      </c>
      <c r="N57" s="401">
        <f t="shared" si="5"/>
        <v>0.03</v>
      </c>
      <c r="O57" s="353"/>
    </row>
    <row r="58" spans="1:15" ht="15.75" customHeight="1">
      <c r="A58" s="320"/>
      <c r="B58" s="381" t="s">
        <v>276</v>
      </c>
      <c r="C58" s="402">
        <v>1</v>
      </c>
      <c r="D58" s="403">
        <f t="shared" ref="D58:N58" si="6">C58</f>
        <v>1</v>
      </c>
      <c r="E58" s="403">
        <f t="shared" si="6"/>
        <v>1</v>
      </c>
      <c r="F58" s="404">
        <f t="shared" si="6"/>
        <v>1</v>
      </c>
      <c r="G58" s="404">
        <f t="shared" si="6"/>
        <v>1</v>
      </c>
      <c r="H58" s="404">
        <f t="shared" si="6"/>
        <v>1</v>
      </c>
      <c r="I58" s="404">
        <f t="shared" si="6"/>
        <v>1</v>
      </c>
      <c r="J58" s="404">
        <f t="shared" si="6"/>
        <v>1</v>
      </c>
      <c r="K58" s="404">
        <f t="shared" si="6"/>
        <v>1</v>
      </c>
      <c r="L58" s="404">
        <f t="shared" si="6"/>
        <v>1</v>
      </c>
      <c r="M58" s="404">
        <f t="shared" si="6"/>
        <v>1</v>
      </c>
      <c r="N58" s="404">
        <f t="shared" si="6"/>
        <v>1</v>
      </c>
      <c r="O58" s="353"/>
    </row>
    <row r="59" spans="1:15" ht="15.75" customHeight="1">
      <c r="A59" s="320"/>
      <c r="B59" s="346"/>
      <c r="C59" s="405"/>
      <c r="D59" s="405"/>
      <c r="E59" s="405"/>
      <c r="F59" s="406"/>
      <c r="G59" s="406"/>
      <c r="H59" s="406"/>
      <c r="I59" s="406"/>
      <c r="J59" s="406"/>
      <c r="K59" s="406"/>
      <c r="L59" s="406"/>
      <c r="M59" s="406"/>
      <c r="N59" s="406"/>
      <c r="O59" s="353"/>
    </row>
    <row r="60" spans="1:15" ht="15.75" customHeight="1">
      <c r="A60" s="320"/>
      <c r="B60" s="381" t="s">
        <v>277</v>
      </c>
      <c r="C60" s="407">
        <f>IF(C52&gt;199,VLOOKUP(C35,'DADOS-CADASTRAIS'!C5:O102,4,0)*1,0)</f>
        <v>20.18</v>
      </c>
      <c r="D60" s="407">
        <f>IF(D52&gt;199,VLOOKUP(D35,'DADOS-CADASTRAIS'!C5:O102,4,0)*1,0)</f>
        <v>20.18</v>
      </c>
      <c r="E60" s="407">
        <f>IF(E52&gt;199,VLOOKUP(E35,'DADOS-CADASTRAIS'!C5:O102,4,0)*1,0)</f>
        <v>20.18</v>
      </c>
      <c r="F60" s="371">
        <f>IF(F52&gt;199,VLOOKUP(F35,'DADOS-CADASTRAIS'!C5:O102,4,0)*1,0)</f>
        <v>20.18</v>
      </c>
      <c r="G60" s="371">
        <f>IF(G52&gt;199,VLOOKUP(G35,'DADOS-CADASTRAIS'!C5:O102,4,0)*1,0)</f>
        <v>20.18</v>
      </c>
      <c r="H60" s="371">
        <f>IF(H52&gt;199,VLOOKUP(H35,'DADOS-CADASTRAIS'!C5:O102,4,0)*1,0)</f>
        <v>20.18</v>
      </c>
      <c r="I60" s="371">
        <f>IF(I52&gt;199,VLOOKUP(I35,'DADOS-CADASTRAIS'!C5:O102,4,0)*1,0)</f>
        <v>20.18</v>
      </c>
      <c r="J60" s="371">
        <f>IF(J52&gt;199,VLOOKUP(J35,'DADOS-CADASTRAIS'!C5:O102,4,0)*1,0)</f>
        <v>13.9</v>
      </c>
      <c r="K60" s="371">
        <f>IF(K52&gt;199,VLOOKUP(K35,'DADOS-CADASTRAIS'!C5:O102,4,0)*1,0)</f>
        <v>13.9</v>
      </c>
      <c r="L60" s="371">
        <f>IF(L52&gt;199,VLOOKUP(L35,'DADOS-CADASTRAIS'!C5:O102,4,0)*1,0)</f>
        <v>0</v>
      </c>
      <c r="M60" s="371">
        <f>IF(L52&gt;199,VLOOKUP(L35,'DADOS-CADASTRAIS'!C5:O102,4,0)*1,0)</f>
        <v>0</v>
      </c>
      <c r="N60" s="371">
        <f>IF(L52&gt;199,VLOOKUP(L35,'DADOS-CADASTRAIS'!C5:O102,4,0)*1,0)</f>
        <v>0</v>
      </c>
      <c r="O60" s="353"/>
    </row>
    <row r="61" spans="1:15" ht="15.75" customHeight="1">
      <c r="A61" s="320"/>
      <c r="B61" s="381" t="s">
        <v>278</v>
      </c>
      <c r="C61" s="400">
        <f>VLOOKUP(C35,'DADOS-CADASTRAIS'!C6:O60,6,0)</f>
        <v>0.19</v>
      </c>
      <c r="D61" s="400">
        <f>VLOOKUP(D35,'DADOS-CADASTRAIS'!C6:O60,6,0)</f>
        <v>0.19</v>
      </c>
      <c r="E61" s="400">
        <f>VLOOKUP(E35,'DADOS-CADASTRAIS'!C6:O60,6,0)</f>
        <v>0.19</v>
      </c>
      <c r="F61" s="401">
        <f>VLOOKUP(F35,'DADOS-CADASTRAIS'!C6:O60,6,0)</f>
        <v>0.19</v>
      </c>
      <c r="G61" s="401">
        <f>VLOOKUP(G35,'DADOS-CADASTRAIS'!C6:O60,6,0)</f>
        <v>0.19</v>
      </c>
      <c r="H61" s="401">
        <f>VLOOKUP(H35,'DADOS-CADASTRAIS'!C6:O60,6,0)</f>
        <v>0.19</v>
      </c>
      <c r="I61" s="401">
        <f>VLOOKUP(I35,'DADOS-CADASTRAIS'!C6:O60,6,0)</f>
        <v>0.19</v>
      </c>
      <c r="J61" s="401">
        <f>VLOOKUP(J35,'DADOS-CADASTRAIS'!C6:O60,6,0)</f>
        <v>0.2</v>
      </c>
      <c r="K61" s="401">
        <f>VLOOKUP(K35,'DADOS-CADASTRAIS'!C6:O60,6,0)</f>
        <v>0.2</v>
      </c>
      <c r="L61" s="401">
        <f>VLOOKUP(L35,'DADOS-CADASTRAIS'!C6:O60,6,0)</f>
        <v>0</v>
      </c>
      <c r="M61" s="401">
        <f>IF(L52&gt;199,VLOOKUP(L35,'DADOS-CADASTRAIS'!C5:O102,4,0)*1,0)</f>
        <v>0</v>
      </c>
      <c r="N61" s="401">
        <f>IF(L52&gt;199,VLOOKUP(L35,'DADOS-CADASTRAIS'!C5:O102,4,0)*1,0)</f>
        <v>0</v>
      </c>
      <c r="O61" s="353"/>
    </row>
    <row r="62" spans="1:15" ht="15.75" customHeight="1">
      <c r="A62" s="320"/>
      <c r="B62" s="381" t="s">
        <v>279</v>
      </c>
      <c r="C62" s="408">
        <f>VLOOKUP(C14,CAMPUS.CONTRATANTE!$D$10:$HD$21,17,0)</f>
        <v>25</v>
      </c>
      <c r="D62" s="408">
        <f>VLOOKUP(C14,CAMPUS.CONTRATANTE!$D$10:$HD$21,34,0)</f>
        <v>25</v>
      </c>
      <c r="E62" s="408">
        <f>VLOOKUP(C14,CAMPUS.CONTRATANTE!$D$10:$HD$21,51,0)</f>
        <v>25</v>
      </c>
      <c r="F62" s="394">
        <f t="shared" ref="F62:N62" si="7">E62</f>
        <v>25</v>
      </c>
      <c r="G62" s="394">
        <f t="shared" si="7"/>
        <v>25</v>
      </c>
      <c r="H62" s="394">
        <f t="shared" si="7"/>
        <v>25</v>
      </c>
      <c r="I62" s="394">
        <f t="shared" si="7"/>
        <v>25</v>
      </c>
      <c r="J62" s="394">
        <f t="shared" si="7"/>
        <v>25</v>
      </c>
      <c r="K62" s="394">
        <f t="shared" si="7"/>
        <v>25</v>
      </c>
      <c r="L62" s="394">
        <f t="shared" si="7"/>
        <v>25</v>
      </c>
      <c r="M62" s="394">
        <f t="shared" si="7"/>
        <v>25</v>
      </c>
      <c r="N62" s="394">
        <f t="shared" si="7"/>
        <v>25</v>
      </c>
      <c r="O62" s="353"/>
    </row>
    <row r="63" spans="1:15" ht="12.75" customHeight="1">
      <c r="A63" s="320"/>
      <c r="B63" s="381" t="s">
        <v>280</v>
      </c>
      <c r="C63" s="408">
        <f>IF(C52&lt;199,VLOOKUP(C35,'DADOS-CADASTRAIS'!C5:O102,5,0)*1,0)</f>
        <v>0</v>
      </c>
      <c r="D63" s="407">
        <f>IF(D52&lt;199,VLOOKUP(D35,'DADOS-CADASTRAIS'!C5:O102,5,0)*1,0)</f>
        <v>0</v>
      </c>
      <c r="E63" s="407">
        <f>IF(E52&lt;199,VLOOKUP(E35,'DADOS-CADASTRAIS'!C5:O102,5,0)*1,0)</f>
        <v>0</v>
      </c>
      <c r="F63" s="371">
        <f>IF(F52&lt;199,VLOOKUP(F35,'DADOS-CADASTRAIS'!C5:O102,5,0)*1,0)</f>
        <v>0</v>
      </c>
      <c r="G63" s="371">
        <f>IF(G52&lt;199,VLOOKUP(G35,'DADOS-CADASTRAIS'!C5:O102,5,0)*1,0)</f>
        <v>0</v>
      </c>
      <c r="H63" s="371">
        <f>IF(H52&lt;199,VLOOKUP(H35,'DADOS-CADASTRAIS'!C5:O102,5,0)*1,0)</f>
        <v>0</v>
      </c>
      <c r="I63" s="371">
        <f>IF(I52&lt;199,VLOOKUP(I35,'DADOS-CADASTRAIS'!C5:O102,5,0)*1,0)</f>
        <v>0</v>
      </c>
      <c r="J63" s="371">
        <f>IF(J52&lt;199,VLOOKUP(J35,'DADOS-CADASTRAIS'!C5:O102,5,0)*1,0)</f>
        <v>0</v>
      </c>
      <c r="K63" s="371">
        <f>IF(K52&lt;199,VLOOKUP(K35,'DADOS-CADASTRAIS'!C5:O102,5,0)*1,0)</f>
        <v>0</v>
      </c>
      <c r="L63" s="371">
        <f>IF(L52&lt;199,VLOOKUP(L35,'DADOS-CADASTRAIS'!C5:O102,5,0)*1,0)</f>
        <v>0</v>
      </c>
      <c r="M63" s="371">
        <f>IF(M52&lt;199,VLOOKUP(M35,'DADOS-CADASTRAIS'!C5:O102,5,0)*1,0)</f>
        <v>0</v>
      </c>
      <c r="N63" s="371">
        <f>IF(N52&lt;199,VLOOKUP(N35,'DADOS-CADASTRAIS'!C5:O102,5,0)*1,0)</f>
        <v>0</v>
      </c>
      <c r="O63" s="353"/>
    </row>
    <row r="64" spans="1:15" ht="13.5" customHeight="1">
      <c r="A64" s="320"/>
      <c r="B64" s="409"/>
      <c r="C64" s="410"/>
      <c r="D64" s="410"/>
      <c r="E64" s="410"/>
      <c r="F64" s="371"/>
      <c r="G64" s="371"/>
      <c r="H64" s="371"/>
      <c r="I64" s="371"/>
      <c r="J64" s="371"/>
      <c r="K64" s="371"/>
      <c r="L64" s="371"/>
      <c r="M64" s="371"/>
      <c r="N64" s="371"/>
      <c r="O64" s="353"/>
    </row>
    <row r="65" spans="1:15" ht="14.25" customHeight="1">
      <c r="A65" s="320"/>
      <c r="B65" s="411" t="s">
        <v>281</v>
      </c>
      <c r="C65" s="412">
        <f>ROUND(VLOOKUP($C$14,CAMPUS.CONTRATANTE!$D$10:$HD$21,14,0)*C66,2)*C67</f>
        <v>2.89</v>
      </c>
      <c r="D65" s="412">
        <f>ROUND(VLOOKUP($C$14,CAMPUS.CONTRATANTE!$D$10:$HD$21,31,0)*C66,2)*D67</f>
        <v>2.89</v>
      </c>
      <c r="E65" s="412">
        <f>ROUND(VLOOKUP($C$14,CAMPUS.CONTRATANTE!$D$10:$HD$21,48,0)*C66,2)*E67</f>
        <v>2.89</v>
      </c>
      <c r="F65" s="413">
        <f>ROUND(VLOOKUP($C$14,CAMPUS.CONTRATANTE!$D$10:$HD$21,65,0)*C66,2)</f>
        <v>4.33</v>
      </c>
      <c r="G65" s="413">
        <f>ROUND(VLOOKUP($C$14,CAMPUS.CONTRATANTE!$D$10:$HD$21,82,0)*C66,2)</f>
        <v>4.33</v>
      </c>
      <c r="H65" s="413">
        <f>ROUND(VLOOKUP($C$14,CAMPUS.CONTRATANTE!$D$10:$HD$21,99,0)*C66,2)</f>
        <v>4.33</v>
      </c>
      <c r="I65" s="413">
        <f>ROUND(VLOOKUP($C$14,CAMPUS.CONTRATANTE!$D$10:$HD$21,116,0)*C66,2)</f>
        <v>4.33</v>
      </c>
      <c r="J65" s="413">
        <f>ROUND(VLOOKUP($C$14,CAMPUS.CONTRATANTE!$D$10:$HD$21,133,0)*C66,2)</f>
        <v>0</v>
      </c>
      <c r="K65" s="413">
        <f>ROUND(VLOOKUP($C$14,CAMPUS.CONTRATANTE!$D$10:$HD$21,150,0)*C66,2)</f>
        <v>0</v>
      </c>
      <c r="L65" s="413">
        <f>ROUND(VLOOKUP($C$14,CAMPUS.CONTRATANTE!$D$10:$HD$21,167,0)*C66,2)</f>
        <v>0</v>
      </c>
      <c r="M65" s="413">
        <f>ROUND(VLOOKUP($C$14,CAMPUS.CONTRATANTE!$D$10:$HD$21,184,0)*C66,2)</f>
        <v>0</v>
      </c>
      <c r="N65" s="413">
        <f>ROUND(VLOOKUP($C$14,CAMPUS.CONTRATANTE!$D$10:$HD$21,202,0)*C66,2)</f>
        <v>0</v>
      </c>
      <c r="O65" s="353"/>
    </row>
    <row r="66" spans="1:15" ht="14.25" customHeight="1">
      <c r="A66" s="320"/>
      <c r="B66" s="381" t="s">
        <v>282</v>
      </c>
      <c r="C66" s="414">
        <f>IF(C14="SAO-VICENTE-DO-SUL",0,4)</f>
        <v>4</v>
      </c>
      <c r="D66" s="415">
        <f>IF(C14="SAO-VICENTE-DO-SUL",0,4)</f>
        <v>4</v>
      </c>
      <c r="E66" s="415">
        <f>IF(C14="SAO-VICENTE-DO-SUL",0,4)</f>
        <v>4</v>
      </c>
      <c r="F66" s="416">
        <v>0</v>
      </c>
      <c r="G66" s="416">
        <v>0</v>
      </c>
      <c r="H66" s="416">
        <v>0</v>
      </c>
      <c r="I66" s="416">
        <v>0</v>
      </c>
      <c r="J66" s="416">
        <v>0</v>
      </c>
      <c r="K66" s="416">
        <v>4</v>
      </c>
      <c r="L66" s="416">
        <v>0</v>
      </c>
      <c r="M66" s="416">
        <v>0</v>
      </c>
      <c r="N66" s="416">
        <v>0</v>
      </c>
      <c r="O66" s="353"/>
    </row>
    <row r="67" spans="1:15" ht="14.25" customHeight="1">
      <c r="A67" s="320"/>
      <c r="B67" s="417" t="s">
        <v>283</v>
      </c>
      <c r="C67" s="418">
        <f>ROUND(VLOOKUP($C$14,CAMPUS.CONTRATANTE!$D$10:$HD$21,19,0),2)</f>
        <v>1</v>
      </c>
      <c r="D67" s="418">
        <f>ROUND(VLOOKUP($C$14,CAMPUS.CONTRATANTE!$D$10:$HD$21,36,0),2)</f>
        <v>1</v>
      </c>
      <c r="E67" s="418">
        <f>ROUND(VLOOKUP($C$14,CAMPUS.CONTRATANTE!$D$10:$HD$21,53,0),2)</f>
        <v>1</v>
      </c>
      <c r="F67" s="416"/>
      <c r="G67" s="416"/>
      <c r="H67" s="416"/>
      <c r="I67" s="416"/>
      <c r="J67" s="416"/>
      <c r="K67" s="416"/>
      <c r="L67" s="416"/>
      <c r="M67" s="416"/>
      <c r="N67" s="416"/>
      <c r="O67" s="353"/>
    </row>
    <row r="68" spans="1:15" ht="15" customHeight="1">
      <c r="A68" s="320"/>
      <c r="B68" s="411" t="s">
        <v>284</v>
      </c>
      <c r="C68" s="419">
        <f>ROUND(VLOOKUP($C$14,CAMPUS.CONTRATANTE!$D$10:$HD$21,15,0)*C69,2)*C71</f>
        <v>7.11</v>
      </c>
      <c r="D68" s="420">
        <f>ROUND(VLOOKUP($C$14,CAMPUS.CONTRATANTE!$D$10:$HD$21,32,0)*C69,2)*D71</f>
        <v>7.11</v>
      </c>
      <c r="E68" s="420">
        <f>ROUND(VLOOKUP($C$14,CAMPUS.CONTRATANTE!$D$10:$HD$21,49,0)*C69,2)</f>
        <v>7.11</v>
      </c>
      <c r="F68" s="371">
        <f>ROUND(VLOOKUP($C$14,CAMPUS.CONTRATANTE!$D$10:$HD$21,66,0)*C69,2)</f>
        <v>10.67</v>
      </c>
      <c r="G68" s="371">
        <f>ROUND(VLOOKUP($C$14,CAMPUS.CONTRATANTE!$D$10:$HD$21,83,0)*C69,2)</f>
        <v>10.67</v>
      </c>
      <c r="H68" s="371">
        <f>ROUND(VLOOKUP($C$14,CAMPUS.CONTRATANTE!$D$10:$HD$21,100,0)*C69,2)</f>
        <v>10.67</v>
      </c>
      <c r="I68" s="371">
        <f>ROUND(VLOOKUP($C$14,CAMPUS.CONTRATANTE!$D$10:$HD$21,117,0)*C69,2)</f>
        <v>10.67</v>
      </c>
      <c r="J68" s="371">
        <f>ROUND(VLOOKUP($C$14,CAMPUS.CONTRATANTE!$D$10:$HD$21,134,0)*C69,2)</f>
        <v>0</v>
      </c>
      <c r="K68" s="371">
        <f>ROUND(VLOOKUP($C$14,CAMPUS.CONTRATANTE!$D$10:$HD$21,151,0)*C69,2)</f>
        <v>0</v>
      </c>
      <c r="L68" s="371">
        <f>ROUND(VLOOKUP($C$14,CAMPUS.CONTRATANTE!$D$10:$HD$21,168,0)*C69,2)</f>
        <v>0</v>
      </c>
      <c r="M68" s="371">
        <f>ROUND(VLOOKUP($C$14,CAMPUS.CONTRATANTE!$D$10:$HD$21,185,0)*C69,2)</f>
        <v>0</v>
      </c>
      <c r="N68" s="371">
        <f>ROUND(VLOOKUP($C$14,CAMPUS.CONTRATANTE!$D$10:$HD$21,202,0)*C69,2)</f>
        <v>0</v>
      </c>
      <c r="O68" s="353"/>
    </row>
    <row r="69" spans="1:15" ht="14.25" customHeight="1">
      <c r="A69" s="320"/>
      <c r="B69" s="421" t="s">
        <v>285</v>
      </c>
      <c r="C69" s="414">
        <f>IF(C14="SAO-VICENTE-DO-SUL",(4*52+8*12)/64,8)</f>
        <v>8</v>
      </c>
      <c r="D69" s="422">
        <f>IF(C14="SAO-VICENTE-DO-SUL",(4*52+8*12)/64,8)</f>
        <v>8</v>
      </c>
      <c r="E69" s="422">
        <f>IF(C14="SAO-VICENTE-DO-SUL",(4*52+8*12)/64,8)</f>
        <v>8</v>
      </c>
      <c r="F69" s="394">
        <v>0</v>
      </c>
      <c r="G69" s="394">
        <v>0</v>
      </c>
      <c r="H69" s="394">
        <v>0</v>
      </c>
      <c r="I69" s="394">
        <v>0</v>
      </c>
      <c r="J69" s="394">
        <v>0</v>
      </c>
      <c r="K69" s="394">
        <v>0</v>
      </c>
      <c r="L69" s="394">
        <v>0</v>
      </c>
      <c r="M69" s="394">
        <v>0</v>
      </c>
      <c r="N69" s="394">
        <v>0</v>
      </c>
      <c r="O69" s="353"/>
    </row>
    <row r="70" spans="1:15" ht="14.25" customHeight="1">
      <c r="A70" s="320"/>
      <c r="B70" s="423" t="s">
        <v>286</v>
      </c>
      <c r="C70" s="424" t="str">
        <f>VLOOKUP(C14,CAMPUS.CONTRATANTE!$D$10:$HD$21,5,0)</f>
        <v>S</v>
      </c>
      <c r="D70" s="424" t="str">
        <f>VLOOKUP(C14,CAMPUS.CONTRATANTE!$D$10:$HD$22,22,0)</f>
        <v>S</v>
      </c>
      <c r="E70" s="424" t="str">
        <f>VLOOKUP(C14,CAMPUS.CONTRATANTE!$D$10:$HD$22,39,0)</f>
        <v>S</v>
      </c>
      <c r="F70" s="371" t="str">
        <f>VLOOKUP(C14,CAMPUS.CONTRATANTE!$D$10:$HD$22,56,0)</f>
        <v>S</v>
      </c>
      <c r="G70" s="371" t="str">
        <f>VLOOKUP(C14,CAMPUS.CONTRATANTE!$D$10:$HD$22,73,0)</f>
        <v>S</v>
      </c>
      <c r="H70" s="371" t="str">
        <f>VLOOKUP(C14,CAMPUS.CONTRATANTE!$D$10:$HD$22,90,0)</f>
        <v>S</v>
      </c>
      <c r="I70" s="371" t="str">
        <f>VLOOKUP(C14,CAMPUS.CONTRATANTE!$D$10:$HD$22,107,0)</f>
        <v>S</v>
      </c>
      <c r="J70" s="371" t="str">
        <f>VLOOKUP(C14,CAMPUS.CONTRATANTE!$D$10:$HD$22,124,0)</f>
        <v>N</v>
      </c>
      <c r="K70" s="371" t="str">
        <f>VLOOKUP(C14,CAMPUS.CONTRATANTE!$D$10:$HD$22,141,0)</f>
        <v>N</v>
      </c>
      <c r="L70" s="371" t="str">
        <f>VLOOKUP(C14,CAMPUS.CONTRATANTE!$D$10:$HD$22,158,0)</f>
        <v>N</v>
      </c>
      <c r="M70" s="371" t="str">
        <f>VLOOKUP(C14,CAMPUS.CONTRATANTE!$D$10:$HD$22,175,0)</f>
        <v>N</v>
      </c>
      <c r="N70" s="371" t="str">
        <f>VLOOKUP(C14,CAMPUS.CONTRATANTE!$D$10:$HD$22,192,0)</f>
        <v>N</v>
      </c>
      <c r="O70" s="353"/>
    </row>
    <row r="71" spans="1:15" ht="13.5" customHeight="1">
      <c r="A71" s="320"/>
      <c r="B71" s="417" t="s">
        <v>287</v>
      </c>
      <c r="C71" s="418">
        <f>ROUND(VLOOKUP($C$14,CAMPUS.CONTRATANTE!$D$10:$HD$21,20,0),2)</f>
        <v>1</v>
      </c>
      <c r="D71" s="418">
        <f>ROUND(VLOOKUP($C$14,CAMPUS.CONTRATANTE!$D$10:$HD$21,37,0),2)</f>
        <v>1</v>
      </c>
      <c r="E71" s="418">
        <f>ROUND(VLOOKUP($C$14,CAMPUS.CONTRATANTE!$D$10:$HD$21,54,0),2)</f>
        <v>1</v>
      </c>
      <c r="F71" s="371"/>
      <c r="G71" s="371"/>
      <c r="H71" s="371"/>
      <c r="I71" s="371"/>
      <c r="J71" s="371"/>
      <c r="K71" s="371"/>
      <c r="L71" s="371"/>
      <c r="M71" s="371"/>
      <c r="N71" s="371"/>
      <c r="O71" s="353"/>
    </row>
    <row r="72" spans="1:15" ht="15" customHeight="1">
      <c r="A72" s="320"/>
      <c r="B72" s="425" t="s">
        <v>288</v>
      </c>
      <c r="C72" s="407">
        <f>VLOOKUP(C14,CAMPUS.CONTRATANTE!$D$10:$BE$21,2,0)</f>
        <v>6.6</v>
      </c>
      <c r="D72" s="407">
        <f t="shared" ref="D72:N72" si="8">C72</f>
        <v>6.6</v>
      </c>
      <c r="E72" s="407">
        <f t="shared" si="8"/>
        <v>6.6</v>
      </c>
      <c r="F72" s="371">
        <f t="shared" si="8"/>
        <v>6.6</v>
      </c>
      <c r="G72" s="371">
        <f t="shared" si="8"/>
        <v>6.6</v>
      </c>
      <c r="H72" s="371">
        <f t="shared" si="8"/>
        <v>6.6</v>
      </c>
      <c r="I72" s="426">
        <f t="shared" si="8"/>
        <v>6.6</v>
      </c>
      <c r="J72" s="426">
        <f t="shared" si="8"/>
        <v>6.6</v>
      </c>
      <c r="K72" s="426">
        <f t="shared" si="8"/>
        <v>6.6</v>
      </c>
      <c r="L72" s="426">
        <f t="shared" si="8"/>
        <v>6.6</v>
      </c>
      <c r="M72" s="426">
        <f t="shared" si="8"/>
        <v>6.6</v>
      </c>
      <c r="N72" s="426">
        <f t="shared" si="8"/>
        <v>6.6</v>
      </c>
      <c r="O72" s="353"/>
    </row>
    <row r="73" spans="1:15" ht="15" customHeight="1">
      <c r="A73" s="320"/>
      <c r="B73" s="381" t="s">
        <v>289</v>
      </c>
      <c r="C73" s="427">
        <v>2</v>
      </c>
      <c r="D73" s="408">
        <f t="shared" ref="D73:N73" si="9">C73</f>
        <v>2</v>
      </c>
      <c r="E73" s="408">
        <f t="shared" si="9"/>
        <v>2</v>
      </c>
      <c r="F73" s="394">
        <f t="shared" si="9"/>
        <v>2</v>
      </c>
      <c r="G73" s="394">
        <f t="shared" si="9"/>
        <v>2</v>
      </c>
      <c r="H73" s="394">
        <f t="shared" si="9"/>
        <v>2</v>
      </c>
      <c r="I73" s="394">
        <f t="shared" si="9"/>
        <v>2</v>
      </c>
      <c r="J73" s="394">
        <f t="shared" si="9"/>
        <v>2</v>
      </c>
      <c r="K73" s="394">
        <f t="shared" si="9"/>
        <v>2</v>
      </c>
      <c r="L73" s="394">
        <f t="shared" si="9"/>
        <v>2</v>
      </c>
      <c r="M73" s="394">
        <f t="shared" si="9"/>
        <v>2</v>
      </c>
      <c r="N73" s="394">
        <f t="shared" si="9"/>
        <v>2</v>
      </c>
      <c r="O73" s="353"/>
    </row>
    <row r="74" spans="1:15" ht="15" customHeight="1">
      <c r="A74" s="320"/>
      <c r="B74" s="381" t="s">
        <v>290</v>
      </c>
      <c r="C74" s="427">
        <f>VLOOKUP(C14,CAMPUS.CONTRATANTE!$D$10:$HD$22,16,0)</f>
        <v>25</v>
      </c>
      <c r="D74" s="408">
        <f>VLOOKUP(C14,CAMPUS.CONTRATANTE!$D$10:$HD$22,33,0)</f>
        <v>25</v>
      </c>
      <c r="E74" s="408">
        <f>VLOOKUP(C14,CAMPUS.CONTRATANTE!$D$10:$HD$22,50,0)</f>
        <v>25</v>
      </c>
      <c r="F74" s="394">
        <f>VLOOKUP(C14,CAMPUS.CONTRATANTE!$D$10:$HD$22,67,0)</f>
        <v>22</v>
      </c>
      <c r="G74" s="394">
        <f>VLOOKUP(C14,CAMPUS.CONTRATANTE!$D$10:$HD$22,84,0)</f>
        <v>22</v>
      </c>
      <c r="H74" s="394">
        <f>VLOOKUP(C14,CAMPUS.CONTRATANTE!$D$10:$HD$22,101,0)</f>
        <v>22</v>
      </c>
      <c r="I74" s="394">
        <f>VLOOKUP(C14,CAMPUS.CONTRATANTE!$D$10:$HD$22,118,0)</f>
        <v>22</v>
      </c>
      <c r="J74" s="394">
        <f>VLOOKUP(C14,CAMPUS.CONTRATANTE!$D$10:$HD$22,135,0)</f>
        <v>22</v>
      </c>
      <c r="K74" s="394">
        <f>VLOOKUP(C14,CAMPUS.CONTRATANTE!$D$10:$HD$22,152,0)</f>
        <v>22</v>
      </c>
      <c r="L74" s="394">
        <f>VLOOKUP(C14,CAMPUS.CONTRATANTE!$D$10:$HD$22,169,0)</f>
        <v>9</v>
      </c>
      <c r="M74" s="394">
        <f>VLOOKUP(C14,CAMPUS.CONTRATANTE!$D$10:$HD$22,186,0)</f>
        <v>0</v>
      </c>
      <c r="N74" s="394">
        <f>VLOOKUP(C14,CAMPUS.CONTRATANTE!$D$10:$HD$22,203,0)</f>
        <v>0</v>
      </c>
      <c r="O74" s="353"/>
    </row>
    <row r="75" spans="1:15" ht="16.5" customHeight="1">
      <c r="A75" s="320"/>
      <c r="B75" s="381" t="s">
        <v>291</v>
      </c>
      <c r="C75" s="369">
        <f>VLOOKUP(C35,'DADOS-CADASTRAIS'!C6:O60,7,0)</f>
        <v>0</v>
      </c>
      <c r="D75" s="369">
        <f>VLOOKUP(D35,'DADOS-CADASTRAIS'!C6:O60,7,0)</f>
        <v>0</v>
      </c>
      <c r="E75" s="369">
        <f>VLOOKUP(E35,'DADOS-CADASTRAIS'!C6:O60,7,0)</f>
        <v>0</v>
      </c>
      <c r="F75" s="363">
        <f>VLOOKUP(E35,'DADOS-CADASTRAIS'!C6:O60,7,0)</f>
        <v>0</v>
      </c>
      <c r="G75" s="363">
        <f>VLOOKUP(G35,'DADOS-CADASTRAIS'!C6:O60,7,0)</f>
        <v>0.06</v>
      </c>
      <c r="H75" s="363">
        <f>VLOOKUP(H35,'DADOS-CADASTRAIS'!C6:O60,7,0)</f>
        <v>0.06</v>
      </c>
      <c r="I75" s="363">
        <f>VLOOKUP(I35,'DADOS-CADASTRAIS'!C6:O60,7,0)</f>
        <v>0.06</v>
      </c>
      <c r="J75" s="363">
        <f>VLOOKUP(J35,'DADOS-CADASTRAIS'!C6:O60,7,0)</f>
        <v>0.06</v>
      </c>
      <c r="K75" s="363">
        <f>VLOOKUP(K35,'DADOS-CADASTRAIS'!C6:O60,7,0)</f>
        <v>0.06</v>
      </c>
      <c r="L75" s="363">
        <f>VLOOKUP(L35,'DADOS-CADASTRAIS'!C6:O60,7,0)</f>
        <v>0.06</v>
      </c>
      <c r="M75" s="363">
        <f>VLOOKUP(L35,'DADOS-CADASTRAIS'!C6:O60,7,0)</f>
        <v>0.06</v>
      </c>
      <c r="N75" s="363">
        <f>VLOOKUP(L35,'DADOS-CADASTRAIS'!C6:O60,7,0)</f>
        <v>0.06</v>
      </c>
      <c r="O75" s="353"/>
    </row>
    <row r="76" spans="1:15" ht="14.25" customHeight="1">
      <c r="A76" s="320"/>
      <c r="B76" s="381" t="s">
        <v>292</v>
      </c>
      <c r="C76" s="407">
        <f>VLOOKUP(C35,'DADOS-CADASTRAIS'!C6:O60,9,0)</f>
        <v>0</v>
      </c>
      <c r="D76" s="407">
        <f>VLOOKUP(D35,'DADOS-CADASTRAIS'!C6:O60,9,0)</f>
        <v>0</v>
      </c>
      <c r="E76" s="407">
        <f>VLOOKUP(E35,'DADOS-CADASTRAIS'!C6:O60,9,0)</f>
        <v>0</v>
      </c>
      <c r="F76" s="371">
        <f>VLOOKUP(F35,'DADOS-CADASTRAIS'!C6:O60,9,0)</f>
        <v>17.32</v>
      </c>
      <c r="G76" s="371">
        <f>VLOOKUP(H35,'DADOS-CADASTRAIS'!C6:O60,9,0)</f>
        <v>17.32</v>
      </c>
      <c r="H76" s="371">
        <f>VLOOKUP(H35,'DADOS-CADASTRAIS'!C6:O60,9,0)</f>
        <v>17.32</v>
      </c>
      <c r="I76" s="371">
        <f>VLOOKUP(I35,'DADOS-CADASTRAIS'!C6:O60,9,0)</f>
        <v>17.32</v>
      </c>
      <c r="J76" s="371">
        <f>VLOOKUP(J35,'DADOS-CADASTRAIS'!C6:O60,9,0)</f>
        <v>0</v>
      </c>
      <c r="K76" s="371">
        <f>VLOOKUP(K35,'DADOS-CADASTRAIS'!C6:O60,9,0)</f>
        <v>0</v>
      </c>
      <c r="L76" s="371">
        <f>VLOOKUP(L35,'DADOS-CADASTRAIS'!C6:O60,9,0)</f>
        <v>0</v>
      </c>
      <c r="M76" s="371">
        <f>VLOOKUP(L35,'DADOS-CADASTRAIS'!C6:O60,7,0)</f>
        <v>0.06</v>
      </c>
      <c r="N76" s="371">
        <f>VLOOKUP(L35,'DADOS-CADASTRAIS'!C6:O60,7,0)</f>
        <v>0.06</v>
      </c>
      <c r="O76" s="353"/>
    </row>
    <row r="77" spans="1:15" ht="14.25" customHeight="1">
      <c r="A77" s="320"/>
      <c r="B77" s="381" t="s">
        <v>293</v>
      </c>
      <c r="C77" s="407">
        <f>IF(VLOOKUP(C35,'DADOS-CADASTRAIS'!C5:O60,10,0)="S",'6210-05_CAPATAZ-Encarreg'!J58*26*0.00023,0)</f>
        <v>0</v>
      </c>
      <c r="D77" s="407">
        <f>IF(VLOOKUP(C35,'DADOS-CADASTRAIS'!C5:O60,10,0)="S",'6210-05_PEAO-Trabalh.Agropec'!J58*26*0.00023,0)</f>
        <v>0</v>
      </c>
      <c r="E77" s="407">
        <f>IF(VLOOKUP(C35,'DADOS-CADASTRAIS'!C5:O60,10,0)="S",'6210-05_PEAO-Trabalh.Agropec'!J58*26*0.00023,0)</f>
        <v>0</v>
      </c>
      <c r="F77" s="371">
        <f>VLOOKUP(H35,'DADOS-CADASTRAIS'!C5:L18,10,0)</f>
        <v>0</v>
      </c>
      <c r="G77" s="371">
        <f>VLOOKUP(H35,'DADOS-CADASTRAIS'!C5:L18,10,0)</f>
        <v>0</v>
      </c>
      <c r="H77" s="371">
        <f>VLOOKUP(H35,'DADOS-CADASTRAIS'!C5:L18,10,0)</f>
        <v>0</v>
      </c>
      <c r="I77" s="371">
        <f>VLOOKUP(I35,'DADOS-CADASTRAIS'!C5:L18,10,0)</f>
        <v>0</v>
      </c>
      <c r="J77" s="371">
        <f>VLOOKUP(J35,'DADOS-CADASTRAIS'!C5:L18,10,0)</f>
        <v>0</v>
      </c>
      <c r="K77" s="371">
        <f>VLOOKUP(K35,'DADOS-CADASTRAIS'!C5:L18,10,0)</f>
        <v>0</v>
      </c>
      <c r="L77" s="371">
        <f>VLOOKUP(L35,'DADOS-CADASTRAIS'!C5:L18,10,0)</f>
        <v>0</v>
      </c>
      <c r="M77" s="371">
        <f>VLOOKUP(L35,'DADOS-CADASTRAIS'!C6:O60,7,0)</f>
        <v>0.06</v>
      </c>
      <c r="N77" s="371">
        <f>VLOOKUP(L35,'DADOS-CADASTRAIS'!C6:O60,7,0)</f>
        <v>0.06</v>
      </c>
      <c r="O77" s="353"/>
    </row>
    <row r="78" spans="1:15" ht="15.75" customHeight="1">
      <c r="A78" s="320"/>
      <c r="B78" s="346" t="s">
        <v>294</v>
      </c>
      <c r="C78" s="407">
        <f>IF(VLOOKUP(C35,'DADOS-CADASTRAIS'!C5:O60,10,0)="S",('6210-05_CAPATAZ-Encarreg'!J47*0.0052066)/12,2)*0</f>
        <v>0</v>
      </c>
      <c r="D78" s="407">
        <f>IF(VLOOKUP(C35,'DADOS-CADASTRAIS'!C5:O60,11,0)="S",('6210-05_PEAO-Trabalh.Agropec'!J47*0.0052066)/12,2)*0</f>
        <v>0</v>
      </c>
      <c r="E78" s="407">
        <f>IF(VLOOKUP(C35,'DADOS-CADASTRAIS'!C5:O60,10,0)="S",'6210-05_PEAO-Trabalh.Agropec'!J58*26*0.00023,0)*0</f>
        <v>0</v>
      </c>
      <c r="F78" s="371">
        <f>VLOOKUP(H35,'DADOS-CADASTRAIS'!C5:L18,10,0)</f>
        <v>0</v>
      </c>
      <c r="G78" s="371">
        <f>VLOOKUP(H35,'DADOS-CADASTRAIS'!C5:L18,10,0)</f>
        <v>0</v>
      </c>
      <c r="H78" s="371">
        <f>VLOOKUP(H35,'DADOS-CADASTRAIS'!C6:M19,11,0)</f>
        <v>0</v>
      </c>
      <c r="I78" s="371">
        <f>VLOOKUP(I35,'DADOS-CADASTRAIS'!C6:M19,11,0)</f>
        <v>0</v>
      </c>
      <c r="J78" s="371">
        <f>VLOOKUP(J35,'DADOS-CADASTRAIS'!C6:M19,11,0)</f>
        <v>0</v>
      </c>
      <c r="K78" s="371">
        <f>VLOOKUP(K35,'DADOS-CADASTRAIS'!C6:M19,11,0)</f>
        <v>0</v>
      </c>
      <c r="L78" s="371">
        <f>VLOOKUP(L35,'DADOS-CADASTRAIS'!C6:M19,11,0)</f>
        <v>0</v>
      </c>
      <c r="M78" s="371">
        <f>VLOOKUP(L35,'DADOS-CADASTRAIS'!C6:O60,7,0)</f>
        <v>0.06</v>
      </c>
      <c r="N78" s="371">
        <f>VLOOKUP(L35,'DADOS-CADASTRAIS'!C6:O60,7,0)</f>
        <v>0.06</v>
      </c>
      <c r="O78" s="353"/>
    </row>
    <row r="79" spans="1:15" ht="6.75" customHeight="1">
      <c r="A79" s="320"/>
      <c r="B79" s="346"/>
      <c r="C79" s="428"/>
      <c r="D79" s="429"/>
      <c r="E79" s="429"/>
      <c r="F79" s="376"/>
      <c r="G79" s="376"/>
      <c r="H79" s="376"/>
      <c r="I79" s="376"/>
      <c r="J79" s="376"/>
      <c r="K79" s="376"/>
      <c r="L79" s="376"/>
      <c r="M79" s="376"/>
      <c r="N79" s="376"/>
      <c r="O79" s="353"/>
    </row>
    <row r="80" spans="1:15" ht="9" customHeight="1">
      <c r="A80" s="320"/>
      <c r="B80" s="320"/>
      <c r="C80" s="320"/>
      <c r="D80" s="320"/>
      <c r="E80" s="339"/>
      <c r="F80" s="378"/>
      <c r="G80" s="378"/>
      <c r="H80" s="378"/>
      <c r="I80" s="378"/>
      <c r="J80" s="378"/>
      <c r="K80" s="378"/>
      <c r="L80" s="378"/>
      <c r="M80" s="378"/>
      <c r="N80" s="378"/>
      <c r="O80" s="353"/>
    </row>
    <row r="81" spans="1:15" ht="12.75" customHeight="1">
      <c r="A81" s="320"/>
      <c r="B81" s="900" t="s">
        <v>295</v>
      </c>
      <c r="C81" s="846"/>
      <c r="D81" s="901"/>
      <c r="E81" s="377"/>
      <c r="F81" s="273"/>
      <c r="G81" s="273"/>
      <c r="H81" s="273"/>
      <c r="I81" s="273"/>
      <c r="J81" s="273"/>
      <c r="K81" s="273"/>
      <c r="L81" s="273"/>
      <c r="M81" s="273"/>
      <c r="N81" s="273"/>
      <c r="O81" s="353"/>
    </row>
    <row r="82" spans="1:15" ht="12.75" customHeight="1">
      <c r="A82" s="320"/>
      <c r="B82" s="320"/>
      <c r="C82" s="320"/>
      <c r="D82" s="320"/>
      <c r="E82" s="339"/>
      <c r="F82" s="378"/>
      <c r="G82" s="378"/>
      <c r="H82" s="378"/>
      <c r="I82" s="378"/>
      <c r="J82" s="378"/>
      <c r="K82" s="378"/>
      <c r="L82" s="378"/>
      <c r="M82" s="378"/>
      <c r="N82" s="378"/>
      <c r="O82" s="353"/>
    </row>
    <row r="83" spans="1:15" ht="15.75" customHeight="1">
      <c r="A83" s="320"/>
      <c r="B83" s="899" t="str">
        <f>C11</f>
        <v xml:space="preserve"> S E R V I Ç O S     -    A G R O P E C U A R I O S </v>
      </c>
      <c r="C83" s="882"/>
      <c r="D83" s="882"/>
      <c r="E83" s="270"/>
      <c r="F83" s="273"/>
      <c r="G83" s="273"/>
      <c r="H83" s="273"/>
      <c r="I83" s="273"/>
      <c r="J83" s="273"/>
      <c r="K83" s="273"/>
      <c r="L83" s="273"/>
      <c r="M83" s="273"/>
      <c r="N83" s="273"/>
      <c r="O83" s="353"/>
    </row>
    <row r="84" spans="1:15" ht="24" customHeight="1">
      <c r="A84" s="320"/>
      <c r="B84" s="320"/>
      <c r="C84" s="379" t="str">
        <f t="shared" ref="C84:N84" si="10">C56</f>
        <v>6210-05_CAPATAZ-Encarreg</v>
      </c>
      <c r="D84" s="379" t="str">
        <f t="shared" si="10"/>
        <v>6210-05_PEAO-Trabalh.Agropec</v>
      </c>
      <c r="E84" s="379" t="str">
        <f t="shared" si="10"/>
        <v>6410-15_TRATORISTA-em-Geral</v>
      </c>
      <c r="F84" s="380" t="str">
        <f t="shared" si="10"/>
        <v>A NÃO TEM MAIS POSTOS-11</v>
      </c>
      <c r="G84" s="380" t="str">
        <f t="shared" si="10"/>
        <v>A NÃO TEM MAIS POSTOS-22</v>
      </c>
      <c r="H84" s="380" t="str">
        <f t="shared" si="10"/>
        <v>A NÃO TEM MAIS POSTOS-33</v>
      </c>
      <c r="I84" s="380" t="str">
        <f t="shared" si="10"/>
        <v>A NÃO TEM MAIS POSTOS-44</v>
      </c>
      <c r="J84" s="380" t="str">
        <f t="shared" si="10"/>
        <v>A NÃO TEM MAIS POSTOS-55</v>
      </c>
      <c r="K84" s="380" t="str">
        <f t="shared" si="10"/>
        <v>A NÃO TEM MAIS POSTOS-66</v>
      </c>
      <c r="L84" s="380" t="str">
        <f t="shared" si="10"/>
        <v>A NÃO TEM MAIS POSTOS-77</v>
      </c>
      <c r="M84" s="380" t="str">
        <f t="shared" si="10"/>
        <v>A NÃO TEM MAIS POSTOS-88</v>
      </c>
      <c r="N84" s="380" t="str">
        <f t="shared" si="10"/>
        <v>A NÃO TEM MAIS POSTOS-99</v>
      </c>
      <c r="O84" s="353"/>
    </row>
    <row r="85" spans="1:15" ht="15" customHeight="1">
      <c r="A85" s="320"/>
      <c r="B85" s="346" t="s">
        <v>296</v>
      </c>
      <c r="C85" s="430">
        <v>0.06</v>
      </c>
      <c r="D85" s="431">
        <v>0.06</v>
      </c>
      <c r="E85" s="431">
        <v>0.06</v>
      </c>
      <c r="F85" s="361">
        <v>0.06</v>
      </c>
      <c r="G85" s="361">
        <v>0.06</v>
      </c>
      <c r="H85" s="361">
        <v>0.06</v>
      </c>
      <c r="I85" s="361">
        <v>0.06</v>
      </c>
      <c r="J85" s="361">
        <v>0.06</v>
      </c>
      <c r="K85" s="361">
        <v>0.06</v>
      </c>
      <c r="L85" s="361">
        <v>0.06</v>
      </c>
      <c r="M85" s="361">
        <v>0.06</v>
      </c>
      <c r="N85" s="361">
        <v>0.06</v>
      </c>
      <c r="O85" s="353"/>
    </row>
    <row r="86" spans="1:15" ht="15" customHeight="1">
      <c r="A86" s="320"/>
      <c r="B86" s="346" t="s">
        <v>297</v>
      </c>
      <c r="C86" s="432">
        <v>0.06</v>
      </c>
      <c r="D86" s="433">
        <v>0.06</v>
      </c>
      <c r="E86" s="433">
        <v>0.06</v>
      </c>
      <c r="F86" s="361">
        <v>0.06</v>
      </c>
      <c r="G86" s="361">
        <v>0.06</v>
      </c>
      <c r="H86" s="361">
        <v>0.06</v>
      </c>
      <c r="I86" s="361">
        <v>0.06</v>
      </c>
      <c r="J86" s="361">
        <v>0.06</v>
      </c>
      <c r="K86" s="361">
        <v>0.06</v>
      </c>
      <c r="L86" s="361">
        <v>0.06</v>
      </c>
      <c r="M86" s="361">
        <v>0.06</v>
      </c>
      <c r="N86" s="361">
        <v>0.06</v>
      </c>
      <c r="O86" s="353"/>
    </row>
    <row r="87" spans="1:15" ht="15" customHeight="1">
      <c r="A87" s="320"/>
      <c r="B87" s="346" t="s">
        <v>298</v>
      </c>
      <c r="C87" s="434">
        <f>VLOOKUP(C14,CAMPUS.CONTRATANTE!$D$10:$BE$21,3,0)/100</f>
        <v>0.03</v>
      </c>
      <c r="D87" s="435">
        <f t="shared" ref="D87:N87" si="11">C87</f>
        <v>0.03</v>
      </c>
      <c r="E87" s="435">
        <f t="shared" si="11"/>
        <v>0.03</v>
      </c>
      <c r="F87" s="361">
        <f t="shared" si="11"/>
        <v>0.03</v>
      </c>
      <c r="G87" s="361">
        <f t="shared" si="11"/>
        <v>0.03</v>
      </c>
      <c r="H87" s="361">
        <f t="shared" si="11"/>
        <v>0.03</v>
      </c>
      <c r="I87" s="361">
        <f t="shared" si="11"/>
        <v>0.03</v>
      </c>
      <c r="J87" s="361">
        <f t="shared" si="11"/>
        <v>0.03</v>
      </c>
      <c r="K87" s="361">
        <f t="shared" si="11"/>
        <v>0.03</v>
      </c>
      <c r="L87" s="361">
        <f t="shared" si="11"/>
        <v>0.03</v>
      </c>
      <c r="M87" s="361">
        <f t="shared" si="11"/>
        <v>0.03</v>
      </c>
      <c r="N87" s="361">
        <f t="shared" si="11"/>
        <v>0.03</v>
      </c>
      <c r="O87" s="353"/>
    </row>
    <row r="88" spans="1:15" ht="12.75" customHeight="1">
      <c r="A88" s="320"/>
      <c r="B88" s="346"/>
      <c r="C88" s="320"/>
      <c r="D88" s="320"/>
      <c r="E88" s="339"/>
      <c r="F88" s="378"/>
      <c r="G88" s="378"/>
      <c r="H88" s="378"/>
      <c r="I88" s="378"/>
      <c r="J88" s="378"/>
      <c r="K88" s="378"/>
      <c r="L88" s="378"/>
      <c r="M88" s="378"/>
      <c r="N88" s="378"/>
      <c r="O88" s="353"/>
    </row>
    <row r="89" spans="1:15" ht="12.75" customHeight="1">
      <c r="A89" s="320"/>
      <c r="B89" s="900" t="s">
        <v>299</v>
      </c>
      <c r="C89" s="846"/>
      <c r="D89" s="901"/>
      <c r="E89" s="377"/>
      <c r="F89" s="436"/>
      <c r="G89" s="436"/>
      <c r="H89" s="436"/>
      <c r="I89" s="436"/>
      <c r="J89" s="436"/>
      <c r="K89" s="436"/>
      <c r="L89" s="436"/>
      <c r="M89" s="436"/>
      <c r="N89" s="436"/>
      <c r="O89" s="353"/>
    </row>
    <row r="90" spans="1:15" ht="12.75" customHeight="1">
      <c r="A90" s="320"/>
      <c r="B90" s="320"/>
      <c r="C90" s="320"/>
      <c r="D90" s="320"/>
      <c r="E90" s="320"/>
      <c r="F90" s="378"/>
      <c r="G90" s="378"/>
      <c r="H90" s="378"/>
      <c r="I90" s="378"/>
      <c r="J90" s="378"/>
      <c r="K90" s="378"/>
      <c r="L90" s="378"/>
      <c r="M90" s="378"/>
      <c r="N90" s="378"/>
      <c r="O90" s="353"/>
    </row>
    <row r="91" spans="1:15" ht="24" customHeight="1">
      <c r="A91" s="320"/>
      <c r="B91" s="320"/>
      <c r="C91" s="379" t="str">
        <f t="shared" ref="C91:N91" si="12">C84</f>
        <v>6210-05_CAPATAZ-Encarreg</v>
      </c>
      <c r="D91" s="379" t="str">
        <f t="shared" si="12"/>
        <v>6210-05_PEAO-Trabalh.Agropec</v>
      </c>
      <c r="E91" s="379" t="str">
        <f t="shared" si="12"/>
        <v>6410-15_TRATORISTA-em-Geral</v>
      </c>
      <c r="F91" s="380" t="str">
        <f t="shared" si="12"/>
        <v>A NÃO TEM MAIS POSTOS-11</v>
      </c>
      <c r="G91" s="380" t="str">
        <f t="shared" si="12"/>
        <v>A NÃO TEM MAIS POSTOS-22</v>
      </c>
      <c r="H91" s="380" t="str">
        <f t="shared" si="12"/>
        <v>A NÃO TEM MAIS POSTOS-33</v>
      </c>
      <c r="I91" s="380" t="str">
        <f t="shared" si="12"/>
        <v>A NÃO TEM MAIS POSTOS-44</v>
      </c>
      <c r="J91" s="380" t="str">
        <f t="shared" si="12"/>
        <v>A NÃO TEM MAIS POSTOS-55</v>
      </c>
      <c r="K91" s="380" t="str">
        <f t="shared" si="12"/>
        <v>A NÃO TEM MAIS POSTOS-66</v>
      </c>
      <c r="L91" s="380" t="str">
        <f t="shared" si="12"/>
        <v>A NÃO TEM MAIS POSTOS-77</v>
      </c>
      <c r="M91" s="380" t="str">
        <f t="shared" si="12"/>
        <v>A NÃO TEM MAIS POSTOS-88</v>
      </c>
      <c r="N91" s="380" t="str">
        <f t="shared" si="12"/>
        <v>A NÃO TEM MAIS POSTOS-99</v>
      </c>
      <c r="O91" s="353"/>
    </row>
    <row r="92" spans="1:15" ht="16.5" customHeight="1">
      <c r="A92" s="320"/>
      <c r="B92" s="346" t="s">
        <v>300</v>
      </c>
      <c r="C92" s="437">
        <f>VLOOKUP(C14,CAMPUS.CONTRATANTE!$D$10:$HC$21,4,0)</f>
        <v>1</v>
      </c>
      <c r="D92" s="438">
        <f>VLOOKUP(C14,CAMPUS.CONTRATANTE!$D$10:$HC$21,21,0)</f>
        <v>4</v>
      </c>
      <c r="E92" s="438">
        <f>VLOOKUP(C14,CAMPUS.CONTRATANTE!$D$10:$HC$21,38,0)</f>
        <v>1</v>
      </c>
      <c r="F92" s="439">
        <f>VLOOKUP(C14,CAMPUS.CONTRATANTE!$D$10:$HC$21,55,0)</f>
        <v>0</v>
      </c>
      <c r="G92" s="439">
        <f>VLOOKUP(C14,CAMPUS.CONTRATANTE!$D$10:$HC$21,72,0)</f>
        <v>0</v>
      </c>
      <c r="H92" s="439">
        <f>VLOOKUP(C14,CAMPUS.CONTRATANTE!$D$10:$HC$21,89,0)</f>
        <v>0</v>
      </c>
      <c r="I92" s="439">
        <f>VLOOKUP(C14,CAMPUS.CONTRATANTE!$D$10:$HC$21,106,0)</f>
        <v>0</v>
      </c>
      <c r="J92" s="439">
        <f>VLOOKUP(C14,CAMPUS.CONTRATANTE!$D$10:$HC$21,123,0)</f>
        <v>0</v>
      </c>
      <c r="K92" s="439">
        <f>VLOOKUP(C14,CAMPUS.CONTRATANTE!$D$10:$HC$21,140,0)</f>
        <v>0</v>
      </c>
      <c r="L92" s="439">
        <f>VLOOKUP(C14,CAMPUS.CONTRATANTE!$D$10:$HC$21,157,0)</f>
        <v>0</v>
      </c>
      <c r="M92" s="439">
        <f>VLOOKUP(C14,CAMPUS.CONTRATANTE!$D$10:$HC$21,174,0)</f>
        <v>0</v>
      </c>
      <c r="N92" s="439">
        <f>VLOOKUP(C14,CAMPUS.CONTRATANTE!$D$10:$HC$21,191,0)</f>
        <v>0</v>
      </c>
      <c r="O92" s="353"/>
    </row>
    <row r="93" spans="1:15" ht="16.5" customHeight="1">
      <c r="A93" s="320"/>
      <c r="B93" s="346" t="s">
        <v>301</v>
      </c>
      <c r="C93" s="440">
        <v>1</v>
      </c>
      <c r="D93" s="441">
        <v>1</v>
      </c>
      <c r="E93" s="441">
        <v>1</v>
      </c>
      <c r="F93" s="439">
        <v>2</v>
      </c>
      <c r="G93" s="439">
        <v>2</v>
      </c>
      <c r="H93" s="442">
        <v>1</v>
      </c>
      <c r="I93" s="442">
        <v>1</v>
      </c>
      <c r="J93" s="442">
        <v>1</v>
      </c>
      <c r="K93" s="442">
        <v>1</v>
      </c>
      <c r="L93" s="442">
        <v>1</v>
      </c>
      <c r="M93" s="442">
        <v>1</v>
      </c>
      <c r="N93" s="442">
        <v>1</v>
      </c>
      <c r="O93" s="353"/>
    </row>
    <row r="94" spans="1:15" ht="16.5" customHeight="1">
      <c r="A94" s="320"/>
      <c r="B94" s="443" t="s">
        <v>302</v>
      </c>
      <c r="C94" s="444">
        <v>20</v>
      </c>
      <c r="D94" s="445">
        <f t="shared" ref="D94:N94" si="13">C94</f>
        <v>20</v>
      </c>
      <c r="E94" s="445">
        <f t="shared" si="13"/>
        <v>20</v>
      </c>
      <c r="F94" s="442">
        <f t="shared" si="13"/>
        <v>20</v>
      </c>
      <c r="G94" s="442">
        <f t="shared" si="13"/>
        <v>20</v>
      </c>
      <c r="H94" s="442">
        <f t="shared" si="13"/>
        <v>20</v>
      </c>
      <c r="I94" s="442">
        <f t="shared" si="13"/>
        <v>20</v>
      </c>
      <c r="J94" s="442">
        <f t="shared" si="13"/>
        <v>20</v>
      </c>
      <c r="K94" s="442">
        <f t="shared" si="13"/>
        <v>20</v>
      </c>
      <c r="L94" s="442">
        <f t="shared" si="13"/>
        <v>20</v>
      </c>
      <c r="M94" s="442">
        <f t="shared" si="13"/>
        <v>20</v>
      </c>
      <c r="N94" s="442">
        <f t="shared" si="13"/>
        <v>20</v>
      </c>
      <c r="O94" s="353"/>
    </row>
    <row r="95" spans="1:15" ht="12.75" customHeight="1">
      <c r="A95" s="320"/>
      <c r="B95" s="320"/>
      <c r="C95" s="320"/>
      <c r="D95" s="320"/>
      <c r="E95" s="320"/>
      <c r="F95" s="353"/>
      <c r="G95" s="353"/>
      <c r="H95" s="353"/>
      <c r="I95" s="353"/>
      <c r="J95" s="353"/>
      <c r="K95" s="353"/>
      <c r="L95" s="353"/>
      <c r="M95" s="353"/>
      <c r="N95" s="353"/>
      <c r="O95" s="353"/>
    </row>
    <row r="96" spans="1:15" ht="12.75" customHeight="1">
      <c r="A96" s="320"/>
      <c r="B96" s="320"/>
      <c r="C96" s="320"/>
      <c r="D96" s="320"/>
      <c r="E96" s="320"/>
      <c r="F96" s="353"/>
      <c r="G96" s="353"/>
      <c r="H96" s="353"/>
      <c r="I96" s="353"/>
      <c r="J96" s="353"/>
      <c r="K96" s="353"/>
      <c r="L96" s="353"/>
      <c r="M96" s="353"/>
      <c r="N96" s="353"/>
      <c r="O96" s="353"/>
    </row>
    <row r="97" spans="1:15" ht="12.75" customHeight="1">
      <c r="A97" s="320"/>
      <c r="B97" s="320"/>
      <c r="C97" s="320"/>
      <c r="D97" s="320"/>
      <c r="E97" s="320"/>
      <c r="F97" s="353"/>
      <c r="G97" s="353"/>
      <c r="H97" s="353"/>
      <c r="I97" s="353"/>
      <c r="J97" s="353"/>
      <c r="K97" s="353"/>
      <c r="L97" s="353"/>
      <c r="M97" s="353"/>
      <c r="N97" s="353"/>
      <c r="O97" s="353"/>
    </row>
  </sheetData>
  <mergeCells count="25">
    <mergeCell ref="B9:E9"/>
    <mergeCell ref="C11:E11"/>
    <mergeCell ref="C12:E12"/>
    <mergeCell ref="C13:E13"/>
    <mergeCell ref="C14:E14"/>
    <mergeCell ref="C15:E15"/>
    <mergeCell ref="C16:E16"/>
    <mergeCell ref="E26:E27"/>
    <mergeCell ref="F26:F27"/>
    <mergeCell ref="C17:E17"/>
    <mergeCell ref="C18:E18"/>
    <mergeCell ref="C19:E19"/>
    <mergeCell ref="C21:E21"/>
    <mergeCell ref="C22:E22"/>
    <mergeCell ref="C23:E23"/>
    <mergeCell ref="B26:D26"/>
    <mergeCell ref="B83:D83"/>
    <mergeCell ref="B89:D89"/>
    <mergeCell ref="C28:C29"/>
    <mergeCell ref="E28:E29"/>
    <mergeCell ref="F28:F29"/>
    <mergeCell ref="B31:D31"/>
    <mergeCell ref="B47:D47"/>
    <mergeCell ref="B54:D54"/>
    <mergeCell ref="B81:D81"/>
  </mergeCells>
  <conditionalFormatting sqref="C11:E14 C15">
    <cfRule type="containsBlanks" dxfId="196" priority="1">
      <formula>LEN(TRIM(C11))=0</formula>
    </cfRule>
  </conditionalFormatting>
  <conditionalFormatting sqref="C15">
    <cfRule type="containsBlanks" dxfId="195" priority="2">
      <formula>LEN(TRIM(C15))=0</formula>
    </cfRule>
  </conditionalFormatting>
  <conditionalFormatting sqref="C17">
    <cfRule type="containsBlanks" dxfId="194" priority="3">
      <formula>LEN(TRIM(C17))=0</formula>
    </cfRule>
  </conditionalFormatting>
  <conditionalFormatting sqref="C17">
    <cfRule type="containsBlanks" dxfId="193" priority="4">
      <formula>LEN(TRIM(C17))=0</formula>
    </cfRule>
  </conditionalFormatting>
  <conditionalFormatting sqref="C18">
    <cfRule type="containsBlanks" dxfId="192" priority="5">
      <formula>LEN(TRIM(C18))=0</formula>
    </cfRule>
  </conditionalFormatting>
  <conditionalFormatting sqref="C18">
    <cfRule type="containsBlanks" dxfId="191" priority="6">
      <formula>LEN(TRIM(C18))=0</formula>
    </cfRule>
  </conditionalFormatting>
  <conditionalFormatting sqref="C19">
    <cfRule type="containsBlanks" dxfId="190" priority="7">
      <formula>LEN(TRIM(C19))=0</formula>
    </cfRule>
  </conditionalFormatting>
  <conditionalFormatting sqref="C19">
    <cfRule type="containsBlanks" dxfId="189" priority="8">
      <formula>LEN(TRIM(C19))=0</formula>
    </cfRule>
  </conditionalFormatting>
  <conditionalFormatting sqref="C21">
    <cfRule type="containsBlanks" dxfId="188" priority="9">
      <formula>LEN(TRIM(C21))=0</formula>
    </cfRule>
  </conditionalFormatting>
  <conditionalFormatting sqref="C21">
    <cfRule type="containsBlanks" dxfId="187" priority="10">
      <formula>LEN(TRIM(C21))=0</formula>
    </cfRule>
  </conditionalFormatting>
  <conditionalFormatting sqref="C22">
    <cfRule type="containsBlanks" dxfId="186" priority="11">
      <formula>LEN(TRIM(C22))=0</formula>
    </cfRule>
  </conditionalFormatting>
  <conditionalFormatting sqref="C22">
    <cfRule type="containsBlanks" dxfId="185" priority="12">
      <formula>LEN(TRIM(C22))=0</formula>
    </cfRule>
  </conditionalFormatting>
  <conditionalFormatting sqref="C23">
    <cfRule type="containsBlanks" dxfId="184" priority="13">
      <formula>LEN(TRIM(C23))=0</formula>
    </cfRule>
  </conditionalFormatting>
  <conditionalFormatting sqref="C23">
    <cfRule type="containsBlanks" dxfId="183" priority="14">
      <formula>LEN(TRIM(C23))=0</formula>
    </cfRule>
  </conditionalFormatting>
  <conditionalFormatting sqref="C16">
    <cfRule type="containsBlanks" dxfId="182" priority="15">
      <formula>LEN(TRIM(C16))=0</formula>
    </cfRule>
  </conditionalFormatting>
  <conditionalFormatting sqref="C16">
    <cfRule type="containsBlanks" dxfId="181" priority="16">
      <formula>LEN(TRIM(C16))=0</formula>
    </cfRule>
  </conditionalFormatting>
  <conditionalFormatting sqref="G28">
    <cfRule type="cellIs" dxfId="180" priority="17" operator="equal">
      <formula>"FALSE"</formula>
    </cfRule>
  </conditionalFormatting>
  <conditionalFormatting sqref="G28">
    <cfRule type="cellIs" dxfId="179" priority="18" operator="equal">
      <formula>"FALSE"</formula>
    </cfRule>
  </conditionalFormatting>
  <conditionalFormatting sqref="G29">
    <cfRule type="cellIs" dxfId="178" priority="19" operator="equal">
      <formula>"FALSE"</formula>
    </cfRule>
  </conditionalFormatting>
  <conditionalFormatting sqref="C39:H39">
    <cfRule type="cellIs" dxfId="177" priority="20" operator="equal">
      <formula>0</formula>
    </cfRule>
  </conditionalFormatting>
  <conditionalFormatting sqref="C43">
    <cfRule type="cellIs" dxfId="176" priority="21" operator="equal">
      <formula>0</formula>
    </cfRule>
  </conditionalFormatting>
  <conditionalFormatting sqref="C44:E44">
    <cfRule type="cellIs" dxfId="175" priority="22" operator="equal">
      <formula>0</formula>
    </cfRule>
  </conditionalFormatting>
  <conditionalFormatting sqref="C41">
    <cfRule type="cellIs" dxfId="174" priority="23" operator="equal">
      <formula>0</formula>
    </cfRule>
  </conditionalFormatting>
  <conditionalFormatting sqref="D41:E41">
    <cfRule type="cellIs" dxfId="173" priority="24" operator="equal">
      <formula>0</formula>
    </cfRule>
  </conditionalFormatting>
  <conditionalFormatting sqref="E41">
    <cfRule type="cellIs" dxfId="172" priority="25" operator="equal">
      <formula>0</formula>
    </cfRule>
  </conditionalFormatting>
  <conditionalFormatting sqref="F41">
    <cfRule type="cellIs" dxfId="171" priority="26" operator="equal">
      <formula>0</formula>
    </cfRule>
  </conditionalFormatting>
  <conditionalFormatting sqref="G41">
    <cfRule type="cellIs" dxfId="170" priority="27" operator="equal">
      <formula>0</formula>
    </cfRule>
  </conditionalFormatting>
  <conditionalFormatting sqref="H41">
    <cfRule type="cellIs" dxfId="169" priority="28" operator="equal">
      <formula>0</formula>
    </cfRule>
  </conditionalFormatting>
  <conditionalFormatting sqref="I41:N41">
    <cfRule type="cellIs" dxfId="168" priority="29" operator="equal">
      <formula>0</formula>
    </cfRule>
  </conditionalFormatting>
  <printOptions horizontalCentered="1" verticalCentered="1"/>
  <pageMargins left="0.23622047244094491" right="0.11811023622047245" top="0.11811023622047245" bottom="0.11811023622047245" header="0" footer="0"/>
  <pageSetup paperSize="9" scale="6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E O CONTRATANTE">
          <x14:formula1>
            <xm:f>CAMPUS.CONTRATANTE!$D$10:$D$21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9"/>
  <sheetViews>
    <sheetView workbookViewId="0">
      <selection activeCell="C14" sqref="C14:E14"/>
    </sheetView>
  </sheetViews>
  <sheetFormatPr defaultColWidth="14.42578125" defaultRowHeight="15" customHeight="1"/>
  <cols>
    <col min="1" max="1" width="1.7109375" customWidth="1"/>
    <col min="2" max="2" width="10.140625" customWidth="1"/>
    <col min="3" max="3" width="45.42578125" customWidth="1"/>
    <col min="4" max="4" width="19.140625" customWidth="1"/>
    <col min="5" max="8" width="22.28515625" customWidth="1"/>
    <col min="9" max="9" width="21.7109375" customWidth="1"/>
    <col min="10" max="10" width="15.28515625" customWidth="1"/>
    <col min="11" max="11" width="22.42578125" customWidth="1"/>
    <col min="12" max="12" width="21.7109375" customWidth="1"/>
    <col min="13" max="13" width="25.7109375" customWidth="1"/>
    <col min="14" max="14" width="17.42578125" customWidth="1"/>
  </cols>
  <sheetData>
    <row r="1" spans="1:14">
      <c r="A1" s="446" t="s">
        <v>303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</row>
    <row r="2" spans="1:14" ht="40.5" customHeight="1">
      <c r="A2" s="446" t="s">
        <v>303</v>
      </c>
      <c r="B2" s="924" t="s">
        <v>304</v>
      </c>
      <c r="C2" s="846"/>
      <c r="D2" s="846"/>
      <c r="E2" s="846"/>
      <c r="F2" s="846"/>
      <c r="G2" s="846"/>
      <c r="H2" s="846"/>
      <c r="I2" s="846"/>
      <c r="J2" s="846"/>
      <c r="K2" s="846"/>
      <c r="L2" s="901"/>
      <c r="M2" s="447"/>
      <c r="N2" s="447"/>
    </row>
    <row r="3" spans="1:14" ht="34.5" customHeight="1">
      <c r="A3" s="446" t="s">
        <v>303</v>
      </c>
      <c r="B3" s="448"/>
      <c r="C3" s="449" t="s">
        <v>305</v>
      </c>
      <c r="D3" s="1"/>
      <c r="E3" s="1"/>
      <c r="F3" s="1"/>
      <c r="G3" s="1"/>
      <c r="H3" s="1"/>
      <c r="I3" s="1"/>
      <c r="J3" s="1"/>
      <c r="K3" s="1"/>
      <c r="L3" s="1"/>
      <c r="M3" s="447"/>
      <c r="N3" s="447"/>
    </row>
    <row r="4" spans="1:14" ht="24.75" customHeight="1">
      <c r="A4" s="446" t="s">
        <v>303</v>
      </c>
      <c r="B4" s="925" t="s">
        <v>306</v>
      </c>
      <c r="C4" s="882"/>
      <c r="D4" s="926" t="str">
        <f>'1-ABA-DE-CARREGAMENTO'!C14</f>
        <v>JAGUARI</v>
      </c>
      <c r="E4" s="882"/>
      <c r="F4" s="882"/>
      <c r="G4" s="882"/>
      <c r="H4" s="882"/>
      <c r="I4" s="882"/>
      <c r="J4" s="882"/>
      <c r="K4" s="882"/>
      <c r="L4" s="882"/>
      <c r="M4" s="447"/>
      <c r="N4" s="447"/>
    </row>
    <row r="5" spans="1:14" ht="16.5" customHeight="1">
      <c r="A5" s="446" t="s">
        <v>303</v>
      </c>
      <c r="C5" s="1"/>
      <c r="D5" s="450"/>
      <c r="E5" s="450"/>
      <c r="F5" s="450"/>
      <c r="G5" s="450"/>
      <c r="H5" s="450"/>
      <c r="I5" s="450"/>
      <c r="J5" s="450"/>
      <c r="K5" s="450"/>
      <c r="L5" s="450"/>
      <c r="M5" s="447"/>
      <c r="N5" s="447"/>
    </row>
    <row r="6" spans="1:14" ht="20.25" customHeight="1">
      <c r="A6" s="446" t="s">
        <v>303</v>
      </c>
      <c r="B6" s="916" t="s">
        <v>245</v>
      </c>
      <c r="C6" s="917"/>
      <c r="D6" s="927">
        <f>'1-ABA-DE-CARREGAMENTO'!C17</f>
        <v>0</v>
      </c>
      <c r="E6" s="882"/>
      <c r="F6" s="882"/>
      <c r="G6" s="882"/>
      <c r="H6" s="451"/>
      <c r="I6" s="452" t="s">
        <v>307</v>
      </c>
      <c r="J6" s="927">
        <f>'1-ABA-DE-CARREGAMENTO'!C18</f>
        <v>0</v>
      </c>
      <c r="K6" s="882"/>
      <c r="L6" s="882"/>
      <c r="M6" s="447"/>
      <c r="N6" s="447"/>
    </row>
    <row r="7" spans="1:14" ht="20.25" customHeight="1">
      <c r="A7" s="446" t="s">
        <v>303</v>
      </c>
      <c r="B7" s="916" t="s">
        <v>308</v>
      </c>
      <c r="C7" s="882"/>
      <c r="D7" s="915">
        <f>'1-ABA-DE-CARREGAMENTO'!C15</f>
        <v>0</v>
      </c>
      <c r="E7" s="882"/>
      <c r="F7" s="882"/>
      <c r="G7" s="882"/>
      <c r="H7" s="882"/>
      <c r="I7" s="882"/>
      <c r="J7" s="882"/>
      <c r="K7" s="882"/>
      <c r="L7" s="882"/>
      <c r="M7" s="447"/>
      <c r="N7" s="447"/>
    </row>
    <row r="8" spans="1:14" ht="20.25" customHeight="1">
      <c r="A8" s="446" t="s">
        <v>303</v>
      </c>
      <c r="B8" s="916" t="s">
        <v>309</v>
      </c>
      <c r="C8" s="882"/>
      <c r="D8" s="915">
        <f>'1-ABA-DE-CARREGAMENTO'!C19</f>
        <v>0</v>
      </c>
      <c r="E8" s="882"/>
      <c r="F8" s="882"/>
      <c r="G8" s="882"/>
      <c r="H8" s="453"/>
      <c r="I8" s="922"/>
      <c r="J8" s="882"/>
      <c r="K8" s="882"/>
      <c r="L8" s="882"/>
      <c r="M8" s="447"/>
      <c r="N8" s="447"/>
    </row>
    <row r="9" spans="1:14" ht="20.25" customHeight="1">
      <c r="A9" s="446" t="s">
        <v>303</v>
      </c>
      <c r="B9" s="916" t="s">
        <v>310</v>
      </c>
      <c r="C9" s="917"/>
      <c r="D9" s="915">
        <f>'1-ABA-DE-CARREGAMENTO'!C21</f>
        <v>0</v>
      </c>
      <c r="E9" s="882"/>
      <c r="F9" s="882"/>
      <c r="G9" s="882"/>
      <c r="H9" s="451"/>
      <c r="I9" s="452" t="s">
        <v>311</v>
      </c>
      <c r="J9" s="923">
        <f>'1-ABA-DE-CARREGAMENTO'!C22</f>
        <v>0</v>
      </c>
      <c r="K9" s="884"/>
      <c r="L9" s="885"/>
      <c r="M9" s="447"/>
      <c r="N9" s="447"/>
    </row>
    <row r="10" spans="1:14">
      <c r="A10" s="446" t="s">
        <v>303</v>
      </c>
      <c r="B10" s="916" t="s">
        <v>312</v>
      </c>
      <c r="C10" s="917"/>
      <c r="D10" s="918">
        <f>'1-ABA-DE-CARREGAMENTO'!C16</f>
        <v>0</v>
      </c>
      <c r="E10" s="882"/>
      <c r="F10" s="882"/>
      <c r="G10" s="882"/>
      <c r="H10" s="447"/>
      <c r="I10" s="447"/>
      <c r="J10" s="447"/>
      <c r="K10" s="447"/>
      <c r="L10" s="447"/>
      <c r="M10" s="447"/>
      <c r="N10" s="447"/>
    </row>
    <row r="11" spans="1:14" ht="21.75" customHeight="1">
      <c r="A11" s="446" t="s">
        <v>303</v>
      </c>
      <c r="C11" s="447"/>
      <c r="D11" s="447"/>
      <c r="E11" s="447"/>
      <c r="F11" s="447"/>
      <c r="G11" s="447"/>
      <c r="H11" s="447"/>
      <c r="I11" s="447"/>
      <c r="J11" s="447"/>
      <c r="K11" s="447"/>
      <c r="L11" s="447"/>
      <c r="M11" s="447"/>
      <c r="N11" s="447"/>
    </row>
    <row r="12" spans="1:14" ht="21.75" customHeight="1">
      <c r="A12" s="446" t="s">
        <v>303</v>
      </c>
      <c r="C12" s="919" t="str">
        <f>'1-ABA-DE-CARREGAMENTO'!C11</f>
        <v xml:space="preserve"> S E R V I Ç O S     -    A G R O P E C U A R I O S </v>
      </c>
      <c r="D12" s="884"/>
      <c r="E12" s="884"/>
      <c r="F12" s="884"/>
      <c r="G12" s="884"/>
      <c r="H12" s="884"/>
      <c r="I12" s="884"/>
      <c r="J12" s="884"/>
      <c r="K12" s="884"/>
      <c r="L12" s="885"/>
      <c r="M12" s="447"/>
      <c r="N12" s="447"/>
    </row>
    <row r="13" spans="1:14" ht="72" customHeight="1">
      <c r="A13" s="446" t="s">
        <v>303</v>
      </c>
      <c r="B13" s="454"/>
      <c r="C13" s="455" t="s">
        <v>313</v>
      </c>
      <c r="D13" s="456" t="s">
        <v>314</v>
      </c>
      <c r="E13" s="456" t="s">
        <v>315</v>
      </c>
      <c r="F13" s="456" t="s">
        <v>316</v>
      </c>
      <c r="G13" s="456" t="s">
        <v>317</v>
      </c>
      <c r="H13" s="457" t="s">
        <v>318</v>
      </c>
      <c r="I13" s="458" t="s">
        <v>319</v>
      </c>
      <c r="J13" s="459" t="s">
        <v>320</v>
      </c>
      <c r="K13" s="460" t="s">
        <v>321</v>
      </c>
      <c r="L13" s="456" t="s">
        <v>322</v>
      </c>
      <c r="M13" s="456" t="s">
        <v>323</v>
      </c>
      <c r="N13" s="447"/>
    </row>
    <row r="14" spans="1:14" ht="33" customHeight="1">
      <c r="A14" s="446" t="s">
        <v>303</v>
      </c>
      <c r="B14" s="920" t="s">
        <v>324</v>
      </c>
      <c r="C14" s="461" t="str">
        <f>'1-ABA-DE-CARREGAMENTO'!C33</f>
        <v>6210-05_CAPATAZ-Encarreg</v>
      </c>
      <c r="D14" s="462">
        <f>'1-ABA-DE-CARREGAMENTO'!C52</f>
        <v>220</v>
      </c>
      <c r="E14" s="463">
        <f>'1-ABA-DE-CARREGAMENTO'!C92</f>
        <v>1</v>
      </c>
      <c r="F14" s="463">
        <f>'1-ABA-DE-CARREGAMENTO'!C93</f>
        <v>1</v>
      </c>
      <c r="G14" s="464">
        <f>'6210-05_CAPATAZ-Encarreg'!J195/F14</f>
        <v>7432.37</v>
      </c>
      <c r="H14" s="465">
        <f t="shared" ref="H14:H25" si="0">G14*F14</f>
        <v>7432.37</v>
      </c>
      <c r="I14" s="466">
        <f t="shared" ref="I14:I25" si="1">H14*E14</f>
        <v>7432.37</v>
      </c>
      <c r="J14" s="463">
        <f>'1-ABA-DE-CARREGAMENTO'!C94</f>
        <v>20</v>
      </c>
      <c r="K14" s="467">
        <f t="shared" ref="K14:K25" si="2">J14*E14</f>
        <v>20</v>
      </c>
      <c r="L14" s="464">
        <f t="shared" ref="L14:L25" si="3">I14*12</f>
        <v>89188.44</v>
      </c>
      <c r="M14" s="468">
        <f t="shared" ref="M14:M25" si="4">I14*J14</f>
        <v>148647.4</v>
      </c>
      <c r="N14" s="469"/>
    </row>
    <row r="15" spans="1:14" ht="33" customHeight="1">
      <c r="A15" s="446" t="s">
        <v>303</v>
      </c>
      <c r="B15" s="892"/>
      <c r="C15" s="461" t="str">
        <f>'1-ABA-DE-CARREGAMENTO'!D33</f>
        <v>6210-05_PEAO-Trabalh.Agropec</v>
      </c>
      <c r="D15" s="470">
        <f>'1-ABA-DE-CARREGAMENTO'!D52</f>
        <v>220</v>
      </c>
      <c r="E15" s="463">
        <f>'1-ABA-DE-CARREGAMENTO'!D92</f>
        <v>4</v>
      </c>
      <c r="F15" s="463">
        <f>'1-ABA-DE-CARREGAMENTO'!D93</f>
        <v>1</v>
      </c>
      <c r="G15" s="471">
        <f>'6210-05_PEAO-Trabalh.Agropec'!J195/F15</f>
        <v>5896.74</v>
      </c>
      <c r="H15" s="465">
        <f t="shared" si="0"/>
        <v>5896.74</v>
      </c>
      <c r="I15" s="466">
        <f t="shared" si="1"/>
        <v>23586.959999999999</v>
      </c>
      <c r="J15" s="463">
        <f>'1-ABA-DE-CARREGAMENTO'!D94</f>
        <v>20</v>
      </c>
      <c r="K15" s="467">
        <f t="shared" si="2"/>
        <v>80</v>
      </c>
      <c r="L15" s="464">
        <f t="shared" si="3"/>
        <v>283043.52</v>
      </c>
      <c r="M15" s="468">
        <f t="shared" si="4"/>
        <v>471739.19999999995</v>
      </c>
      <c r="N15" s="469"/>
    </row>
    <row r="16" spans="1:14" ht="33" customHeight="1">
      <c r="A16" s="446" t="s">
        <v>303</v>
      </c>
      <c r="B16" s="892"/>
      <c r="C16" s="472" t="str">
        <f>'1-ABA-DE-CARREGAMENTO'!E33</f>
        <v>6410-15_TRATORISTA-em-Geral</v>
      </c>
      <c r="D16" s="470">
        <f>'1-ABA-DE-CARREGAMENTO'!E52</f>
        <v>220</v>
      </c>
      <c r="E16" s="463">
        <f>'1-ABA-DE-CARREGAMENTO'!E92</f>
        <v>1</v>
      </c>
      <c r="F16" s="473">
        <f>'1-ABA-DE-CARREGAMENTO'!E93</f>
        <v>1</v>
      </c>
      <c r="G16" s="471">
        <f>'6410-15_TRATORISTA-em-Geral'!J195/F16</f>
        <v>6664.5999999999995</v>
      </c>
      <c r="H16" s="465">
        <f t="shared" si="0"/>
        <v>6664.5999999999995</v>
      </c>
      <c r="I16" s="466">
        <f t="shared" si="1"/>
        <v>6664.5999999999995</v>
      </c>
      <c r="J16" s="463">
        <f>'1-ABA-DE-CARREGAMENTO'!E94</f>
        <v>20</v>
      </c>
      <c r="K16" s="467">
        <f t="shared" si="2"/>
        <v>20</v>
      </c>
      <c r="L16" s="464">
        <f t="shared" si="3"/>
        <v>79975.199999999997</v>
      </c>
      <c r="M16" s="468">
        <f t="shared" si="4"/>
        <v>133292</v>
      </c>
      <c r="N16" s="469"/>
    </row>
    <row r="17" spans="1:14" ht="33" hidden="1" customHeight="1">
      <c r="A17" s="446"/>
      <c r="B17" s="892"/>
      <c r="C17" s="472" t="str">
        <f>'1-ABA-DE-CARREGAMENTO'!F33</f>
        <v>A NÃO TEM MAIS POSTOS-11</v>
      </c>
      <c r="D17" s="470">
        <f>'1-ABA-DE-CARREGAMENTO'!F52</f>
        <v>220</v>
      </c>
      <c r="E17" s="463">
        <f>'1-ABA-DE-CARREGAMENTO'!F92</f>
        <v>0</v>
      </c>
      <c r="F17" s="473">
        <f>'1-ABA-DE-CARREGAMENTO'!F93</f>
        <v>2</v>
      </c>
      <c r="G17" s="471" t="e">
        <f>'6410-15_TRATORISTA-em-GeID'!J195/F17</f>
        <v>#REF!</v>
      </c>
      <c r="H17" s="465" t="e">
        <f t="shared" si="0"/>
        <v>#REF!</v>
      </c>
      <c r="I17" s="466" t="e">
        <f t="shared" si="1"/>
        <v>#REF!</v>
      </c>
      <c r="J17" s="463">
        <f>'1-ABA-DE-CARREGAMENTO'!F94</f>
        <v>20</v>
      </c>
      <c r="K17" s="467">
        <f t="shared" si="2"/>
        <v>0</v>
      </c>
      <c r="L17" s="464" t="e">
        <f t="shared" si="3"/>
        <v>#REF!</v>
      </c>
      <c r="M17" s="468" t="e">
        <f t="shared" si="4"/>
        <v>#REF!</v>
      </c>
      <c r="N17" s="469"/>
    </row>
    <row r="18" spans="1:14" ht="33" hidden="1" customHeight="1">
      <c r="A18" s="446"/>
      <c r="B18" s="892"/>
      <c r="C18" s="472" t="str">
        <f>'1-ABA-DE-CARREGAMENTO'!G33</f>
        <v>A NÃO TEM MAIS POSTOS-22</v>
      </c>
      <c r="D18" s="470">
        <f>'1-ABA-DE-CARREGAMENTO'!G52</f>
        <v>220</v>
      </c>
      <c r="E18" s="463">
        <f>'1-ABA-DE-CARREGAMENTO'!G92</f>
        <v>0</v>
      </c>
      <c r="F18" s="473">
        <f>'1-ABA-DE-CARREGAMENTO'!G93</f>
        <v>2</v>
      </c>
      <c r="G18" s="471" t="e">
        <f>'INT.LIBRA_CBO.2614-25_40.hs'!J195/F18</f>
        <v>#REF!</v>
      </c>
      <c r="H18" s="465" t="e">
        <f t="shared" si="0"/>
        <v>#REF!</v>
      </c>
      <c r="I18" s="466" t="e">
        <f t="shared" si="1"/>
        <v>#REF!</v>
      </c>
      <c r="J18" s="463">
        <f>'1-ABA-DE-CARREGAMENTO'!G94</f>
        <v>20</v>
      </c>
      <c r="K18" s="467">
        <f t="shared" si="2"/>
        <v>0</v>
      </c>
      <c r="L18" s="464" t="e">
        <f t="shared" si="3"/>
        <v>#REF!</v>
      </c>
      <c r="M18" s="468" t="e">
        <f t="shared" si="4"/>
        <v>#REF!</v>
      </c>
      <c r="N18" s="469"/>
    </row>
    <row r="19" spans="1:14" ht="33" hidden="1" customHeight="1">
      <c r="A19" s="446"/>
      <c r="B19" s="892"/>
      <c r="C19" s="472" t="str">
        <f>'1-ABA-DE-CARREGAMENTO'!H33</f>
        <v>A NÃO TEM MAIS POSTOS-33</v>
      </c>
      <c r="D19" s="470">
        <f>'1-ABA-DE-CARREGAMENTO'!H52</f>
        <v>220</v>
      </c>
      <c r="E19" s="463">
        <f>'1-ABA-DE-CARREGAMENTO'!H92</f>
        <v>0</v>
      </c>
      <c r="F19" s="473">
        <f>'1-ABA-DE-CARREGAMENTO'!H93</f>
        <v>1</v>
      </c>
      <c r="G19" s="471" t="e">
        <f>'MONITOR_CBO.3341-10_20hs'!J195/F19</f>
        <v>#REF!</v>
      </c>
      <c r="H19" s="465" t="e">
        <f t="shared" si="0"/>
        <v>#REF!</v>
      </c>
      <c r="I19" s="466" t="e">
        <f t="shared" si="1"/>
        <v>#REF!</v>
      </c>
      <c r="J19" s="463">
        <f>'1-ABA-DE-CARREGAMENTO'!H94</f>
        <v>20</v>
      </c>
      <c r="K19" s="467">
        <f t="shared" si="2"/>
        <v>0</v>
      </c>
      <c r="L19" s="464" t="e">
        <f t="shared" si="3"/>
        <v>#REF!</v>
      </c>
      <c r="M19" s="468" t="e">
        <f t="shared" si="4"/>
        <v>#REF!</v>
      </c>
      <c r="N19" s="469"/>
    </row>
    <row r="20" spans="1:14" ht="33" hidden="1" customHeight="1">
      <c r="A20" s="446" t="s">
        <v>303</v>
      </c>
      <c r="B20" s="892"/>
      <c r="C20" s="472" t="str">
        <f>'1-ABA-DE-CARREGAMENTO'!I33</f>
        <v>A NÃO TEM MAIS POSTOS-44</v>
      </c>
      <c r="D20" s="470">
        <f>'1-ABA-DE-CARREGAMENTO'!I52</f>
        <v>220</v>
      </c>
      <c r="E20" s="463">
        <f>'1-ABA-DE-CARREGAMENTO'!I92</f>
        <v>0</v>
      </c>
      <c r="F20" s="473">
        <f>'1-ABA-DE-CARREGAMENTO'!I93</f>
        <v>1</v>
      </c>
      <c r="G20" s="471" t="e">
        <f>'MONITOR_CBO.3341-10_40hs'!J195/F20</f>
        <v>#REF!</v>
      </c>
      <c r="H20" s="465" t="e">
        <f t="shared" si="0"/>
        <v>#REF!</v>
      </c>
      <c r="I20" s="466" t="e">
        <f t="shared" si="1"/>
        <v>#REF!</v>
      </c>
      <c r="J20" s="463">
        <f>'1-ABA-DE-CARREGAMENTO'!I94</f>
        <v>20</v>
      </c>
      <c r="K20" s="467">
        <f t="shared" si="2"/>
        <v>0</v>
      </c>
      <c r="L20" s="464" t="e">
        <f t="shared" si="3"/>
        <v>#REF!</v>
      </c>
      <c r="M20" s="468" t="e">
        <f t="shared" si="4"/>
        <v>#REF!</v>
      </c>
      <c r="N20" s="469"/>
    </row>
    <row r="21" spans="1:14" ht="33" hidden="1" customHeight="1">
      <c r="A21" s="446" t="s">
        <v>303</v>
      </c>
      <c r="B21" s="892"/>
      <c r="C21" s="472" t="str">
        <f>'1-ABA-DE-CARREGAMENTO'!J33</f>
        <v>A NÃO TEM MAIS POSTOS-55</v>
      </c>
      <c r="D21" s="470">
        <f>'1-ABA-DE-CARREGAMENTO'!J52</f>
        <v>220</v>
      </c>
      <c r="E21" s="463">
        <f>'1-ABA-DE-CARREGAMENTO'!J92</f>
        <v>0</v>
      </c>
      <c r="F21" s="473">
        <f>'1-ABA-DE-CARREGAMENTO'!J93</f>
        <v>1</v>
      </c>
      <c r="G21" s="471" t="e">
        <f>'PSICOPED_CBO.2394-25_20hs'!J195/F21</f>
        <v>#REF!</v>
      </c>
      <c r="H21" s="465" t="e">
        <f t="shared" si="0"/>
        <v>#REF!</v>
      </c>
      <c r="I21" s="466" t="e">
        <f t="shared" si="1"/>
        <v>#REF!</v>
      </c>
      <c r="J21" s="463">
        <f>'1-ABA-DE-CARREGAMENTO'!J94</f>
        <v>20</v>
      </c>
      <c r="K21" s="467">
        <f t="shared" si="2"/>
        <v>0</v>
      </c>
      <c r="L21" s="464" t="e">
        <f t="shared" si="3"/>
        <v>#REF!</v>
      </c>
      <c r="M21" s="468" t="e">
        <f t="shared" si="4"/>
        <v>#REF!</v>
      </c>
    </row>
    <row r="22" spans="1:14" ht="33" hidden="1" customHeight="1">
      <c r="A22" s="446"/>
      <c r="B22" s="892"/>
      <c r="C22" s="472" t="str">
        <f>'1-ABA-DE-CARREGAMENTO'!K33</f>
        <v>A NÃO TEM MAIS POSTOS-66</v>
      </c>
      <c r="D22" s="470">
        <f>'1-ABA-DE-CARREGAMENTO'!K52</f>
        <v>220</v>
      </c>
      <c r="E22" s="463">
        <f>'1-ABA-DE-CARREGAMENTO'!K92</f>
        <v>0</v>
      </c>
      <c r="F22" s="473">
        <f>'1-ABA-DE-CARREGAMENTO'!K93</f>
        <v>1</v>
      </c>
      <c r="G22" s="471" t="e">
        <f>'PSICOPED_CBO.2394-25_40hs'!J195/F22</f>
        <v>#REF!</v>
      </c>
      <c r="H22" s="465" t="e">
        <f t="shared" si="0"/>
        <v>#REF!</v>
      </c>
      <c r="I22" s="466" t="e">
        <f t="shared" si="1"/>
        <v>#REF!</v>
      </c>
      <c r="J22" s="463">
        <f>'1-ABA-DE-CARREGAMENTO'!K94</f>
        <v>20</v>
      </c>
      <c r="K22" s="467">
        <f t="shared" si="2"/>
        <v>0</v>
      </c>
      <c r="L22" s="464" t="e">
        <f t="shared" si="3"/>
        <v>#REF!</v>
      </c>
      <c r="M22" s="468" t="e">
        <f t="shared" si="4"/>
        <v>#REF!</v>
      </c>
      <c r="N22" s="469"/>
    </row>
    <row r="23" spans="1:14" ht="33" hidden="1" customHeight="1">
      <c r="A23" s="446"/>
      <c r="B23" s="892"/>
      <c r="C23" s="472" t="str">
        <f>'1-ABA-DE-CARREGAMENTO'!L33</f>
        <v>A NÃO TEM MAIS POSTOS-77</v>
      </c>
      <c r="D23" s="470">
        <f>'1-ABA-DE-CARREGAMENTO'!L52</f>
        <v>220</v>
      </c>
      <c r="E23" s="463">
        <f>'1-ABA-DE-CARREGAMENTO'!L92</f>
        <v>0</v>
      </c>
      <c r="F23" s="473">
        <f>'1-ABA-DE-CARREGAMENTO'!L93</f>
        <v>1</v>
      </c>
      <c r="G23" s="471" t="e">
        <f>'AUX.S.BUC_CBO.3224-15_20hs'!J195/F23</f>
        <v>#REF!</v>
      </c>
      <c r="H23" s="465" t="e">
        <f t="shared" si="0"/>
        <v>#REF!</v>
      </c>
      <c r="I23" s="466" t="e">
        <f t="shared" si="1"/>
        <v>#REF!</v>
      </c>
      <c r="J23" s="463">
        <f>'1-ABA-DE-CARREGAMENTO'!L94</f>
        <v>20</v>
      </c>
      <c r="K23" s="467">
        <f t="shared" si="2"/>
        <v>0</v>
      </c>
      <c r="L23" s="464" t="e">
        <f t="shared" si="3"/>
        <v>#REF!</v>
      </c>
      <c r="M23" s="468" t="e">
        <f t="shared" si="4"/>
        <v>#REF!</v>
      </c>
      <c r="N23" s="469"/>
    </row>
    <row r="24" spans="1:14" ht="33" hidden="1" customHeight="1">
      <c r="A24" s="446" t="s">
        <v>303</v>
      </c>
      <c r="B24" s="892"/>
      <c r="C24" s="472" t="str">
        <f>'1-ABA-DE-CARREGAMENTO'!M33</f>
        <v>A NÃO TEM MAIS POSTOS-88</v>
      </c>
      <c r="D24" s="470">
        <f>'1-ABA-DE-CARREGAMENTO'!M52</f>
        <v>220</v>
      </c>
      <c r="E24" s="463">
        <f>'1-ABA-DE-CARREGAMENTO'!M92</f>
        <v>0</v>
      </c>
      <c r="F24" s="473">
        <f>'1-ABA-DE-CARREGAMENTO'!M93</f>
        <v>1</v>
      </c>
      <c r="G24" s="471" t="e">
        <f>'A NÃO TEM MAIS POSTOS-88'!J195/F24</f>
        <v>#REF!</v>
      </c>
      <c r="H24" s="465" t="e">
        <f t="shared" si="0"/>
        <v>#REF!</v>
      </c>
      <c r="I24" s="466" t="e">
        <f t="shared" si="1"/>
        <v>#REF!</v>
      </c>
      <c r="J24" s="463">
        <f>'1-ABA-DE-CARREGAMENTO'!M94</f>
        <v>20</v>
      </c>
      <c r="K24" s="467">
        <f t="shared" si="2"/>
        <v>0</v>
      </c>
      <c r="L24" s="464" t="e">
        <f t="shared" si="3"/>
        <v>#REF!</v>
      </c>
      <c r="M24" s="468" t="e">
        <f t="shared" si="4"/>
        <v>#REF!</v>
      </c>
      <c r="N24" s="469"/>
    </row>
    <row r="25" spans="1:14" ht="33" hidden="1" customHeight="1">
      <c r="A25" s="446" t="s">
        <v>303</v>
      </c>
      <c r="B25" s="892"/>
      <c r="C25" s="472" t="str">
        <f>'1-ABA-DE-CARREGAMENTO'!N33</f>
        <v>A NÃO TEM MAIS POSTOS-99</v>
      </c>
      <c r="D25" s="470">
        <f>'1-ABA-DE-CARREGAMENTO'!N52</f>
        <v>220</v>
      </c>
      <c r="E25" s="463">
        <f>'1-ABA-DE-CARREGAMENTO'!N92</f>
        <v>0</v>
      </c>
      <c r="F25" s="473">
        <f>'1-ABA-DE-CARREGAMENTO'!N93</f>
        <v>1</v>
      </c>
      <c r="G25" s="471" t="e">
        <f>'A NÃO TEM MAIS POSTOS-99'!J195/F25</f>
        <v>#REF!</v>
      </c>
      <c r="H25" s="465" t="e">
        <f t="shared" si="0"/>
        <v>#REF!</v>
      </c>
      <c r="I25" s="466" t="e">
        <f t="shared" si="1"/>
        <v>#REF!</v>
      </c>
      <c r="J25" s="463">
        <f>'1-ABA-DE-CARREGAMENTO'!N94</f>
        <v>20</v>
      </c>
      <c r="K25" s="467">
        <f t="shared" si="2"/>
        <v>0</v>
      </c>
      <c r="L25" s="464" t="e">
        <f t="shared" si="3"/>
        <v>#REF!</v>
      </c>
      <c r="M25" s="468" t="e">
        <f t="shared" si="4"/>
        <v>#REF!</v>
      </c>
      <c r="N25" s="469"/>
    </row>
    <row r="26" spans="1:14" ht="34.5" customHeight="1">
      <c r="A26" s="446" t="s">
        <v>303</v>
      </c>
      <c r="B26" s="921"/>
      <c r="C26" s="474" t="s">
        <v>325</v>
      </c>
      <c r="D26" s="474"/>
      <c r="E26" s="475">
        <f>SUM(E14:E25)</f>
        <v>6</v>
      </c>
      <c r="F26" s="476"/>
      <c r="G26" s="477"/>
      <c r="H26" s="477"/>
      <c r="I26" s="478">
        <f>SUM(I14:I16)</f>
        <v>37683.93</v>
      </c>
      <c r="J26" s="479"/>
      <c r="K26" s="479"/>
      <c r="L26" s="480">
        <f t="shared" ref="L26:M26" si="5">SUM(L14:L16)</f>
        <v>452207.16000000003</v>
      </c>
      <c r="M26" s="481">
        <f t="shared" si="5"/>
        <v>753678.6</v>
      </c>
      <c r="N26" s="482"/>
    </row>
    <row r="27" spans="1:14" ht="27.75" customHeight="1">
      <c r="A27" s="446" t="s">
        <v>303</v>
      </c>
      <c r="B27" s="483"/>
      <c r="C27" s="484"/>
      <c r="D27" s="484"/>
      <c r="E27" s="485"/>
      <c r="F27" s="485"/>
      <c r="G27" s="484"/>
      <c r="H27" s="484"/>
      <c r="I27" s="486"/>
      <c r="J27" s="486"/>
      <c r="K27" s="486"/>
      <c r="L27" s="486"/>
      <c r="M27" s="447"/>
      <c r="N27" s="447"/>
    </row>
    <row r="28" spans="1:14" ht="15.75" customHeight="1">
      <c r="A28" s="446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</row>
    <row r="29" spans="1:14" ht="15.75" customHeight="1">
      <c r="A29" s="446"/>
      <c r="C29" s="447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</row>
  </sheetData>
  <mergeCells count="18">
    <mergeCell ref="B2:L2"/>
    <mergeCell ref="B4:C4"/>
    <mergeCell ref="D4:L4"/>
    <mergeCell ref="B6:C6"/>
    <mergeCell ref="D6:G6"/>
    <mergeCell ref="J6:L6"/>
    <mergeCell ref="D7:L7"/>
    <mergeCell ref="B10:C10"/>
    <mergeCell ref="D10:G10"/>
    <mergeCell ref="C12:L12"/>
    <mergeCell ref="B14:B26"/>
    <mergeCell ref="B7:C7"/>
    <mergeCell ref="B8:C8"/>
    <mergeCell ref="D8:G8"/>
    <mergeCell ref="I8:L8"/>
    <mergeCell ref="B9:C9"/>
    <mergeCell ref="D9:G9"/>
    <mergeCell ref="J9:L9"/>
  </mergeCells>
  <conditionalFormatting sqref="K14">
    <cfRule type="cellIs" dxfId="167" priority="1" operator="greaterThan">
      <formula>0</formula>
    </cfRule>
  </conditionalFormatting>
  <conditionalFormatting sqref="K15">
    <cfRule type="cellIs" dxfId="166" priority="2" operator="greaterThan">
      <formula>0</formula>
    </cfRule>
  </conditionalFormatting>
  <conditionalFormatting sqref="K16">
    <cfRule type="cellIs" dxfId="165" priority="3" operator="greaterThan">
      <formula>0</formula>
    </cfRule>
  </conditionalFormatting>
  <conditionalFormatting sqref="K17">
    <cfRule type="cellIs" dxfId="164" priority="4" operator="greaterThan">
      <formula>0</formula>
    </cfRule>
  </conditionalFormatting>
  <conditionalFormatting sqref="K18:K25">
    <cfRule type="cellIs" dxfId="163" priority="5" operator="greaterThan">
      <formula>0</formula>
    </cfRule>
  </conditionalFormatting>
  <conditionalFormatting sqref="H14">
    <cfRule type="expression" dxfId="162" priority="6">
      <formula>$K$14&gt;0</formula>
    </cfRule>
  </conditionalFormatting>
  <conditionalFormatting sqref="H15">
    <cfRule type="expression" dxfId="161" priority="7">
      <formula>$K$15&gt;0</formula>
    </cfRule>
  </conditionalFormatting>
  <conditionalFormatting sqref="H16">
    <cfRule type="expression" dxfId="160" priority="8">
      <formula>$K$16&gt;0</formula>
    </cfRule>
  </conditionalFormatting>
  <conditionalFormatting sqref="H17">
    <cfRule type="expression" dxfId="159" priority="9">
      <formula>$K$17&gt;0</formula>
    </cfRule>
  </conditionalFormatting>
  <conditionalFormatting sqref="H18">
    <cfRule type="expression" dxfId="158" priority="10">
      <formula>$K$18&gt;0</formula>
    </cfRule>
  </conditionalFormatting>
  <conditionalFormatting sqref="H18">
    <cfRule type="expression" dxfId="157" priority="11">
      <formula>$K$17&gt;0</formula>
    </cfRule>
  </conditionalFormatting>
  <conditionalFormatting sqref="H19">
    <cfRule type="expression" dxfId="156" priority="12">
      <formula>$K$19&gt;0</formula>
    </cfRule>
  </conditionalFormatting>
  <conditionalFormatting sqref="H20">
    <cfRule type="expression" dxfId="155" priority="13">
      <formula>$K$20&gt;0</formula>
    </cfRule>
  </conditionalFormatting>
  <conditionalFormatting sqref="H21">
    <cfRule type="expression" dxfId="154" priority="14">
      <formula>$K$21&gt;0</formula>
    </cfRule>
  </conditionalFormatting>
  <conditionalFormatting sqref="H22">
    <cfRule type="expression" dxfId="153" priority="15">
      <formula>$K$22&gt;0</formula>
    </cfRule>
  </conditionalFormatting>
  <conditionalFormatting sqref="H23">
    <cfRule type="expression" dxfId="152" priority="16">
      <formula>$K$23&gt;0</formula>
    </cfRule>
  </conditionalFormatting>
  <conditionalFormatting sqref="H24">
    <cfRule type="expression" dxfId="151" priority="17">
      <formula>$K$24&gt;0</formula>
    </cfRule>
  </conditionalFormatting>
  <conditionalFormatting sqref="H25">
    <cfRule type="expression" dxfId="150" priority="18">
      <formula>$K$25&gt;0</formula>
    </cfRule>
  </conditionalFormatting>
  <conditionalFormatting sqref="M14">
    <cfRule type="expression" dxfId="149" priority="19">
      <formula>$K$14&gt;0</formula>
    </cfRule>
  </conditionalFormatting>
  <conditionalFormatting sqref="M15">
    <cfRule type="expression" dxfId="148" priority="20">
      <formula>$K$15&gt;0</formula>
    </cfRule>
  </conditionalFormatting>
  <conditionalFormatting sqref="M16">
    <cfRule type="expression" dxfId="147" priority="21">
      <formula>$K$16&gt;0</formula>
    </cfRule>
  </conditionalFormatting>
  <conditionalFormatting sqref="M17">
    <cfRule type="expression" dxfId="146" priority="22">
      <formula>$K$17&gt;0</formula>
    </cfRule>
  </conditionalFormatting>
  <conditionalFormatting sqref="M18">
    <cfRule type="expression" dxfId="145" priority="23">
      <formula>$K$18&gt;0</formula>
    </cfRule>
  </conditionalFormatting>
  <conditionalFormatting sqref="M19">
    <cfRule type="expression" dxfId="144" priority="24">
      <formula>$K$19&gt;0</formula>
    </cfRule>
  </conditionalFormatting>
  <conditionalFormatting sqref="M20">
    <cfRule type="expression" dxfId="143" priority="25">
      <formula>$K$20&gt;0</formula>
    </cfRule>
  </conditionalFormatting>
  <conditionalFormatting sqref="M21">
    <cfRule type="expression" dxfId="142" priority="26">
      <formula>$K$21&gt;0</formula>
    </cfRule>
  </conditionalFormatting>
  <conditionalFormatting sqref="M22">
    <cfRule type="expression" dxfId="141" priority="27">
      <formula>$K$22&gt;0</formula>
    </cfRule>
  </conditionalFormatting>
  <conditionalFormatting sqref="M23">
    <cfRule type="expression" dxfId="140" priority="28">
      <formula>$K$23&gt;0</formula>
    </cfRule>
  </conditionalFormatting>
  <conditionalFormatting sqref="M24">
    <cfRule type="expression" dxfId="139" priority="29">
      <formula>$K$24&gt;0</formula>
    </cfRule>
  </conditionalFormatting>
  <conditionalFormatting sqref="M25">
    <cfRule type="expression" dxfId="138" priority="30">
      <formula>$K$25&gt;0</formula>
    </cfRule>
  </conditionalFormatting>
  <conditionalFormatting sqref="E14">
    <cfRule type="cellIs" dxfId="137" priority="31" operator="greaterThan">
      <formula>0</formula>
    </cfRule>
  </conditionalFormatting>
  <conditionalFormatting sqref="E14">
    <cfRule type="cellIs" dxfId="136" priority="32" operator="greaterThan">
      <formula>0</formula>
    </cfRule>
  </conditionalFormatting>
  <conditionalFormatting sqref="E15:E16">
    <cfRule type="cellIs" dxfId="135" priority="33" operator="greaterThan">
      <formula>0</formula>
    </cfRule>
  </conditionalFormatting>
  <conditionalFormatting sqref="E15:E16">
    <cfRule type="cellIs" dxfId="134" priority="34" operator="greaterThan">
      <formula>0</formula>
    </cfRule>
  </conditionalFormatting>
  <conditionalFormatting sqref="E16:E25">
    <cfRule type="cellIs" dxfId="133" priority="35" operator="greaterThan">
      <formula>0</formula>
    </cfRule>
  </conditionalFormatting>
  <conditionalFormatting sqref="E16:E25">
    <cfRule type="cellIs" dxfId="132" priority="36" operator="greaterThan">
      <formula>0</formula>
    </cfRule>
  </conditionalFormatting>
  <conditionalFormatting sqref="C14">
    <cfRule type="expression" dxfId="131" priority="37">
      <formula>$E$14&gt;0</formula>
    </cfRule>
  </conditionalFormatting>
  <conditionalFormatting sqref="C14">
    <cfRule type="expression" dxfId="130" priority="38">
      <formula>$C$14&gt;0</formula>
    </cfRule>
  </conditionalFormatting>
  <conditionalFormatting sqref="C16">
    <cfRule type="expression" dxfId="129" priority="39">
      <formula>$E$16&gt;0</formula>
    </cfRule>
  </conditionalFormatting>
  <conditionalFormatting sqref="C17">
    <cfRule type="expression" dxfId="128" priority="40">
      <formula>$E$17&gt;0</formula>
    </cfRule>
  </conditionalFormatting>
  <conditionalFormatting sqref="C18">
    <cfRule type="expression" dxfId="127" priority="41">
      <formula>$E$18&gt;0</formula>
    </cfRule>
  </conditionalFormatting>
  <conditionalFormatting sqref="C19">
    <cfRule type="expression" dxfId="126" priority="42">
      <formula>$E$19&gt;0</formula>
    </cfRule>
  </conditionalFormatting>
  <conditionalFormatting sqref="C20">
    <cfRule type="expression" dxfId="125" priority="43">
      <formula>$E$20&gt;0</formula>
    </cfRule>
  </conditionalFormatting>
  <conditionalFormatting sqref="C21">
    <cfRule type="expression" dxfId="124" priority="44">
      <formula>$E$21&gt;0</formula>
    </cfRule>
  </conditionalFormatting>
  <conditionalFormatting sqref="C22">
    <cfRule type="expression" dxfId="123" priority="45">
      <formula>$E$22&gt;0</formula>
    </cfRule>
  </conditionalFormatting>
  <conditionalFormatting sqref="C23">
    <cfRule type="expression" dxfId="122" priority="46">
      <formula>$E$23&gt;0</formula>
    </cfRule>
  </conditionalFormatting>
  <conditionalFormatting sqref="C24">
    <cfRule type="expression" dxfId="121" priority="47">
      <formula>$E$24&gt;0</formula>
    </cfRule>
  </conditionalFormatting>
  <conditionalFormatting sqref="C25">
    <cfRule type="expression" dxfId="120" priority="48">
      <formula>$E$25&gt;0</formula>
    </cfRule>
  </conditionalFormatting>
  <conditionalFormatting sqref="C15">
    <cfRule type="expression" dxfId="119" priority="49">
      <formula>$E$15&gt;0</formula>
    </cfRule>
  </conditionalFormatting>
  <conditionalFormatting sqref="E15:E16">
    <cfRule type="cellIs" dxfId="118" priority="50" operator="greaterThan">
      <formula>0</formula>
    </cfRule>
  </conditionalFormatting>
  <conditionalFormatting sqref="E14">
    <cfRule type="cellIs" dxfId="117" priority="51" operator="greaterThan">
      <formula>0</formula>
    </cfRule>
  </conditionalFormatting>
  <conditionalFormatting sqref="E16">
    <cfRule type="cellIs" dxfId="116" priority="52" operator="greaterThan">
      <formula>0</formula>
    </cfRule>
  </conditionalFormatting>
  <conditionalFormatting sqref="E17">
    <cfRule type="cellIs" dxfId="115" priority="53" operator="greaterThan">
      <formula>0</formula>
    </cfRule>
  </conditionalFormatting>
  <conditionalFormatting sqref="E18">
    <cfRule type="cellIs" dxfId="114" priority="54" operator="greaterThan">
      <formula>0</formula>
    </cfRule>
  </conditionalFormatting>
  <conditionalFormatting sqref="E19">
    <cfRule type="cellIs" dxfId="113" priority="55" operator="greaterThan">
      <formula>0</formula>
    </cfRule>
  </conditionalFormatting>
  <conditionalFormatting sqref="E20">
    <cfRule type="cellIs" dxfId="112" priority="56" operator="greaterThan">
      <formula>0</formula>
    </cfRule>
  </conditionalFormatting>
  <conditionalFormatting sqref="E21">
    <cfRule type="cellIs" dxfId="111" priority="57" operator="greaterThan">
      <formula>0</formula>
    </cfRule>
  </conditionalFormatting>
  <conditionalFormatting sqref="E22">
    <cfRule type="cellIs" dxfId="110" priority="58" operator="greaterThan">
      <formula>0</formula>
    </cfRule>
  </conditionalFormatting>
  <conditionalFormatting sqref="E23">
    <cfRule type="cellIs" dxfId="109" priority="59" operator="greaterThan">
      <formula>0</formula>
    </cfRule>
  </conditionalFormatting>
  <conditionalFormatting sqref="E24">
    <cfRule type="cellIs" dxfId="108" priority="60" operator="greaterThan">
      <formula>0</formula>
    </cfRule>
  </conditionalFormatting>
  <conditionalFormatting sqref="E25">
    <cfRule type="cellIs" dxfId="107" priority="61" operator="greaterThan">
      <formula>0</formula>
    </cfRule>
  </conditionalFormatting>
  <conditionalFormatting sqref="I14">
    <cfRule type="cellIs" dxfId="106" priority="62" operator="greaterThan">
      <formula>0</formula>
    </cfRule>
  </conditionalFormatting>
  <conditionalFormatting sqref="I15">
    <cfRule type="cellIs" dxfId="105" priority="63" operator="greaterThan">
      <formula>0</formula>
    </cfRule>
  </conditionalFormatting>
  <conditionalFormatting sqref="I16">
    <cfRule type="cellIs" dxfId="104" priority="64" operator="greaterThan">
      <formula>0</formula>
    </cfRule>
  </conditionalFormatting>
  <conditionalFormatting sqref="I17">
    <cfRule type="cellIs" dxfId="103" priority="65" operator="greaterThan">
      <formula>0</formula>
    </cfRule>
  </conditionalFormatting>
  <conditionalFormatting sqref="I18">
    <cfRule type="cellIs" dxfId="102" priority="66" operator="greaterThan">
      <formula>0</formula>
    </cfRule>
  </conditionalFormatting>
  <conditionalFormatting sqref="I19">
    <cfRule type="cellIs" dxfId="101" priority="67" operator="greaterThan">
      <formula>0</formula>
    </cfRule>
  </conditionalFormatting>
  <conditionalFormatting sqref="I20">
    <cfRule type="cellIs" dxfId="100" priority="68" operator="greaterThan">
      <formula>0</formula>
    </cfRule>
  </conditionalFormatting>
  <conditionalFormatting sqref="I21">
    <cfRule type="cellIs" dxfId="99" priority="69" operator="greaterThan">
      <formula>0</formula>
    </cfRule>
  </conditionalFormatting>
  <conditionalFormatting sqref="I22">
    <cfRule type="cellIs" dxfId="98" priority="70" operator="greaterThan">
      <formula>0</formula>
    </cfRule>
  </conditionalFormatting>
  <conditionalFormatting sqref="I23">
    <cfRule type="cellIs" dxfId="97" priority="71" operator="greaterThan">
      <formula>0</formula>
    </cfRule>
  </conditionalFormatting>
  <conditionalFormatting sqref="I24">
    <cfRule type="cellIs" dxfId="96" priority="72" operator="greaterThan">
      <formula>0</formula>
    </cfRule>
  </conditionalFormatting>
  <conditionalFormatting sqref="I25">
    <cfRule type="cellIs" dxfId="95" priority="73" operator="greaterThan">
      <formula>0</formula>
    </cfRule>
  </conditionalFormatting>
  <printOptions horizontalCentered="1" verticalCentered="1"/>
  <pageMargins left="0.23622047244094491" right="0.23622047244094491" top="0.74803149606299213" bottom="0.74803149606299213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6"/>
  <sheetViews>
    <sheetView workbookViewId="0">
      <selection activeCell="C14" sqref="C14:E14"/>
    </sheetView>
  </sheetViews>
  <sheetFormatPr defaultColWidth="14.42578125" defaultRowHeight="15" customHeight="1"/>
  <cols>
    <col min="1" max="1" width="4.42578125" customWidth="1"/>
    <col min="2" max="2" width="74.85546875" customWidth="1"/>
    <col min="3" max="3" width="10" customWidth="1"/>
    <col min="4" max="4" width="11.5703125" customWidth="1"/>
    <col min="5" max="5" width="13.85546875" customWidth="1"/>
    <col min="6" max="6" width="12.85546875" customWidth="1"/>
    <col min="7" max="7" width="10.140625" customWidth="1"/>
    <col min="8" max="8" width="7.5703125" customWidth="1"/>
    <col min="9" max="9" width="14.28515625" customWidth="1"/>
  </cols>
  <sheetData>
    <row r="1" spans="1:9" ht="18" customHeight="1">
      <c r="A1" s="487"/>
      <c r="B1" s="935" t="s">
        <v>326</v>
      </c>
      <c r="C1" s="882"/>
      <c r="D1" s="882"/>
      <c r="E1" s="882"/>
      <c r="F1" s="882"/>
      <c r="G1" s="882"/>
      <c r="H1" s="882"/>
      <c r="I1" s="882"/>
    </row>
    <row r="2" spans="1:9" ht="9.75" customHeight="1">
      <c r="A2" s="487"/>
      <c r="B2" s="488"/>
      <c r="C2" s="488"/>
      <c r="D2" s="489"/>
      <c r="E2" s="488"/>
      <c r="F2" s="488"/>
      <c r="G2" s="488"/>
      <c r="H2" s="488"/>
      <c r="I2" s="488"/>
    </row>
    <row r="3" spans="1:9" ht="9.75" customHeight="1">
      <c r="A3" s="487"/>
      <c r="B3" s="490" t="s">
        <v>327</v>
      </c>
      <c r="C3" s="488"/>
      <c r="D3" s="489"/>
      <c r="E3" s="488"/>
      <c r="F3" s="488"/>
      <c r="G3" s="488"/>
      <c r="H3" s="488"/>
      <c r="I3" s="488"/>
    </row>
    <row r="4" spans="1:9" ht="30" customHeight="1">
      <c r="A4" s="487"/>
      <c r="B4" s="936" t="s">
        <v>328</v>
      </c>
      <c r="C4" s="884"/>
      <c r="D4" s="884"/>
      <c r="E4" s="884"/>
      <c r="F4" s="884"/>
      <c r="G4" s="884"/>
      <c r="H4" s="884"/>
      <c r="I4" s="885"/>
    </row>
    <row r="5" spans="1:9" ht="15.75" customHeight="1">
      <c r="A5" s="937" t="s">
        <v>329</v>
      </c>
      <c r="B5" s="882"/>
      <c r="C5" s="882"/>
      <c r="D5" s="882"/>
      <c r="E5" s="882"/>
      <c r="F5" s="882"/>
      <c r="G5" s="882"/>
      <c r="H5" s="882"/>
      <c r="I5" s="882"/>
    </row>
    <row r="6" spans="1:9" ht="15.75" customHeight="1">
      <c r="A6" s="491" t="s">
        <v>330</v>
      </c>
      <c r="B6" s="492" t="s">
        <v>331</v>
      </c>
      <c r="C6" s="492" t="s">
        <v>332</v>
      </c>
      <c r="D6" s="493" t="s">
        <v>333</v>
      </c>
      <c r="E6" s="492" t="s">
        <v>334</v>
      </c>
      <c r="F6" s="494" t="s">
        <v>335</v>
      </c>
      <c r="G6" s="494" t="s">
        <v>336</v>
      </c>
      <c r="H6" s="929" t="s">
        <v>337</v>
      </c>
      <c r="I6" s="930"/>
    </row>
    <row r="7" spans="1:9" ht="15.75" customHeight="1">
      <c r="A7" s="495">
        <v>1</v>
      </c>
      <c r="B7" s="496" t="s">
        <v>338</v>
      </c>
      <c r="C7" s="497" t="s">
        <v>339</v>
      </c>
      <c r="D7" s="498">
        <v>46.86</v>
      </c>
      <c r="E7" s="499">
        <f>VLOOKUP(A7,Insumos_Base!$A$3:$AL$56,HLOOKUP('1-ABA-DE-CARREGAMENTO'!$C$14,Insumos_Base!$A$1:$AL$2,2,0),0)</f>
        <v>0</v>
      </c>
      <c r="F7" s="500">
        <f>(D7*E7*G7)/('1-ABA-DE-CARREGAMENTO'!$C$92+'1-ABA-DE-CARREGAMENTO'!$D$92+'1-ABA-DE-CARREGAMENTO'!$E$92)/G7</f>
        <v>0</v>
      </c>
      <c r="G7" s="501">
        <f>VLOOKUP(A7,Insumos_Base!$A$3:$AL$56,HLOOKUP('1-ABA-DE-CARREGAMENTO'!$C$14,Insumos_Base!$A$1:$AL$2,2,0)+2,0)</f>
        <v>6</v>
      </c>
      <c r="H7" s="502">
        <f>VLOOKUP(A7,Insumos_Base!$A$3:$AL$56,HLOOKUP('1-ABA-DE-CARREGAMENTO'!$C$14,Insumos_Base!$A$1:$AL$2,2,0)+1,0)</f>
        <v>12</v>
      </c>
      <c r="I7" s="502" t="s">
        <v>340</v>
      </c>
    </row>
    <row r="8" spans="1:9" ht="15.75" customHeight="1">
      <c r="A8" s="503">
        <v>2</v>
      </c>
      <c r="B8" s="504" t="s">
        <v>341</v>
      </c>
      <c r="C8" s="505" t="s">
        <v>342</v>
      </c>
      <c r="D8" s="506">
        <v>32.25</v>
      </c>
      <c r="E8" s="507">
        <f>VLOOKUP(A8,Insumos_Base!$A$3:$AL$56,HLOOKUP('1-ABA-DE-CARREGAMENTO'!$C$14,Insumos_Base!$A$1:$AL$2,2,0),0)</f>
        <v>1</v>
      </c>
      <c r="F8" s="508">
        <f>(D8*E8*G8)/('1-ABA-DE-CARREGAMENTO'!$C$92+'1-ABA-DE-CARREGAMENTO'!$D$92+'1-ABA-DE-CARREGAMENTO'!$E$92)/G8</f>
        <v>5.375</v>
      </c>
      <c r="G8" s="509">
        <f>VLOOKUP(A8,Insumos_Base!$A$3:$AL$56,HLOOKUP('1-ABA-DE-CARREGAMENTO'!$C$14,Insumos_Base!$A$1:$AL$2,2,0)+2,0)</f>
        <v>6</v>
      </c>
      <c r="H8" s="510">
        <f>VLOOKUP(A8,Insumos_Base!$A$3:$AL$56,HLOOKUP('1-ABA-DE-CARREGAMENTO'!$C$14,Insumos_Base!$A$1:$AL$2,2,0)+1,0)</f>
        <v>12</v>
      </c>
      <c r="I8" s="510" t="s">
        <v>340</v>
      </c>
    </row>
    <row r="9" spans="1:9" ht="15.75" customHeight="1">
      <c r="A9" s="511">
        <v>3</v>
      </c>
      <c r="B9" s="496" t="s">
        <v>343</v>
      </c>
      <c r="C9" s="497" t="s">
        <v>342</v>
      </c>
      <c r="D9" s="498">
        <v>14.18</v>
      </c>
      <c r="E9" s="499">
        <f>VLOOKUP(A9,Insumos_Base!$A$3:$AL$56,HLOOKUP('1-ABA-DE-CARREGAMENTO'!$C$14,Insumos_Base!$A$1:$AL$2,2,0),0)</f>
        <v>0</v>
      </c>
      <c r="F9" s="500">
        <f>(D9*E9*G9)/('1-ABA-DE-CARREGAMENTO'!$C$92+'1-ABA-DE-CARREGAMENTO'!$D$92+'1-ABA-DE-CARREGAMENTO'!$E$92)/G9</f>
        <v>0</v>
      </c>
      <c r="G9" s="501">
        <f>VLOOKUP(A9,Insumos_Base!$A$3:$AL$56,HLOOKUP('1-ABA-DE-CARREGAMENTO'!$C$14,Insumos_Base!$A$1:$AL$2,2,0)+2,0)</f>
        <v>6</v>
      </c>
      <c r="H9" s="502">
        <f>VLOOKUP(A9,Insumos_Base!$A$3:$AL$56,HLOOKUP('1-ABA-DE-CARREGAMENTO'!$C$14,Insumos_Base!$A$1:$AL$2,2,0)+1,0)</f>
        <v>12</v>
      </c>
      <c r="I9" s="502" t="s">
        <v>340</v>
      </c>
    </row>
    <row r="10" spans="1:9" ht="15.75" customHeight="1">
      <c r="A10" s="503">
        <v>4</v>
      </c>
      <c r="B10" s="504" t="s">
        <v>344</v>
      </c>
      <c r="C10" s="505" t="s">
        <v>345</v>
      </c>
      <c r="D10" s="506">
        <v>13.75</v>
      </c>
      <c r="E10" s="507">
        <f>VLOOKUP(A10,Insumos_Base!$A$3:$AL$56,HLOOKUP('1-ABA-DE-CARREGAMENTO'!$C$14,Insumos_Base!$A$1:$AL$2,2,0),0)</f>
        <v>8</v>
      </c>
      <c r="F10" s="508">
        <f>(D10*E10*G10)/('1-ABA-DE-CARREGAMENTO'!$C$92+'1-ABA-DE-CARREGAMENTO'!$D$92+'1-ABA-DE-CARREGAMENTO'!$E$92)/G10</f>
        <v>18.333333333333332</v>
      </c>
      <c r="G10" s="509">
        <f>VLOOKUP(A10,Insumos_Base!$A$3:$AL$56,HLOOKUP('1-ABA-DE-CARREGAMENTO'!$C$14,Insumos_Base!$A$1:$AL$2,2,0)+2,0)</f>
        <v>6</v>
      </c>
      <c r="H10" s="510">
        <f>VLOOKUP(A10,Insumos_Base!$A$3:$AL$56,HLOOKUP('1-ABA-DE-CARREGAMENTO'!$C$14,Insumos_Base!$A$1:$AL$2,2,0)+1,0)</f>
        <v>12</v>
      </c>
      <c r="I10" s="510" t="s">
        <v>340</v>
      </c>
    </row>
    <row r="11" spans="1:9" ht="15.75" customHeight="1">
      <c r="A11" s="511">
        <v>5</v>
      </c>
      <c r="B11" s="496" t="s">
        <v>346</v>
      </c>
      <c r="C11" s="497" t="s">
        <v>347</v>
      </c>
      <c r="D11" s="498">
        <v>16.7</v>
      </c>
      <c r="E11" s="499">
        <f>VLOOKUP(A11,Insumos_Base!$A$3:$AL$56,HLOOKUP('1-ABA-DE-CARREGAMENTO'!$C$14,Insumos_Base!$A$1:$AL$2,2,0),0)</f>
        <v>0</v>
      </c>
      <c r="F11" s="500">
        <f>(D11*E11*G11)/('1-ABA-DE-CARREGAMENTO'!$C$92+'1-ABA-DE-CARREGAMENTO'!$D$92+'1-ABA-DE-CARREGAMENTO'!$E$92)/G11</f>
        <v>0</v>
      </c>
      <c r="G11" s="501">
        <f>VLOOKUP(A11,Insumos_Base!$A$3:$AL$56,HLOOKUP('1-ABA-DE-CARREGAMENTO'!$C$14,Insumos_Base!$A$1:$AL$2,2,0)+2,0)</f>
        <v>6</v>
      </c>
      <c r="H11" s="502">
        <f>VLOOKUP(A11,Insumos_Base!$A$3:$AL$56,HLOOKUP('1-ABA-DE-CARREGAMENTO'!$C$14,Insumos_Base!$A$1:$AL$2,2,0)+1,0)</f>
        <v>12</v>
      </c>
      <c r="I11" s="502" t="s">
        <v>340</v>
      </c>
    </row>
    <row r="12" spans="1:9" ht="15.75" customHeight="1">
      <c r="A12" s="503">
        <v>6</v>
      </c>
      <c r="B12" s="504" t="s">
        <v>348</v>
      </c>
      <c r="C12" s="505" t="s">
        <v>339</v>
      </c>
      <c r="D12" s="506">
        <v>41.87</v>
      </c>
      <c r="E12" s="507">
        <f>VLOOKUP(A12,Insumos_Base!$A$3:$AL$56,HLOOKUP('1-ABA-DE-CARREGAMENTO'!$C$14,Insumos_Base!$A$1:$AL$2,2,0),0)</f>
        <v>1</v>
      </c>
      <c r="F12" s="508">
        <f>(D12*E12*G12)/('1-ABA-DE-CARREGAMENTO'!$C$92+'1-ABA-DE-CARREGAMENTO'!$D$92+'1-ABA-DE-CARREGAMENTO'!$E$92)/G12</f>
        <v>6.9783333333333326</v>
      </c>
      <c r="G12" s="509">
        <f>VLOOKUP(A12,Insumos_Base!$A$3:$AL$56,HLOOKUP('1-ABA-DE-CARREGAMENTO'!$C$14,Insumos_Base!$A$1:$AL$2,2,0)+2,0)</f>
        <v>6</v>
      </c>
      <c r="H12" s="510">
        <f>VLOOKUP(A12,Insumos_Base!$A$3:$AL$56,HLOOKUP('1-ABA-DE-CARREGAMENTO'!$C$14,Insumos_Base!$A$1:$AL$2,2,0)+1,0)</f>
        <v>12</v>
      </c>
      <c r="I12" s="510" t="s">
        <v>340</v>
      </c>
    </row>
    <row r="13" spans="1:9" ht="15.75" customHeight="1">
      <c r="A13" s="511">
        <v>7</v>
      </c>
      <c r="B13" s="496" t="s">
        <v>349</v>
      </c>
      <c r="C13" s="497" t="s">
        <v>339</v>
      </c>
      <c r="D13" s="498">
        <v>13.67</v>
      </c>
      <c r="E13" s="499">
        <f>VLOOKUP(A13,Insumos_Base!$A$3:$AL$56,HLOOKUP('1-ABA-DE-CARREGAMENTO'!$C$14,Insumos_Base!$A$1:$AL$2,2,0),0)</f>
        <v>1</v>
      </c>
      <c r="F13" s="500">
        <f>(D13*E13*G13)/('1-ABA-DE-CARREGAMENTO'!$C$92+'1-ABA-DE-CARREGAMENTO'!$D$92+'1-ABA-DE-CARREGAMENTO'!$E$92)/G13</f>
        <v>2.2783333333333333</v>
      </c>
      <c r="G13" s="501">
        <f>VLOOKUP(A13,Insumos_Base!$A$3:$AL$56,HLOOKUP('1-ABA-DE-CARREGAMENTO'!$C$14,Insumos_Base!$A$1:$AL$2,2,0)+2,0)</f>
        <v>6</v>
      </c>
      <c r="H13" s="502">
        <f>VLOOKUP(A13,Insumos_Base!$A$3:$AL$56,HLOOKUP('1-ABA-DE-CARREGAMENTO'!$C$14,Insumos_Base!$A$1:$AL$2,2,0)+1,0)</f>
        <v>12</v>
      </c>
      <c r="I13" s="502" t="s">
        <v>340</v>
      </c>
    </row>
    <row r="14" spans="1:9" ht="15.75" customHeight="1">
      <c r="A14" s="503">
        <v>8</v>
      </c>
      <c r="B14" s="512" t="s">
        <v>350</v>
      </c>
      <c r="C14" s="505" t="s">
        <v>351</v>
      </c>
      <c r="D14" s="506">
        <v>33.49</v>
      </c>
      <c r="E14" s="507">
        <f>VLOOKUP(A14,Insumos_Base!$A$3:$AL$56,HLOOKUP('1-ABA-DE-CARREGAMENTO'!$C$14,Insumos_Base!$A$1:$AL$2,2,0),0)</f>
        <v>1</v>
      </c>
      <c r="F14" s="508">
        <f>(D14*E14*G14)/('1-ABA-DE-CARREGAMENTO'!$C$92+'1-ABA-DE-CARREGAMENTO'!$D$92+'1-ABA-DE-CARREGAMENTO'!$E$92)/G14</f>
        <v>5.581666666666667</v>
      </c>
      <c r="G14" s="509">
        <f>VLOOKUP(A14,Insumos_Base!$A$3:$AL$56,HLOOKUP('1-ABA-DE-CARREGAMENTO'!$C$14,Insumos_Base!$A$1:$AL$2,2,0)+2,0)</f>
        <v>6</v>
      </c>
      <c r="H14" s="510">
        <f>VLOOKUP(A14,Insumos_Base!$A$3:$AL$56,HLOOKUP('1-ABA-DE-CARREGAMENTO'!$C$14,Insumos_Base!$A$1:$AL$2,2,0)+1,0)</f>
        <v>12</v>
      </c>
      <c r="I14" s="510" t="s">
        <v>340</v>
      </c>
    </row>
    <row r="15" spans="1:9" ht="15.75" customHeight="1">
      <c r="A15" s="511">
        <v>9</v>
      </c>
      <c r="B15" s="513" t="s">
        <v>352</v>
      </c>
      <c r="C15" s="497" t="s">
        <v>351</v>
      </c>
      <c r="D15" s="498">
        <v>32.72</v>
      </c>
      <c r="E15" s="499">
        <f>VLOOKUP(A15,Insumos_Base!$A$3:$AL$56,HLOOKUP('1-ABA-DE-CARREGAMENTO'!$C$14,Insumos_Base!$A$1:$AL$2,2,0),0)</f>
        <v>0</v>
      </c>
      <c r="F15" s="500">
        <f>(D15*E15*G15)/('1-ABA-DE-CARREGAMENTO'!$C$92+'1-ABA-DE-CARREGAMENTO'!$D$92+'1-ABA-DE-CARREGAMENTO'!$E$92)/G15</f>
        <v>0</v>
      </c>
      <c r="G15" s="501">
        <f>VLOOKUP(A15,Insumos_Base!$A$3:$AL$56,HLOOKUP('1-ABA-DE-CARREGAMENTO'!$C$14,Insumos_Base!$A$1:$AL$2,2,0)+2,0)</f>
        <v>6</v>
      </c>
      <c r="H15" s="502">
        <f>VLOOKUP(A15,Insumos_Base!$A$3:$AL$56,HLOOKUP('1-ABA-DE-CARREGAMENTO'!$C$14,Insumos_Base!$A$1:$AL$2,2,0)+1,0)</f>
        <v>12</v>
      </c>
      <c r="I15" s="502" t="s">
        <v>340</v>
      </c>
    </row>
    <row r="16" spans="1:9" ht="15.75" customHeight="1">
      <c r="A16" s="503">
        <v>10</v>
      </c>
      <c r="B16" s="504" t="s">
        <v>353</v>
      </c>
      <c r="C16" s="505" t="s">
        <v>351</v>
      </c>
      <c r="D16" s="506">
        <v>36.14</v>
      </c>
      <c r="E16" s="507">
        <f>VLOOKUP(A16,Insumos_Base!$A$3:$AL$56,HLOOKUP('1-ABA-DE-CARREGAMENTO'!$C$14,Insumos_Base!$A$1:$AL$2,2,0),0)</f>
        <v>2</v>
      </c>
      <c r="F16" s="508">
        <f>(D16*E16*G16)/('1-ABA-DE-CARREGAMENTO'!$C$92+'1-ABA-DE-CARREGAMENTO'!$D$92+'1-ABA-DE-CARREGAMENTO'!$E$92)/G16</f>
        <v>12.046666666666667</v>
      </c>
      <c r="G16" s="509">
        <f>VLOOKUP(A16,Insumos_Base!$A$3:$AL$56,HLOOKUP('1-ABA-DE-CARREGAMENTO'!$C$14,Insumos_Base!$A$1:$AL$2,2,0)+2,0)</f>
        <v>6</v>
      </c>
      <c r="H16" s="510">
        <f>VLOOKUP(A16,Insumos_Base!$A$3:$AL$56,HLOOKUP('1-ABA-DE-CARREGAMENTO'!$C$14,Insumos_Base!$A$1:$AL$2,2,0)+1,0)</f>
        <v>12</v>
      </c>
      <c r="I16" s="510" t="s">
        <v>340</v>
      </c>
    </row>
    <row r="17" spans="1:9" ht="15.75" customHeight="1">
      <c r="A17" s="511">
        <v>11</v>
      </c>
      <c r="B17" s="496" t="s">
        <v>354</v>
      </c>
      <c r="C17" s="497" t="s">
        <v>355</v>
      </c>
      <c r="D17" s="498">
        <v>37.119999999999997</v>
      </c>
      <c r="E17" s="499">
        <f>VLOOKUP(A17,Insumos_Base!$A$3:$AL$56,HLOOKUP('1-ABA-DE-CARREGAMENTO'!$C$14,Insumos_Base!$A$1:$AL$2,2,0),0)</f>
        <v>0</v>
      </c>
      <c r="F17" s="500">
        <f>(D17*E17*G17)/('1-ABA-DE-CARREGAMENTO'!$C$92+'1-ABA-DE-CARREGAMENTO'!$D$92+'1-ABA-DE-CARREGAMENTO'!$E$92)/G17</f>
        <v>0</v>
      </c>
      <c r="G17" s="501">
        <f>VLOOKUP(A17,Insumos_Base!$A$3:$AL$56,HLOOKUP('1-ABA-DE-CARREGAMENTO'!$C$14,Insumos_Base!$A$1:$AL$2,2,0)+2,0)</f>
        <v>6</v>
      </c>
      <c r="H17" s="502">
        <f>VLOOKUP(A17,Insumos_Base!$A$3:$AL$56,HLOOKUP('1-ABA-DE-CARREGAMENTO'!$C$14,Insumos_Base!$A$1:$AL$2,2,0)+1,0)</f>
        <v>12</v>
      </c>
      <c r="I17" s="502" t="s">
        <v>340</v>
      </c>
    </row>
    <row r="18" spans="1:9" ht="15.75" customHeight="1">
      <c r="A18" s="503">
        <v>12</v>
      </c>
      <c r="B18" s="512" t="s">
        <v>356</v>
      </c>
      <c r="C18" s="505" t="s">
        <v>339</v>
      </c>
      <c r="D18" s="506">
        <v>55.24</v>
      </c>
      <c r="E18" s="507">
        <f>VLOOKUP(A18,Insumos_Base!$A$3:$AL$56,HLOOKUP('1-ABA-DE-CARREGAMENTO'!$C$14,Insumos_Base!$A$1:$AL$2,2,0),0)</f>
        <v>4</v>
      </c>
      <c r="F18" s="508">
        <f>(D18*E18*G18)/('1-ABA-DE-CARREGAMENTO'!$C$92+'1-ABA-DE-CARREGAMENTO'!$D$92+'1-ABA-DE-CARREGAMENTO'!$E$92)/G18</f>
        <v>36.826666666666668</v>
      </c>
      <c r="G18" s="509">
        <f>VLOOKUP(A18,Insumos_Base!$A$3:$AL$56,HLOOKUP('1-ABA-DE-CARREGAMENTO'!$C$14,Insumos_Base!$A$1:$AL$2,2,0)+2,0)</f>
        <v>6</v>
      </c>
      <c r="H18" s="510">
        <f>VLOOKUP(A18,Insumos_Base!$A$3:$AL$56,HLOOKUP('1-ABA-DE-CARREGAMENTO'!$C$14,Insumos_Base!$A$1:$AL$2,2,0)+1,0)</f>
        <v>12</v>
      </c>
      <c r="I18" s="510" t="s">
        <v>340</v>
      </c>
    </row>
    <row r="19" spans="1:9" ht="15.75" customHeight="1">
      <c r="A19" s="511">
        <v>13</v>
      </c>
      <c r="B19" s="513" t="s">
        <v>357</v>
      </c>
      <c r="C19" s="497" t="s">
        <v>339</v>
      </c>
      <c r="D19" s="498">
        <v>85.19</v>
      </c>
      <c r="E19" s="499">
        <f>VLOOKUP(A19,Insumos_Base!$A$3:$AL$56,HLOOKUP('1-ABA-DE-CARREGAMENTO'!$C$14,Insumos_Base!$A$1:$AL$2,2,0),0)</f>
        <v>2</v>
      </c>
      <c r="F19" s="500">
        <f>(D19*E19*G19)/('1-ABA-DE-CARREGAMENTO'!$C$92+'1-ABA-DE-CARREGAMENTO'!$D$92+'1-ABA-DE-CARREGAMENTO'!$E$92)/G19</f>
        <v>28.396666666666665</v>
      </c>
      <c r="G19" s="501">
        <f>VLOOKUP(A19,Insumos_Base!$A$3:$AL$56,HLOOKUP('1-ABA-DE-CARREGAMENTO'!$C$14,Insumos_Base!$A$1:$AL$2,2,0)+2,0)</f>
        <v>6</v>
      </c>
      <c r="H19" s="502">
        <f>VLOOKUP(A19,Insumos_Base!$A$3:$AL$56,HLOOKUP('1-ABA-DE-CARREGAMENTO'!$C$14,Insumos_Base!$A$1:$AL$2,2,0)+1,0)</f>
        <v>12</v>
      </c>
      <c r="I19" s="502" t="s">
        <v>340</v>
      </c>
    </row>
    <row r="20" spans="1:9" ht="15.75" customHeight="1">
      <c r="A20" s="503">
        <v>14</v>
      </c>
      <c r="B20" s="504" t="s">
        <v>358</v>
      </c>
      <c r="C20" s="505" t="s">
        <v>339</v>
      </c>
      <c r="D20" s="506">
        <v>58.2</v>
      </c>
      <c r="E20" s="507">
        <f>VLOOKUP(A20,Insumos_Base!$A$3:$AL$56,HLOOKUP('1-ABA-DE-CARREGAMENTO'!$C$14,Insumos_Base!$A$1:$AL$2,2,0),0)</f>
        <v>0</v>
      </c>
      <c r="F20" s="508">
        <f>(D20*E20*G20)/('1-ABA-DE-CARREGAMENTO'!$C$92+'1-ABA-DE-CARREGAMENTO'!$D$92+'1-ABA-DE-CARREGAMENTO'!$E$92)/G20</f>
        <v>0</v>
      </c>
      <c r="G20" s="509">
        <f>VLOOKUP(A20,Insumos_Base!$A$3:$AL$56,HLOOKUP('1-ABA-DE-CARREGAMENTO'!$C$14,Insumos_Base!$A$1:$AL$2,2,0)+2,0)</f>
        <v>6</v>
      </c>
      <c r="H20" s="510">
        <f>VLOOKUP(A20,Insumos_Base!$A$3:$AL$56,HLOOKUP('1-ABA-DE-CARREGAMENTO'!$C$14,Insumos_Base!$A$1:$AL$2,2,0)+1,0)</f>
        <v>12</v>
      </c>
      <c r="I20" s="510" t="s">
        <v>340</v>
      </c>
    </row>
    <row r="21" spans="1:9" ht="15.75" customHeight="1">
      <c r="A21" s="511">
        <v>15</v>
      </c>
      <c r="B21" s="496" t="s">
        <v>359</v>
      </c>
      <c r="C21" s="497" t="s">
        <v>339</v>
      </c>
      <c r="D21" s="498">
        <v>41.5</v>
      </c>
      <c r="E21" s="499">
        <f>VLOOKUP(A21,Insumos_Base!$A$3:$AL$56,HLOOKUP('1-ABA-DE-CARREGAMENTO'!$C$14,Insumos_Base!$A$1:$AL$2,2,0),0)</f>
        <v>0</v>
      </c>
      <c r="F21" s="500">
        <f>(D21*E21*G21)/('1-ABA-DE-CARREGAMENTO'!$C$92+'1-ABA-DE-CARREGAMENTO'!$D$92+'1-ABA-DE-CARREGAMENTO'!$E$92)/G21</f>
        <v>0</v>
      </c>
      <c r="G21" s="501">
        <f>VLOOKUP(A21,Insumos_Base!$A$3:$AL$56,HLOOKUP('1-ABA-DE-CARREGAMENTO'!$C$14,Insumos_Base!$A$1:$AL$2,2,0)+2,0)</f>
        <v>6</v>
      </c>
      <c r="H21" s="502">
        <f>VLOOKUP(A21,Insumos_Base!$A$3:$AL$56,HLOOKUP('1-ABA-DE-CARREGAMENTO'!$C$14,Insumos_Base!$A$1:$AL$2,2,0)+1,0)</f>
        <v>12</v>
      </c>
      <c r="I21" s="502" t="s">
        <v>340</v>
      </c>
    </row>
    <row r="22" spans="1:9" ht="15.75" customHeight="1">
      <c r="A22" s="503">
        <v>16</v>
      </c>
      <c r="B22" s="504" t="s">
        <v>360</v>
      </c>
      <c r="C22" s="505" t="s">
        <v>339</v>
      </c>
      <c r="D22" s="506">
        <v>58.73</v>
      </c>
      <c r="E22" s="507">
        <f>VLOOKUP(A22,Insumos_Base!$A$3:$AL$56,HLOOKUP('1-ABA-DE-CARREGAMENTO'!$C$14,Insumos_Base!$A$1:$AL$2,2,0),0)</f>
        <v>4</v>
      </c>
      <c r="F22" s="508">
        <f>(D22*E22*G22)/('1-ABA-DE-CARREGAMENTO'!$C$92+'1-ABA-DE-CARREGAMENTO'!$D$92+'1-ABA-DE-CARREGAMENTO'!$E$92)/G22</f>
        <v>39.153333333333329</v>
      </c>
      <c r="G22" s="509">
        <f>VLOOKUP(A22,Insumos_Base!$A$3:$AL$56,HLOOKUP('1-ABA-DE-CARREGAMENTO'!$C$14,Insumos_Base!$A$1:$AL$2,2,0)+2,0)</f>
        <v>6</v>
      </c>
      <c r="H22" s="510">
        <f>VLOOKUP(A22,Insumos_Base!$A$3:$AL$56,HLOOKUP('1-ABA-DE-CARREGAMENTO'!$C$14,Insumos_Base!$A$1:$AL$2,2,0)+1,0)</f>
        <v>12</v>
      </c>
      <c r="I22" s="510" t="s">
        <v>340</v>
      </c>
    </row>
    <row r="23" spans="1:9" ht="15.75" customHeight="1">
      <c r="A23" s="511">
        <v>17</v>
      </c>
      <c r="B23" s="496" t="s">
        <v>361</v>
      </c>
      <c r="C23" s="497" t="s">
        <v>339</v>
      </c>
      <c r="D23" s="498">
        <v>88.16</v>
      </c>
      <c r="E23" s="499">
        <f>VLOOKUP(A23,Insumos_Base!$A$3:$AL$56,HLOOKUP('1-ABA-DE-CARREGAMENTO'!$C$14,Insumos_Base!$A$1:$AL$2,2,0),0)</f>
        <v>4</v>
      </c>
      <c r="F23" s="500">
        <f>(D23*E23*G23)/('1-ABA-DE-CARREGAMENTO'!$C$92+'1-ABA-DE-CARREGAMENTO'!$D$92+'1-ABA-DE-CARREGAMENTO'!$E$92)/G23</f>
        <v>58.773333333333341</v>
      </c>
      <c r="G23" s="501">
        <f>VLOOKUP(A23,Insumos_Base!$A$3:$AL$56,HLOOKUP('1-ABA-DE-CARREGAMENTO'!$C$14,Insumos_Base!$A$1:$AL$2,2,0)+2,0)</f>
        <v>6</v>
      </c>
      <c r="H23" s="502">
        <f>VLOOKUP(A23,Insumos_Base!$A$3:$AL$56,HLOOKUP('1-ABA-DE-CARREGAMENTO'!$C$14,Insumos_Base!$A$1:$AL$2,2,0)+1,0)</f>
        <v>12</v>
      </c>
      <c r="I23" s="502" t="s">
        <v>340</v>
      </c>
    </row>
    <row r="24" spans="1:9" ht="15.75" customHeight="1">
      <c r="A24" s="503">
        <v>18</v>
      </c>
      <c r="B24" s="504" t="s">
        <v>362</v>
      </c>
      <c r="C24" s="505" t="s">
        <v>339</v>
      </c>
      <c r="D24" s="506">
        <v>21.7</v>
      </c>
      <c r="E24" s="507">
        <f>VLOOKUP(A24,Insumos_Base!$A$3:$AL$56,HLOOKUP('1-ABA-DE-CARREGAMENTO'!$C$14,Insumos_Base!$A$1:$AL$2,2,0),0)</f>
        <v>0</v>
      </c>
      <c r="F24" s="508">
        <f>(D24*E24*G24)/('1-ABA-DE-CARREGAMENTO'!$C$92+'1-ABA-DE-CARREGAMENTO'!$D$92+'1-ABA-DE-CARREGAMENTO'!$E$92)/G24</f>
        <v>0</v>
      </c>
      <c r="G24" s="509">
        <f>VLOOKUP(A24,Insumos_Base!$A$3:$AL$56,HLOOKUP('1-ABA-DE-CARREGAMENTO'!$C$14,Insumos_Base!$A$1:$AL$2,2,0)+2,0)</f>
        <v>6</v>
      </c>
      <c r="H24" s="510">
        <f>VLOOKUP(A24,Insumos_Base!$A$3:$AL$56,HLOOKUP('1-ABA-DE-CARREGAMENTO'!$C$14,Insumos_Base!$A$1:$AL$2,2,0)+1,0)</f>
        <v>12</v>
      </c>
      <c r="I24" s="510" t="s">
        <v>340</v>
      </c>
    </row>
    <row r="25" spans="1:9" ht="15.75" customHeight="1">
      <c r="A25" s="511">
        <v>19</v>
      </c>
      <c r="B25" s="496" t="s">
        <v>363</v>
      </c>
      <c r="C25" s="497" t="s">
        <v>342</v>
      </c>
      <c r="D25" s="498">
        <v>17.39</v>
      </c>
      <c r="E25" s="499">
        <f>VLOOKUP(A25,Insumos_Base!$A$3:$AL$56,HLOOKUP('1-ABA-DE-CARREGAMENTO'!$C$14,Insumos_Base!$A$1:$AL$2,2,0),0)</f>
        <v>1</v>
      </c>
      <c r="F25" s="500">
        <f>(D25*E25*G25)/('1-ABA-DE-CARREGAMENTO'!$C$92+'1-ABA-DE-CARREGAMENTO'!$D$92+'1-ABA-DE-CARREGAMENTO'!$E$92)/G25</f>
        <v>2.8983333333333334</v>
      </c>
      <c r="G25" s="501">
        <f>VLOOKUP(A25,Insumos_Base!$A$3:$AL$56,HLOOKUP('1-ABA-DE-CARREGAMENTO'!$C$14,Insumos_Base!$A$1:$AL$2,2,0)+2,0)</f>
        <v>6</v>
      </c>
      <c r="H25" s="502">
        <f>VLOOKUP(A25,Insumos_Base!$A$3:$AL$56,HLOOKUP('1-ABA-DE-CARREGAMENTO'!$C$14,Insumos_Base!$A$1:$AL$2,2,0)+1,0)</f>
        <v>12</v>
      </c>
      <c r="I25" s="502" t="s">
        <v>340</v>
      </c>
    </row>
    <row r="26" spans="1:9" ht="15.75" customHeight="1">
      <c r="A26" s="503">
        <v>20</v>
      </c>
      <c r="B26" s="504" t="s">
        <v>364</v>
      </c>
      <c r="C26" s="505" t="s">
        <v>342</v>
      </c>
      <c r="D26" s="506">
        <v>159.46</v>
      </c>
      <c r="E26" s="507">
        <f>VLOOKUP(A26,Insumos_Base!$A$3:$AL$56,HLOOKUP('1-ABA-DE-CARREGAMENTO'!$C$14,Insumos_Base!$A$1:$AL$2,2,0),0)</f>
        <v>0</v>
      </c>
      <c r="F26" s="508">
        <f>(D26*E26*G26)/('1-ABA-DE-CARREGAMENTO'!$C$92+'1-ABA-DE-CARREGAMENTO'!$D$92+'1-ABA-DE-CARREGAMENTO'!$E$92)/G26</f>
        <v>0</v>
      </c>
      <c r="G26" s="509">
        <f>VLOOKUP(A26,Insumos_Base!$A$3:$AL$56,HLOOKUP('1-ABA-DE-CARREGAMENTO'!$C$14,Insumos_Base!$A$1:$AL$2,2,0)+2,0)</f>
        <v>6</v>
      </c>
      <c r="H26" s="510">
        <f>VLOOKUP(A26,Insumos_Base!$A$3:$AL$56,HLOOKUP('1-ABA-DE-CARREGAMENTO'!$C$14,Insumos_Base!$A$1:$AL$2,2,0)+1,0)</f>
        <v>12</v>
      </c>
      <c r="I26" s="510" t="s">
        <v>340</v>
      </c>
    </row>
    <row r="27" spans="1:9" ht="15.75" customHeight="1">
      <c r="A27" s="511">
        <v>21</v>
      </c>
      <c r="B27" s="496" t="s">
        <v>365</v>
      </c>
      <c r="C27" s="497" t="s">
        <v>342</v>
      </c>
      <c r="D27" s="498">
        <v>55</v>
      </c>
      <c r="E27" s="499">
        <f>VLOOKUP(A27,Insumos_Base!$A$3:$AL$56,HLOOKUP('1-ABA-DE-CARREGAMENTO'!$C$14,Insumos_Base!$A$1:$AL$2,2,0),0)</f>
        <v>0</v>
      </c>
      <c r="F27" s="500">
        <f>(D27*E27*G27)/('1-ABA-DE-CARREGAMENTO'!$C$92+'1-ABA-DE-CARREGAMENTO'!$D$92+'1-ABA-DE-CARREGAMENTO'!$E$92)/G27</f>
        <v>0</v>
      </c>
      <c r="G27" s="501">
        <f>VLOOKUP(A27,Insumos_Base!$A$3:$AL$56,HLOOKUP('1-ABA-DE-CARREGAMENTO'!$C$14,Insumos_Base!$A$1:$AL$2,2,0)+2,0)</f>
        <v>6</v>
      </c>
      <c r="H27" s="502">
        <f>VLOOKUP(A27,Insumos_Base!$A$3:$AL$56,HLOOKUP('1-ABA-DE-CARREGAMENTO'!$C$14,Insumos_Base!$A$1:$AL$2,2,0)+1,0)</f>
        <v>12</v>
      </c>
      <c r="I27" s="502" t="s">
        <v>340</v>
      </c>
    </row>
    <row r="28" spans="1:9" ht="15.75" customHeight="1">
      <c r="A28" s="503">
        <v>22</v>
      </c>
      <c r="B28" s="504" t="s">
        <v>366</v>
      </c>
      <c r="C28" s="505"/>
      <c r="D28" s="506">
        <v>15.33</v>
      </c>
      <c r="E28" s="507">
        <f>VLOOKUP(A28,Insumos_Base!$A$3:$AL$56,HLOOKUP('1-ABA-DE-CARREGAMENTO'!$C$14,Insumos_Base!$A$1:$AL$2,2,0),0)</f>
        <v>0</v>
      </c>
      <c r="F28" s="508">
        <f>(D28*E28*G28)/('1-ABA-DE-CARREGAMENTO'!$C$92+'1-ABA-DE-CARREGAMENTO'!$D$92+'1-ABA-DE-CARREGAMENTO'!$E$92)/G28</f>
        <v>0</v>
      </c>
      <c r="G28" s="509">
        <f>VLOOKUP(A28,Insumos_Base!$A$3:$AL$56,HLOOKUP('1-ABA-DE-CARREGAMENTO'!$C$14,Insumos_Base!$A$1:$AL$2,2,0)+2,0)</f>
        <v>6</v>
      </c>
      <c r="H28" s="510">
        <f>VLOOKUP(A28,Insumos_Base!$A$3:$AL$56,HLOOKUP('1-ABA-DE-CARREGAMENTO'!$C$14,Insumos_Base!$A$1:$AL$2,2,0)+1,0)</f>
        <v>12</v>
      </c>
      <c r="I28" s="510" t="s">
        <v>340</v>
      </c>
    </row>
    <row r="29" spans="1:9" ht="15.75" customHeight="1">
      <c r="A29" s="511">
        <v>23</v>
      </c>
      <c r="B29" s="496" t="s">
        <v>367</v>
      </c>
      <c r="C29" s="497" t="s">
        <v>342</v>
      </c>
      <c r="D29" s="498">
        <v>12.34</v>
      </c>
      <c r="E29" s="499">
        <f>VLOOKUP(A29,Insumos_Base!$A$3:$AL$56,HLOOKUP('1-ABA-DE-CARREGAMENTO'!$C$14,Insumos_Base!$A$1:$AL$2,2,0),0)</f>
        <v>2</v>
      </c>
      <c r="F29" s="500">
        <f>(D29*E29*G29)/('1-ABA-DE-CARREGAMENTO'!$C$92+'1-ABA-DE-CARREGAMENTO'!$D$92+'1-ABA-DE-CARREGAMENTO'!$E$92)/G29</f>
        <v>4.1133333333333324</v>
      </c>
      <c r="G29" s="501">
        <f>VLOOKUP(A29,Insumos_Base!$A$3:$AL$56,HLOOKUP('1-ABA-DE-CARREGAMENTO'!$C$14,Insumos_Base!$A$1:$AL$2,2,0)+2,0)</f>
        <v>6</v>
      </c>
      <c r="H29" s="502">
        <f>VLOOKUP(A29,Insumos_Base!$A$3:$AL$56,HLOOKUP('1-ABA-DE-CARREGAMENTO'!$C$14,Insumos_Base!$A$1:$AL$2,2,0)+1,0)</f>
        <v>12</v>
      </c>
      <c r="I29" s="502" t="s">
        <v>340</v>
      </c>
    </row>
    <row r="30" spans="1:9" ht="15.75" customHeight="1">
      <c r="A30" s="503">
        <v>24</v>
      </c>
      <c r="B30" s="504" t="s">
        <v>368</v>
      </c>
      <c r="C30" s="505" t="s">
        <v>342</v>
      </c>
      <c r="D30" s="506">
        <v>37.6</v>
      </c>
      <c r="E30" s="507">
        <f>VLOOKUP(A30,Insumos_Base!$A$3:$AL$56,HLOOKUP('1-ABA-DE-CARREGAMENTO'!$C$14,Insumos_Base!$A$1:$AL$2,2,0),0)</f>
        <v>0</v>
      </c>
      <c r="F30" s="508">
        <f>(D30*E30*G30)/('1-ABA-DE-CARREGAMENTO'!$C$92+'1-ABA-DE-CARREGAMENTO'!$D$92+'1-ABA-DE-CARREGAMENTO'!$E$92)/G30</f>
        <v>0</v>
      </c>
      <c r="G30" s="509">
        <f>VLOOKUP(A30,Insumos_Base!$A$3:$AL$56,HLOOKUP('1-ABA-DE-CARREGAMENTO'!$C$14,Insumos_Base!$A$1:$AL$2,2,0)+2,0)</f>
        <v>6</v>
      </c>
      <c r="H30" s="510">
        <f>VLOOKUP(A30,Insumos_Base!$A$3:$AL$56,HLOOKUP('1-ABA-DE-CARREGAMENTO'!$C$14,Insumos_Base!$A$1:$AL$2,2,0)+1,0)</f>
        <v>12</v>
      </c>
      <c r="I30" s="510" t="s">
        <v>340</v>
      </c>
    </row>
    <row r="31" spans="1:9" ht="15.75" customHeight="1">
      <c r="A31" s="511">
        <v>25</v>
      </c>
      <c r="B31" s="496" t="s">
        <v>369</v>
      </c>
      <c r="C31" s="497" t="s">
        <v>339</v>
      </c>
      <c r="D31" s="498">
        <v>134.75</v>
      </c>
      <c r="E31" s="499">
        <f>VLOOKUP(A31,Insumos_Base!$A$3:$AL$56,HLOOKUP('1-ABA-DE-CARREGAMENTO'!$C$14,Insumos_Base!$A$1:$AL$2,2,0),0)</f>
        <v>1</v>
      </c>
      <c r="F31" s="500">
        <f>(D31*E31*G31)/('1-ABA-DE-CARREGAMENTO'!$C$92+'1-ABA-DE-CARREGAMENTO'!$D$92+'1-ABA-DE-CARREGAMENTO'!$E$92)/G31</f>
        <v>22.458333333333332</v>
      </c>
      <c r="G31" s="501">
        <f>VLOOKUP(A31,Insumos_Base!$A$3:$AL$56,HLOOKUP('1-ABA-DE-CARREGAMENTO'!$C$14,Insumos_Base!$A$1:$AL$2,2,0)+2,0)</f>
        <v>6</v>
      </c>
      <c r="H31" s="502">
        <f>VLOOKUP(A31,Insumos_Base!$A$3:$AL$56,HLOOKUP('1-ABA-DE-CARREGAMENTO'!$C$14,Insumos_Base!$A$1:$AL$2,2,0)+1,0)</f>
        <v>12</v>
      </c>
      <c r="I31" s="502" t="s">
        <v>340</v>
      </c>
    </row>
    <row r="32" spans="1:9" ht="15.75" customHeight="1">
      <c r="A32" s="503">
        <v>26</v>
      </c>
      <c r="B32" s="504" t="s">
        <v>370</v>
      </c>
      <c r="C32" s="505" t="s">
        <v>339</v>
      </c>
      <c r="D32" s="506">
        <v>312.56</v>
      </c>
      <c r="E32" s="507">
        <f>VLOOKUP(A32,Insumos_Base!$A$3:$AL$56,HLOOKUP('1-ABA-DE-CARREGAMENTO'!$C$14,Insumos_Base!$A$1:$AL$2,2,0),0)</f>
        <v>1</v>
      </c>
      <c r="F32" s="508">
        <f>(D32*E32*G32)/('1-ABA-DE-CARREGAMENTO'!$C$92+'1-ABA-DE-CARREGAMENTO'!$D$92+'1-ABA-DE-CARREGAMENTO'!$E$92)/G32</f>
        <v>52.093333333333334</v>
      </c>
      <c r="G32" s="509">
        <f>VLOOKUP(A32,Insumos_Base!$A$3:$AL$56,HLOOKUP('1-ABA-DE-CARREGAMENTO'!$C$14,Insumos_Base!$A$1:$AL$2,2,0)+2,0)</f>
        <v>6</v>
      </c>
      <c r="H32" s="510">
        <f>VLOOKUP(A32,Insumos_Base!$A$3:$AL$56,HLOOKUP('1-ABA-DE-CARREGAMENTO'!$C$14,Insumos_Base!$A$1:$AL$2,2,0)+1,0)</f>
        <v>12</v>
      </c>
      <c r="I32" s="510" t="s">
        <v>340</v>
      </c>
    </row>
    <row r="33" spans="1:9" ht="15.75" customHeight="1">
      <c r="A33" s="511">
        <v>27</v>
      </c>
      <c r="B33" s="496" t="s">
        <v>371</v>
      </c>
      <c r="C33" s="497" t="s">
        <v>342</v>
      </c>
      <c r="D33" s="498">
        <v>14.4</v>
      </c>
      <c r="E33" s="499">
        <f>VLOOKUP(A33,Insumos_Base!$A$3:$AL$56,HLOOKUP('1-ABA-DE-CARREGAMENTO'!$C$14,Insumos_Base!$A$1:$AL$2,2,0),0)</f>
        <v>0</v>
      </c>
      <c r="F33" s="500">
        <f>(D33*E33*G33)/('1-ABA-DE-CARREGAMENTO'!$C$92+'1-ABA-DE-CARREGAMENTO'!$D$92+'1-ABA-DE-CARREGAMENTO'!$E$92)/G33</f>
        <v>0</v>
      </c>
      <c r="G33" s="501">
        <f>VLOOKUP(A33,Insumos_Base!$A$3:$AL$56,HLOOKUP('1-ABA-DE-CARREGAMENTO'!$C$14,Insumos_Base!$A$1:$AL$2,2,0)+2,0)</f>
        <v>6</v>
      </c>
      <c r="H33" s="502">
        <f>VLOOKUP(A33,Insumos_Base!$A$3:$AL$56,HLOOKUP('1-ABA-DE-CARREGAMENTO'!$C$14,Insumos_Base!$A$1:$AL$2,2,0)+1,0)</f>
        <v>12</v>
      </c>
      <c r="I33" s="502" t="s">
        <v>340</v>
      </c>
    </row>
    <row r="34" spans="1:9" ht="15.75" customHeight="1">
      <c r="A34" s="503">
        <v>28</v>
      </c>
      <c r="B34" s="504" t="s">
        <v>372</v>
      </c>
      <c r="C34" s="505" t="s">
        <v>342</v>
      </c>
      <c r="D34" s="506">
        <v>6.74</v>
      </c>
      <c r="E34" s="507">
        <f>VLOOKUP(A34,Insumos_Base!$A$3:$AL$56,HLOOKUP('1-ABA-DE-CARREGAMENTO'!$C$14,Insumos_Base!$A$1:$AL$2,2,0),0)</f>
        <v>0</v>
      </c>
      <c r="F34" s="508">
        <f>(D34*E34*G34)/('1-ABA-DE-CARREGAMENTO'!$C$92+'1-ABA-DE-CARREGAMENTO'!$D$92+'1-ABA-DE-CARREGAMENTO'!$E$92)/G34</f>
        <v>0</v>
      </c>
      <c r="G34" s="509">
        <f>VLOOKUP(A34,Insumos_Base!$A$3:$AL$56,HLOOKUP('1-ABA-DE-CARREGAMENTO'!$C$14,Insumos_Base!$A$1:$AL$2,2,0)+2,0)</f>
        <v>6</v>
      </c>
      <c r="H34" s="510">
        <f>VLOOKUP(A34,Insumos_Base!$A$3:$AL$56,HLOOKUP('1-ABA-DE-CARREGAMENTO'!$C$14,Insumos_Base!$A$1:$AL$2,2,0)+1,0)</f>
        <v>12</v>
      </c>
      <c r="I34" s="510" t="s">
        <v>340</v>
      </c>
    </row>
    <row r="35" spans="1:9" ht="15.75" customHeight="1">
      <c r="A35" s="511">
        <v>29</v>
      </c>
      <c r="B35" s="496" t="s">
        <v>373</v>
      </c>
      <c r="C35" s="497" t="s">
        <v>342</v>
      </c>
      <c r="D35" s="498">
        <v>35</v>
      </c>
      <c r="E35" s="499">
        <f>VLOOKUP(A35,Insumos_Base!$A$3:$AL$56,HLOOKUP('1-ABA-DE-CARREGAMENTO'!$C$14,Insumos_Base!$A$1:$AL$2,2,0),0)</f>
        <v>0</v>
      </c>
      <c r="F35" s="500">
        <f>(D35*E35*G35)/('1-ABA-DE-CARREGAMENTO'!$C$92+'1-ABA-DE-CARREGAMENTO'!$D$92+'1-ABA-DE-CARREGAMENTO'!$E$92)/G35</f>
        <v>0</v>
      </c>
      <c r="G35" s="501">
        <f>VLOOKUP(A35,Insumos_Base!$A$3:$AL$56,HLOOKUP('1-ABA-DE-CARREGAMENTO'!$C$14,Insumos_Base!$A$1:$AL$2,2,0)+2,0)</f>
        <v>6</v>
      </c>
      <c r="H35" s="502">
        <f>VLOOKUP(A35,Insumos_Base!$A$3:$AL$56,HLOOKUP('1-ABA-DE-CARREGAMENTO'!$C$14,Insumos_Base!$A$1:$AL$2,2,0)+1,0)</f>
        <v>12</v>
      </c>
      <c r="I35" s="502" t="s">
        <v>340</v>
      </c>
    </row>
    <row r="36" spans="1:9" ht="15.75" customHeight="1">
      <c r="A36" s="503">
        <v>30</v>
      </c>
      <c r="B36" s="504" t="s">
        <v>374</v>
      </c>
      <c r="C36" s="505" t="s">
        <v>342</v>
      </c>
      <c r="D36" s="506">
        <v>45.51</v>
      </c>
      <c r="E36" s="507">
        <f>VLOOKUP(A36,Insumos_Base!$A$3:$AL$56,HLOOKUP('1-ABA-DE-CARREGAMENTO'!$C$14,Insumos_Base!$A$1:$AL$2,2,0),0)</f>
        <v>0</v>
      </c>
      <c r="F36" s="508">
        <f>(D36*E36*G36)/('1-ABA-DE-CARREGAMENTO'!$C$92+'1-ABA-DE-CARREGAMENTO'!$D$92+'1-ABA-DE-CARREGAMENTO'!$E$92)/G36</f>
        <v>0</v>
      </c>
      <c r="G36" s="509">
        <f>VLOOKUP(A36,Insumos_Base!$A$3:$AL$56,HLOOKUP('1-ABA-DE-CARREGAMENTO'!$C$14,Insumos_Base!$A$1:$AL$2,2,0)+2,0)</f>
        <v>6</v>
      </c>
      <c r="H36" s="510">
        <f>VLOOKUP(A36,Insumos_Base!$A$3:$AL$56,HLOOKUP('1-ABA-DE-CARREGAMENTO'!$C$14,Insumos_Base!$A$1:$AL$2,2,0)+1,0)</f>
        <v>12</v>
      </c>
      <c r="I36" s="510" t="s">
        <v>340</v>
      </c>
    </row>
    <row r="37" spans="1:9" ht="15.75" customHeight="1">
      <c r="A37" s="511">
        <v>31</v>
      </c>
      <c r="B37" s="496" t="s">
        <v>375</v>
      </c>
      <c r="C37" s="497" t="s">
        <v>342</v>
      </c>
      <c r="D37" s="498">
        <v>113.5</v>
      </c>
      <c r="E37" s="499">
        <f>VLOOKUP(A37,Insumos_Base!$A$3:$AL$56,HLOOKUP('1-ABA-DE-CARREGAMENTO'!$C$14,Insumos_Base!$A$1:$AL$2,2,0),0)</f>
        <v>1</v>
      </c>
      <c r="F37" s="500">
        <f>(D37*E37*G37)/('1-ABA-DE-CARREGAMENTO'!$C$92+'1-ABA-DE-CARREGAMENTO'!$D$92+'1-ABA-DE-CARREGAMENTO'!$E$92)/G37</f>
        <v>18.916666666666668</v>
      </c>
      <c r="G37" s="501">
        <f>VLOOKUP(A37,Insumos_Base!$A$3:$AL$56,HLOOKUP('1-ABA-DE-CARREGAMENTO'!$C$14,Insumos_Base!$A$1:$AL$2,2,0)+2,0)</f>
        <v>6</v>
      </c>
      <c r="H37" s="502">
        <f>VLOOKUP(A37,Insumos_Base!$A$3:$AL$56,HLOOKUP('1-ABA-DE-CARREGAMENTO'!$C$14,Insumos_Base!$A$1:$AL$2,2,0)+1,0)</f>
        <v>12</v>
      </c>
      <c r="I37" s="502" t="s">
        <v>340</v>
      </c>
    </row>
    <row r="38" spans="1:9" ht="15.75" customHeight="1">
      <c r="A38" s="503">
        <v>32</v>
      </c>
      <c r="B38" s="504" t="s">
        <v>376</v>
      </c>
      <c r="C38" s="505" t="s">
        <v>342</v>
      </c>
      <c r="D38" s="506">
        <v>89.99</v>
      </c>
      <c r="E38" s="507">
        <f>VLOOKUP(A38,Insumos_Base!$A$3:$AL$56,HLOOKUP('1-ABA-DE-CARREGAMENTO'!$C$14,Insumos_Base!$A$1:$AL$2,2,0),0)</f>
        <v>0</v>
      </c>
      <c r="F38" s="508">
        <f>(D38*E38*G38)/('1-ABA-DE-CARREGAMENTO'!$C$92+'1-ABA-DE-CARREGAMENTO'!$D$92+'1-ABA-DE-CARREGAMENTO'!$E$92)/G38</f>
        <v>0</v>
      </c>
      <c r="G38" s="509">
        <f>VLOOKUP(A38,Insumos_Base!$A$3:$AL$56,HLOOKUP('1-ABA-DE-CARREGAMENTO'!$C$14,Insumos_Base!$A$1:$AL$2,2,0)+2,0)</f>
        <v>6</v>
      </c>
      <c r="H38" s="510">
        <f>VLOOKUP(A38,Insumos_Base!$A$3:$AL$56,HLOOKUP('1-ABA-DE-CARREGAMENTO'!$C$14,Insumos_Base!$A$1:$AL$2,2,0)+1,0)</f>
        <v>12</v>
      </c>
      <c r="I38" s="510" t="s">
        <v>340</v>
      </c>
    </row>
    <row r="39" spans="1:9" ht="15.75" customHeight="1">
      <c r="A39" s="511">
        <v>33</v>
      </c>
      <c r="B39" s="496" t="s">
        <v>377</v>
      </c>
      <c r="C39" s="497" t="s">
        <v>342</v>
      </c>
      <c r="D39" s="498">
        <v>57.5</v>
      </c>
      <c r="E39" s="499">
        <f>VLOOKUP(A39,Insumos_Base!$A$3:$AL$56,HLOOKUP('1-ABA-DE-CARREGAMENTO'!$C$14,Insumos_Base!$A$1:$AL$2,2,0),0)</f>
        <v>1</v>
      </c>
      <c r="F39" s="500">
        <f>(D39*E39*G39)/('1-ABA-DE-CARREGAMENTO'!$C$92+'1-ABA-DE-CARREGAMENTO'!$D$92+'1-ABA-DE-CARREGAMENTO'!$E$92)/G39</f>
        <v>9.5833333333333339</v>
      </c>
      <c r="G39" s="501">
        <f>VLOOKUP(A39,Insumos_Base!$A$3:$AL$56,HLOOKUP('1-ABA-DE-CARREGAMENTO'!$C$14,Insumos_Base!$A$1:$AL$2,2,0)+2,0)</f>
        <v>6</v>
      </c>
      <c r="H39" s="502">
        <f>VLOOKUP(A39,Insumos_Base!$A$3:$AL$56,HLOOKUP('1-ABA-DE-CARREGAMENTO'!$C$14,Insumos_Base!$A$1:$AL$2,2,0)+1,0)</f>
        <v>12</v>
      </c>
      <c r="I39" s="502" t="s">
        <v>340</v>
      </c>
    </row>
    <row r="40" spans="1:9" ht="15.75" customHeight="1">
      <c r="A40" s="503">
        <v>34</v>
      </c>
      <c r="B40" s="504" t="s">
        <v>378</v>
      </c>
      <c r="C40" s="505" t="s">
        <v>351</v>
      </c>
      <c r="D40" s="506">
        <v>16.66</v>
      </c>
      <c r="E40" s="507">
        <f>VLOOKUP(A40,Insumos_Base!$A$3:$AL$56,HLOOKUP('1-ABA-DE-CARREGAMENTO'!$C$14,Insumos_Base!$A$1:$AL$2,2,0),0)</f>
        <v>4</v>
      </c>
      <c r="F40" s="508">
        <f>(D40*E40*G40)/('1-ABA-DE-CARREGAMENTO'!$C$92+'1-ABA-DE-CARREGAMENTO'!$D$92+'1-ABA-DE-CARREGAMENTO'!$E$92)/G40</f>
        <v>11.106666666666667</v>
      </c>
      <c r="G40" s="509">
        <f>VLOOKUP(A40,Insumos_Base!$A$3:$AL$56,HLOOKUP('1-ABA-DE-CARREGAMENTO'!$C$14,Insumos_Base!$A$1:$AL$2,2,0)+2,0)</f>
        <v>6</v>
      </c>
      <c r="H40" s="510">
        <f>VLOOKUP(A40,Insumos_Base!$A$3:$AL$56,HLOOKUP('1-ABA-DE-CARREGAMENTO'!$C$14,Insumos_Base!$A$1:$AL$2,2,0)+1,0)</f>
        <v>12</v>
      </c>
      <c r="I40" s="510" t="s">
        <v>340</v>
      </c>
    </row>
    <row r="41" spans="1:9" ht="15.75" customHeight="1">
      <c r="A41" s="511">
        <v>35</v>
      </c>
      <c r="B41" s="496" t="s">
        <v>379</v>
      </c>
      <c r="C41" s="497" t="s">
        <v>380</v>
      </c>
      <c r="D41" s="498">
        <v>26.04</v>
      </c>
      <c r="E41" s="499">
        <f>VLOOKUP(A41,Insumos_Base!$A$3:$AL$56,HLOOKUP('1-ABA-DE-CARREGAMENTO'!$C$14,Insumos_Base!$A$1:$AL$2,2,0),0)</f>
        <v>0</v>
      </c>
      <c r="F41" s="500">
        <f>(D41*E41*G41)/('1-ABA-DE-CARREGAMENTO'!$C$92+'1-ABA-DE-CARREGAMENTO'!$D$92+'1-ABA-DE-CARREGAMENTO'!$E$92)/G41</f>
        <v>0</v>
      </c>
      <c r="G41" s="501">
        <f>VLOOKUP(A41,Insumos_Base!$A$3:$AL$56,HLOOKUP('1-ABA-DE-CARREGAMENTO'!$C$14,Insumos_Base!$A$1:$AL$2,2,0)+2,0)</f>
        <v>6</v>
      </c>
      <c r="H41" s="502">
        <f>VLOOKUP(A41,Insumos_Base!$A$3:$AL$56,HLOOKUP('1-ABA-DE-CARREGAMENTO'!$C$14,Insumos_Base!$A$1:$AL$2,2,0)+1,0)</f>
        <v>12</v>
      </c>
      <c r="I41" s="502" t="s">
        <v>340</v>
      </c>
    </row>
    <row r="42" spans="1:9" ht="15.75" customHeight="1">
      <c r="A42" s="503">
        <v>36</v>
      </c>
      <c r="B42" s="504" t="s">
        <v>381</v>
      </c>
      <c r="C42" s="505" t="s">
        <v>382</v>
      </c>
      <c r="D42" s="506">
        <v>16.920000000000002</v>
      </c>
      <c r="E42" s="507">
        <f>VLOOKUP(A42,Insumos_Base!$A$3:$AL$56,HLOOKUP('1-ABA-DE-CARREGAMENTO'!$C$14,Insumos_Base!$A$1:$AL$2,2,0),0)</f>
        <v>1</v>
      </c>
      <c r="F42" s="508">
        <f>(D42*E42*G42)/('1-ABA-DE-CARREGAMENTO'!$C$92+'1-ABA-DE-CARREGAMENTO'!$D$92+'1-ABA-DE-CARREGAMENTO'!$E$92)/G42</f>
        <v>2.8200000000000003</v>
      </c>
      <c r="G42" s="509">
        <f>VLOOKUP(A42,Insumos_Base!$A$3:$AL$56,HLOOKUP('1-ABA-DE-CARREGAMENTO'!$C$14,Insumos_Base!$A$1:$AL$2,2,0)+2,0)</f>
        <v>1</v>
      </c>
      <c r="H42" s="510">
        <f>VLOOKUP(A42,Insumos_Base!$A$3:$AL$56,HLOOKUP('1-ABA-DE-CARREGAMENTO'!$C$14,Insumos_Base!$A$1:$AL$2,2,0)+1,0)</f>
        <v>12</v>
      </c>
      <c r="I42" s="510" t="s">
        <v>340</v>
      </c>
    </row>
    <row r="43" spans="1:9" ht="15.75" customHeight="1">
      <c r="A43" s="511">
        <v>37</v>
      </c>
      <c r="B43" s="496" t="s">
        <v>383</v>
      </c>
      <c r="C43" s="497" t="s">
        <v>351</v>
      </c>
      <c r="D43" s="498">
        <v>277.06</v>
      </c>
      <c r="E43" s="499">
        <f>VLOOKUP(A43,Insumos_Base!$A$3:$AL$56,HLOOKUP('1-ABA-DE-CARREGAMENTO'!$C$14,Insumos_Base!$A$1:$AL$2,2,0),0)</f>
        <v>0</v>
      </c>
      <c r="F43" s="500">
        <f>(D43*E43*G43)/('1-ABA-DE-CARREGAMENTO'!$C$92+'1-ABA-DE-CARREGAMENTO'!$D$92+'1-ABA-DE-CARREGAMENTO'!$E$92)/G43</f>
        <v>0</v>
      </c>
      <c r="G43" s="501">
        <f>VLOOKUP(A43,Insumos_Base!$A$3:$AL$56,HLOOKUP('1-ABA-DE-CARREGAMENTO'!$C$14,Insumos_Base!$A$1:$AL$2,2,0)+2,0)</f>
        <v>6</v>
      </c>
      <c r="H43" s="502">
        <f>VLOOKUP(A43,Insumos_Base!$A$3:$AL$56,HLOOKUP('1-ABA-DE-CARREGAMENTO'!$C$14,Insumos_Base!$A$1:$AL$2,2,0)+1,0)</f>
        <v>12</v>
      </c>
      <c r="I43" s="502" t="s">
        <v>340</v>
      </c>
    </row>
    <row r="44" spans="1:9" ht="15.75" customHeight="1">
      <c r="A44" s="503">
        <v>38</v>
      </c>
      <c r="B44" s="504" t="s">
        <v>384</v>
      </c>
      <c r="C44" s="505" t="s">
        <v>385</v>
      </c>
      <c r="D44" s="506">
        <v>27.5</v>
      </c>
      <c r="E44" s="507">
        <f>VLOOKUP(A44,Insumos_Base!$A$3:$AL$56,HLOOKUP('1-ABA-DE-CARREGAMENTO'!$C$14,Insumos_Base!$A$1:$AL$2,2,0),0)</f>
        <v>2</v>
      </c>
      <c r="F44" s="508">
        <f>(D44*E44*G44)/('1-ABA-DE-CARREGAMENTO'!$C$92+'1-ABA-DE-CARREGAMENTO'!$D$92+'1-ABA-DE-CARREGAMENTO'!$E$92)/G44</f>
        <v>9.1666666666666661</v>
      </c>
      <c r="G44" s="509">
        <f>VLOOKUP(A44,Insumos_Base!$A$3:$AL$56,HLOOKUP('1-ABA-DE-CARREGAMENTO'!$C$14,Insumos_Base!$A$1:$AL$2,2,0)+2,0)</f>
        <v>6</v>
      </c>
      <c r="H44" s="510">
        <f>VLOOKUP(A44,Insumos_Base!$A$3:$AL$56,HLOOKUP('1-ABA-DE-CARREGAMENTO'!$C$14,Insumos_Base!$A$1:$AL$2,2,0)+1,0)</f>
        <v>12</v>
      </c>
      <c r="I44" s="510" t="s">
        <v>340</v>
      </c>
    </row>
    <row r="45" spans="1:9" ht="15.75" customHeight="1">
      <c r="A45" s="511">
        <v>39</v>
      </c>
      <c r="B45" s="496" t="s">
        <v>386</v>
      </c>
      <c r="C45" s="497" t="s">
        <v>351</v>
      </c>
      <c r="D45" s="498">
        <v>5.99</v>
      </c>
      <c r="E45" s="499">
        <f>VLOOKUP(A45,Insumos_Base!$A$3:$AL$56,HLOOKUP('1-ABA-DE-CARREGAMENTO'!$C$14,Insumos_Base!$A$1:$AL$2,2,0),0)</f>
        <v>0</v>
      </c>
      <c r="F45" s="500">
        <f>(D45*E45*G45)/('1-ABA-DE-CARREGAMENTO'!$C$92+'1-ABA-DE-CARREGAMENTO'!$D$92+'1-ABA-DE-CARREGAMENTO'!$E$92)/G45</f>
        <v>0</v>
      </c>
      <c r="G45" s="501">
        <f>VLOOKUP(A45,Insumos_Base!$A$3:$AL$56,HLOOKUP('1-ABA-DE-CARREGAMENTO'!$C$14,Insumos_Base!$A$1:$AL$2,2,0)+2,0)</f>
        <v>6</v>
      </c>
      <c r="H45" s="502">
        <f>VLOOKUP(A45,Insumos_Base!$A$3:$AL$56,HLOOKUP('1-ABA-DE-CARREGAMENTO'!$C$14,Insumos_Base!$A$1:$AL$2,2,0)+1,0)</f>
        <v>12</v>
      </c>
      <c r="I45" s="502" t="s">
        <v>340</v>
      </c>
    </row>
    <row r="46" spans="1:9" ht="15.75" customHeight="1">
      <c r="A46" s="503">
        <v>40</v>
      </c>
      <c r="B46" s="504" t="s">
        <v>387</v>
      </c>
      <c r="C46" s="505" t="s">
        <v>351</v>
      </c>
      <c r="D46" s="506">
        <v>4.8499999999999996</v>
      </c>
      <c r="E46" s="507">
        <f>VLOOKUP(A46,Insumos_Base!$A$3:$AL$56,HLOOKUP('1-ABA-DE-CARREGAMENTO'!$C$14,Insumos_Base!$A$1:$AL$2,2,0),0)</f>
        <v>0</v>
      </c>
      <c r="F46" s="508">
        <f>(D46*E46*G46)/('1-ABA-DE-CARREGAMENTO'!$C$92+'1-ABA-DE-CARREGAMENTO'!$D$92+'1-ABA-DE-CARREGAMENTO'!$E$92)/G46</f>
        <v>0</v>
      </c>
      <c r="G46" s="509">
        <f>VLOOKUP(A46,Insumos_Base!$A$3:$AL$56,HLOOKUP('1-ABA-DE-CARREGAMENTO'!$C$14,Insumos_Base!$A$1:$AL$2,2,0)+2,0)</f>
        <v>6</v>
      </c>
      <c r="H46" s="510">
        <f>VLOOKUP(A46,Insumos_Base!$A$3:$AL$56,HLOOKUP('1-ABA-DE-CARREGAMENTO'!$C$14,Insumos_Base!$A$1:$AL$2,2,0)+1,0)</f>
        <v>12</v>
      </c>
      <c r="I46" s="510" t="s">
        <v>340</v>
      </c>
    </row>
    <row r="47" spans="1:9" ht="15.75" customHeight="1">
      <c r="A47" s="511">
        <v>41</v>
      </c>
      <c r="B47" s="496" t="s">
        <v>388</v>
      </c>
      <c r="C47" s="497" t="s">
        <v>347</v>
      </c>
      <c r="D47" s="498">
        <v>106.46</v>
      </c>
      <c r="E47" s="499">
        <f>VLOOKUP(A47,Insumos_Base!$A$3:$AL$56,HLOOKUP('1-ABA-DE-CARREGAMENTO'!$C$14,Insumos_Base!$A$1:$AL$2,2,0),0)</f>
        <v>1</v>
      </c>
      <c r="F47" s="500">
        <f>(D47*E47*G47)/('1-ABA-DE-CARREGAMENTO'!$C$92+'1-ABA-DE-CARREGAMENTO'!$D$92+'1-ABA-DE-CARREGAMENTO'!$E$92)/G47</f>
        <v>17.743333333333332</v>
      </c>
      <c r="G47" s="501">
        <f>VLOOKUP(A47,Insumos_Base!$A$3:$AL$56,HLOOKUP('1-ABA-DE-CARREGAMENTO'!$C$14,Insumos_Base!$A$1:$AL$2,2,0)+2,0)</f>
        <v>6</v>
      </c>
      <c r="H47" s="502">
        <f>VLOOKUP(A47,Insumos_Base!$A$3:$AL$56,HLOOKUP('1-ABA-DE-CARREGAMENTO'!$C$14,Insumos_Base!$A$1:$AL$2,2,0)+1,0)</f>
        <v>12</v>
      </c>
      <c r="I47" s="502" t="s">
        <v>340</v>
      </c>
    </row>
    <row r="48" spans="1:9" ht="15.75" customHeight="1">
      <c r="A48" s="503">
        <v>42</v>
      </c>
      <c r="B48" s="504" t="s">
        <v>389</v>
      </c>
      <c r="C48" s="505" t="s">
        <v>347</v>
      </c>
      <c r="D48" s="506">
        <v>89.9</v>
      </c>
      <c r="E48" s="507">
        <f>VLOOKUP(A48,Insumos_Base!$A$3:$AL$56,HLOOKUP('1-ABA-DE-CARREGAMENTO'!$C$14,Insumos_Base!$A$1:$AL$2,2,0),0)</f>
        <v>1</v>
      </c>
      <c r="F48" s="508">
        <f>(D48*E48*G48)/('1-ABA-DE-CARREGAMENTO'!$C$92+'1-ABA-DE-CARREGAMENTO'!$D$92+'1-ABA-DE-CARREGAMENTO'!$E$92)/G48</f>
        <v>14.983333333333336</v>
      </c>
      <c r="G48" s="509">
        <f>VLOOKUP(A48,Insumos_Base!$A$3:$AL$56,HLOOKUP('1-ABA-DE-CARREGAMENTO'!$C$14,Insumos_Base!$A$1:$AL$2,2,0)+2,0)</f>
        <v>6</v>
      </c>
      <c r="H48" s="510">
        <f>VLOOKUP(A48,Insumos_Base!$A$3:$AL$56,HLOOKUP('1-ABA-DE-CARREGAMENTO'!$C$14,Insumos_Base!$A$1:$AL$2,2,0)+1,0)</f>
        <v>12</v>
      </c>
      <c r="I48" s="510" t="s">
        <v>340</v>
      </c>
    </row>
    <row r="49" spans="1:9" ht="15.75" customHeight="1">
      <c r="A49" s="511">
        <v>43</v>
      </c>
      <c r="B49" s="496" t="s">
        <v>390</v>
      </c>
      <c r="C49" s="497" t="s">
        <v>351</v>
      </c>
      <c r="D49" s="498">
        <v>39.72</v>
      </c>
      <c r="E49" s="499">
        <f>VLOOKUP(A49,Insumos_Base!$A$3:$AL$56,HLOOKUP('1-ABA-DE-CARREGAMENTO'!$C$14,Insumos_Base!$A$1:$AL$2,2,0),0)</f>
        <v>1</v>
      </c>
      <c r="F49" s="500">
        <f>(D49*E49*G49)/('1-ABA-DE-CARREGAMENTO'!$C$92+'1-ABA-DE-CARREGAMENTO'!$D$92+'1-ABA-DE-CARREGAMENTO'!$E$92)/G49</f>
        <v>6.62</v>
      </c>
      <c r="G49" s="501">
        <f>VLOOKUP(A49,Insumos_Base!$A$3:$AL$56,HLOOKUP('1-ABA-DE-CARREGAMENTO'!$C$14,Insumos_Base!$A$1:$AL$2,2,0)+2,0)</f>
        <v>6</v>
      </c>
      <c r="H49" s="502">
        <f>VLOOKUP(A49,Insumos_Base!$A$3:$AL$56,HLOOKUP('1-ABA-DE-CARREGAMENTO'!$C$14,Insumos_Base!$A$1:$AL$2,2,0)+1,0)</f>
        <v>12</v>
      </c>
      <c r="I49" s="502" t="s">
        <v>340</v>
      </c>
    </row>
    <row r="50" spans="1:9" ht="15.75" customHeight="1">
      <c r="A50" s="503">
        <v>44</v>
      </c>
      <c r="B50" s="504" t="s">
        <v>391</v>
      </c>
      <c r="C50" s="505" t="s">
        <v>392</v>
      </c>
      <c r="D50" s="506">
        <v>3.64</v>
      </c>
      <c r="E50" s="507">
        <f>VLOOKUP(A50,Insumos_Base!$A$3:$AL$56,HLOOKUP('1-ABA-DE-CARREGAMENTO'!$C$14,Insumos_Base!$A$1:$AL$2,2,0),0)</f>
        <v>1</v>
      </c>
      <c r="F50" s="508">
        <f>(D50*E50*G50)/('1-ABA-DE-CARREGAMENTO'!$C$92+'1-ABA-DE-CARREGAMENTO'!$D$92+'1-ABA-DE-CARREGAMENTO'!$E$92)/G50</f>
        <v>0.60666666666666669</v>
      </c>
      <c r="G50" s="509">
        <f>VLOOKUP(A50,Insumos_Base!$A$3:$AL$56,HLOOKUP('1-ABA-DE-CARREGAMENTO'!$C$14,Insumos_Base!$A$1:$AL$2,2,0)+2,0)</f>
        <v>6</v>
      </c>
      <c r="H50" s="510">
        <f>VLOOKUP(A50,Insumos_Base!$A$3:$AL$56,HLOOKUP('1-ABA-DE-CARREGAMENTO'!$C$14,Insumos_Base!$A$1:$AL$2,2,0)+1,0)</f>
        <v>12</v>
      </c>
      <c r="I50" s="510" t="s">
        <v>340</v>
      </c>
    </row>
    <row r="51" spans="1:9" ht="15.75" customHeight="1">
      <c r="A51" s="511">
        <v>45</v>
      </c>
      <c r="B51" s="496" t="s">
        <v>393</v>
      </c>
      <c r="C51" s="497" t="s">
        <v>342</v>
      </c>
      <c r="D51" s="498">
        <v>4.74</v>
      </c>
      <c r="E51" s="499">
        <f>VLOOKUP(A51,Insumos_Base!$A$3:$AL$56,HLOOKUP('1-ABA-DE-CARREGAMENTO'!$C$14,Insumos_Base!$A$1:$AL$2,2,0),0)</f>
        <v>0</v>
      </c>
      <c r="F51" s="500">
        <f>(D51*E51*G51)/('1-ABA-DE-CARREGAMENTO'!$C$92+'1-ABA-DE-CARREGAMENTO'!$D$92+'1-ABA-DE-CARREGAMENTO'!$E$92)/G51</f>
        <v>0</v>
      </c>
      <c r="G51" s="501">
        <f>VLOOKUP(A51,Insumos_Base!$A$3:$AL$56,HLOOKUP('1-ABA-DE-CARREGAMENTO'!$C$14,Insumos_Base!$A$1:$AL$2,2,0)+2,0)</f>
        <v>6</v>
      </c>
      <c r="H51" s="502">
        <f>VLOOKUP(A51,Insumos_Base!$A$3:$AL$56,HLOOKUP('1-ABA-DE-CARREGAMENTO'!$C$14,Insumos_Base!$A$1:$AL$2,2,0)+1,0)</f>
        <v>12</v>
      </c>
      <c r="I51" s="502" t="s">
        <v>340</v>
      </c>
    </row>
    <row r="52" spans="1:9" ht="15.75" customHeight="1">
      <c r="A52" s="503">
        <v>46</v>
      </c>
      <c r="B52" s="504" t="s">
        <v>394</v>
      </c>
      <c r="C52" s="505" t="s">
        <v>339</v>
      </c>
      <c r="D52" s="506">
        <v>8.66</v>
      </c>
      <c r="E52" s="507">
        <f>VLOOKUP(A52,Insumos_Base!$A$3:$AL$56,HLOOKUP('1-ABA-DE-CARREGAMENTO'!$C$14,Insumos_Base!$A$1:$AL$2,2,0),0)</f>
        <v>2</v>
      </c>
      <c r="F52" s="508">
        <f>(D52*E52*G52)/('1-ABA-DE-CARREGAMENTO'!$C$92+'1-ABA-DE-CARREGAMENTO'!$D$92+'1-ABA-DE-CARREGAMENTO'!$E$92)/G52</f>
        <v>2.8866666666666667</v>
      </c>
      <c r="G52" s="509">
        <f>VLOOKUP(A52,Insumos_Base!$A$3:$AL$56,HLOOKUP('1-ABA-DE-CARREGAMENTO'!$C$14,Insumos_Base!$A$1:$AL$2,2,0)+2,0)</f>
        <v>6</v>
      </c>
      <c r="H52" s="510">
        <f>VLOOKUP(A52,Insumos_Base!$A$3:$AL$56,HLOOKUP('1-ABA-DE-CARREGAMENTO'!$C$14,Insumos_Base!$A$1:$AL$2,2,0)+1,0)</f>
        <v>12</v>
      </c>
      <c r="I52" s="510" t="s">
        <v>340</v>
      </c>
    </row>
    <row r="53" spans="1:9" ht="15.75" customHeight="1">
      <c r="A53" s="511">
        <v>47</v>
      </c>
      <c r="B53" s="496" t="s">
        <v>395</v>
      </c>
      <c r="C53" s="497" t="s">
        <v>351</v>
      </c>
      <c r="D53" s="498">
        <v>36.06</v>
      </c>
      <c r="E53" s="499">
        <f>VLOOKUP(A53,Insumos_Base!$A$3:$AL$56,HLOOKUP('1-ABA-DE-CARREGAMENTO'!$C$14,Insumos_Base!$A$1:$AL$2,2,0),0)</f>
        <v>1</v>
      </c>
      <c r="F53" s="500">
        <f>(D53*E53*G53)/('1-ABA-DE-CARREGAMENTO'!$C$92+'1-ABA-DE-CARREGAMENTO'!$D$92+'1-ABA-DE-CARREGAMENTO'!$E$92)/G53</f>
        <v>6.0100000000000007</v>
      </c>
      <c r="G53" s="501">
        <f>VLOOKUP(A53,Insumos_Base!$A$3:$AL$56,HLOOKUP('1-ABA-DE-CARREGAMENTO'!$C$14,Insumos_Base!$A$1:$AL$2,2,0)+2,0)</f>
        <v>6</v>
      </c>
      <c r="H53" s="502">
        <f>VLOOKUP(A53,Insumos_Base!$A$3:$AL$56,HLOOKUP('1-ABA-DE-CARREGAMENTO'!$C$14,Insumos_Base!$A$1:$AL$2,2,0)+1,0)</f>
        <v>12</v>
      </c>
      <c r="I53" s="502" t="s">
        <v>340</v>
      </c>
    </row>
    <row r="54" spans="1:9" ht="15.75" customHeight="1">
      <c r="A54" s="503">
        <v>48</v>
      </c>
      <c r="B54" s="504" t="s">
        <v>396</v>
      </c>
      <c r="C54" s="505" t="s">
        <v>342</v>
      </c>
      <c r="D54" s="506">
        <v>2.2400000000000002</v>
      </c>
      <c r="E54" s="507">
        <f>VLOOKUP(A54,Insumos_Base!$A$3:$AL$56,HLOOKUP('1-ABA-DE-CARREGAMENTO'!$C$14,Insumos_Base!$A$1:$AL$2,2,0),0)</f>
        <v>2</v>
      </c>
      <c r="F54" s="508">
        <f>(D54*E54*G54)/('1-ABA-DE-CARREGAMENTO'!$C$92+'1-ABA-DE-CARREGAMENTO'!$D$92+'1-ABA-DE-CARREGAMENTO'!$E$92)/G54</f>
        <v>0.7466666666666667</v>
      </c>
      <c r="G54" s="509">
        <f>VLOOKUP(A54,Insumos_Base!$A$3:$AL$56,HLOOKUP('1-ABA-DE-CARREGAMENTO'!$C$14,Insumos_Base!$A$1:$AL$2,2,0)+2,0)</f>
        <v>6</v>
      </c>
      <c r="H54" s="510">
        <f>VLOOKUP(A54,Insumos_Base!$A$3:$AL$56,HLOOKUP('1-ABA-DE-CARREGAMENTO'!$C$14,Insumos_Base!$A$1:$AL$2,2,0)+1,0)</f>
        <v>12</v>
      </c>
      <c r="I54" s="510" t="s">
        <v>340</v>
      </c>
    </row>
    <row r="55" spans="1:9" ht="15.75" customHeight="1">
      <c r="A55" s="511">
        <v>49</v>
      </c>
      <c r="B55" s="496" t="s">
        <v>397</v>
      </c>
      <c r="C55" s="497" t="s">
        <v>342</v>
      </c>
      <c r="D55" s="498">
        <v>62</v>
      </c>
      <c r="E55" s="499">
        <f>VLOOKUP(A55,Insumos_Base!$A$3:$AL$56,HLOOKUP('1-ABA-DE-CARREGAMENTO'!$C$14,Insumos_Base!$A$1:$AL$2,2,0),0)</f>
        <v>1</v>
      </c>
      <c r="F55" s="500">
        <f>(D55*E55*G55)/('1-ABA-DE-CARREGAMENTO'!$C$92+'1-ABA-DE-CARREGAMENTO'!$D$92+'1-ABA-DE-CARREGAMENTO'!$E$92)/G55</f>
        <v>10.333333333333334</v>
      </c>
      <c r="G55" s="501">
        <f>VLOOKUP(A55,Insumos_Base!$A$3:$AL$56,HLOOKUP('1-ABA-DE-CARREGAMENTO'!$C$14,Insumos_Base!$A$1:$AL$2,2,0)+2,0)</f>
        <v>6</v>
      </c>
      <c r="H55" s="502">
        <f>VLOOKUP(A55,Insumos_Base!$A$3:$AL$56,HLOOKUP('1-ABA-DE-CARREGAMENTO'!$C$14,Insumos_Base!$A$1:$AL$2,2,0)+1,0)</f>
        <v>12</v>
      </c>
      <c r="I55" s="502" t="s">
        <v>340</v>
      </c>
    </row>
    <row r="56" spans="1:9" ht="15.75" customHeight="1">
      <c r="A56" s="503">
        <v>50</v>
      </c>
      <c r="B56" s="504" t="s">
        <v>398</v>
      </c>
      <c r="C56" s="505" t="s">
        <v>399</v>
      </c>
      <c r="D56" s="506">
        <v>19.89</v>
      </c>
      <c r="E56" s="507">
        <f>VLOOKUP(A56,Insumos_Base!$A$3:$AL$56,HLOOKUP('1-ABA-DE-CARREGAMENTO'!$C$14,Insumos_Base!$A$1:$AL$2,2,0),0)</f>
        <v>0</v>
      </c>
      <c r="F56" s="508">
        <f>(D56*E56*G56)/('1-ABA-DE-CARREGAMENTO'!$C$92+'1-ABA-DE-CARREGAMENTO'!$D$92+'1-ABA-DE-CARREGAMENTO'!$E$92)/G56</f>
        <v>0</v>
      </c>
      <c r="G56" s="509">
        <f>VLOOKUP(A56,Insumos_Base!$A$3:$AL$56,HLOOKUP('1-ABA-DE-CARREGAMENTO'!$C$14,Insumos_Base!$A$1:$AL$2,2,0)+2,0)</f>
        <v>6</v>
      </c>
      <c r="H56" s="510">
        <f>VLOOKUP(A56,Insumos_Base!$A$3:$AL$56,HLOOKUP('1-ABA-DE-CARREGAMENTO'!$C$14,Insumos_Base!$A$1:$AL$2,2,0)+1,0)</f>
        <v>12</v>
      </c>
      <c r="I56" s="510" t="s">
        <v>340</v>
      </c>
    </row>
    <row r="57" spans="1:9" ht="15.75" customHeight="1">
      <c r="A57" s="511">
        <v>51</v>
      </c>
      <c r="B57" s="496" t="s">
        <v>400</v>
      </c>
      <c r="C57" s="497" t="s">
        <v>382</v>
      </c>
      <c r="D57" s="498">
        <v>8.16</v>
      </c>
      <c r="E57" s="499">
        <f>VLOOKUP(A57,Insumos_Base!$A$3:$AL$56,HLOOKUP('1-ABA-DE-CARREGAMENTO'!$C$14,Insumos_Base!$A$1:$AL$2,2,0),0)</f>
        <v>0</v>
      </c>
      <c r="F57" s="500">
        <f>(D57*E57*G57)/('1-ABA-DE-CARREGAMENTO'!$C$92+'1-ABA-DE-CARREGAMENTO'!$D$92+'1-ABA-DE-CARREGAMENTO'!$E$92)/G57</f>
        <v>0</v>
      </c>
      <c r="G57" s="501">
        <f>VLOOKUP(A57,Insumos_Base!$A$3:$AL$56,HLOOKUP('1-ABA-DE-CARREGAMENTO'!$C$14,Insumos_Base!$A$1:$AL$2,2,0)+2,0)</f>
        <v>6</v>
      </c>
      <c r="H57" s="502">
        <f>VLOOKUP(A57,Insumos_Base!$A$3:$AL$56,HLOOKUP('1-ABA-DE-CARREGAMENTO'!$C$14,Insumos_Base!$A$1:$AL$2,2,0)+1,0)</f>
        <v>12</v>
      </c>
      <c r="I57" s="502" t="s">
        <v>340</v>
      </c>
    </row>
    <row r="58" spans="1:9" ht="15.75" customHeight="1">
      <c r="A58" s="503">
        <v>52</v>
      </c>
      <c r="B58" s="514" t="s">
        <v>401</v>
      </c>
      <c r="C58" s="515" t="s">
        <v>342</v>
      </c>
      <c r="D58" s="506">
        <v>1.89</v>
      </c>
      <c r="E58" s="507">
        <f>VLOOKUP(A58,Insumos_Base!$A$3:$AL$56,HLOOKUP('1-ABA-DE-CARREGAMENTO'!$C$14,Insumos_Base!$A$1:$AL$2,2,0),0)</f>
        <v>0</v>
      </c>
      <c r="F58" s="508">
        <f>(D58*E58*G58)/('1-ABA-DE-CARREGAMENTO'!$C$92+'1-ABA-DE-CARREGAMENTO'!$D$92+'1-ABA-DE-CARREGAMENTO'!$E$92)/G58</f>
        <v>0</v>
      </c>
      <c r="G58" s="509">
        <f>VLOOKUP(A58,Insumos_Base!$A$3:$AL$56,HLOOKUP('1-ABA-DE-CARREGAMENTO'!$C$14,Insumos_Base!$A$1:$AL$2,2,0)+2,0)</f>
        <v>6</v>
      </c>
      <c r="H58" s="510">
        <f>VLOOKUP(A58,Insumos_Base!$A$3:$AL$56,HLOOKUP('1-ABA-DE-CARREGAMENTO'!$C$14,Insumos_Base!$A$1:$AL$2,2,0)+1,0)</f>
        <v>12</v>
      </c>
      <c r="I58" s="510" t="s">
        <v>340</v>
      </c>
    </row>
    <row r="59" spans="1:9" ht="15.75" customHeight="1">
      <c r="A59" s="511">
        <v>53</v>
      </c>
      <c r="B59" s="496" t="s">
        <v>402</v>
      </c>
      <c r="C59" s="516" t="s">
        <v>342</v>
      </c>
      <c r="D59" s="498">
        <v>516.51</v>
      </c>
      <c r="E59" s="499">
        <f>VLOOKUP(A59,Insumos_Base!$A$3:$AL$56,HLOOKUP('1-ABA-DE-CARREGAMENTO'!$C$14,Insumos_Base!$A$1:$AL$2,2,0),0)</f>
        <v>0</v>
      </c>
      <c r="F59" s="500">
        <f>(D59*E59*G59)/('1-ABA-DE-CARREGAMENTO'!$C$92+'1-ABA-DE-CARREGAMENTO'!$D$92+'1-ABA-DE-CARREGAMENTO'!$E$92)/G59</f>
        <v>0</v>
      </c>
      <c r="G59" s="501">
        <f>VLOOKUP(A59,Insumos_Base!$A$3:$AL$56,HLOOKUP('1-ABA-DE-CARREGAMENTO'!$C$14,Insumos_Base!$A$1:$AL$2,2,0)+2,0)</f>
        <v>6</v>
      </c>
      <c r="H59" s="502">
        <f>VLOOKUP(A59,Insumos_Base!$A$3:$AL$56,HLOOKUP('1-ABA-DE-CARREGAMENTO'!$C$14,Insumos_Base!$A$1:$AL$2,2,0)+1,0)</f>
        <v>12</v>
      </c>
      <c r="I59" s="502" t="s">
        <v>340</v>
      </c>
    </row>
    <row r="60" spans="1:9" ht="15.75" customHeight="1">
      <c r="A60" s="503">
        <v>54</v>
      </c>
      <c r="B60" s="504" t="s">
        <v>403</v>
      </c>
      <c r="C60" s="515" t="s">
        <v>339</v>
      </c>
      <c r="D60" s="506">
        <v>101.35</v>
      </c>
      <c r="E60" s="507">
        <f>VLOOKUP(A60,Insumos_Base!$A$3:$AL$56,HLOOKUP('1-ABA-DE-CARREGAMENTO'!$C$14,Insumos_Base!$A$1:$AL$2,2,0),0)</f>
        <v>0</v>
      </c>
      <c r="F60" s="508">
        <f>(D60*E60*G60)/('1-ABA-DE-CARREGAMENTO'!$C$92+'1-ABA-DE-CARREGAMENTO'!$D$92+'1-ABA-DE-CARREGAMENTO'!$E$92)/G60</f>
        <v>0</v>
      </c>
      <c r="G60" s="509">
        <f>VLOOKUP(A60,Insumos_Base!$A$3:$AL$56,HLOOKUP('1-ABA-DE-CARREGAMENTO'!$C$14,Insumos_Base!$A$1:$AL$2,2,0)+2,0)</f>
        <v>6</v>
      </c>
      <c r="H60" s="510">
        <f>VLOOKUP(A60,Insumos_Base!$A$3:$AL$56,HLOOKUP('1-ABA-DE-CARREGAMENTO'!$C$14,Insumos_Base!$A$1:$AL$2,2,0)+1,0)</f>
        <v>12</v>
      </c>
      <c r="I60" s="510" t="s">
        <v>340</v>
      </c>
    </row>
    <row r="61" spans="1:9" ht="15.75" customHeight="1">
      <c r="A61" s="931" t="s">
        <v>404</v>
      </c>
      <c r="B61" s="938"/>
      <c r="C61" s="933">
        <f>SUM(F7:F60)</f>
        <v>406.8300000000001</v>
      </c>
      <c r="D61" s="939"/>
      <c r="E61" s="939"/>
      <c r="F61" s="939"/>
      <c r="G61" s="939"/>
      <c r="H61" s="939"/>
      <c r="I61" s="938"/>
    </row>
    <row r="62" spans="1:9" ht="15.7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.75" customHeight="1">
      <c r="A63" s="936" t="s">
        <v>405</v>
      </c>
      <c r="B63" s="884"/>
      <c r="C63" s="884"/>
      <c r="D63" s="884"/>
      <c r="E63" s="884"/>
      <c r="F63" s="884"/>
      <c r="G63" s="884"/>
      <c r="H63" s="885"/>
      <c r="I63" s="517"/>
    </row>
    <row r="64" spans="1:9" ht="15.75" customHeight="1">
      <c r="A64" s="928" t="s">
        <v>406</v>
      </c>
      <c r="B64" s="884"/>
      <c r="C64" s="884"/>
      <c r="D64" s="884"/>
      <c r="E64" s="884"/>
      <c r="F64" s="884"/>
      <c r="G64" s="884"/>
      <c r="H64" s="884"/>
      <c r="I64" s="518"/>
    </row>
    <row r="65" spans="1:9" ht="15.75" customHeight="1">
      <c r="A65" s="519" t="s">
        <v>330</v>
      </c>
      <c r="B65" s="492" t="s">
        <v>331</v>
      </c>
      <c r="C65" s="492" t="s">
        <v>332</v>
      </c>
      <c r="D65" s="493" t="s">
        <v>333</v>
      </c>
      <c r="E65" s="520" t="s">
        <v>407</v>
      </c>
      <c r="F65" s="494" t="s">
        <v>335</v>
      </c>
      <c r="G65" s="929" t="s">
        <v>337</v>
      </c>
      <c r="H65" s="930"/>
      <c r="I65" s="521"/>
    </row>
    <row r="66" spans="1:9" ht="15.75" customHeight="1">
      <c r="A66" s="522">
        <v>1</v>
      </c>
      <c r="B66" s="523" t="s">
        <v>408</v>
      </c>
      <c r="C66" s="524" t="s">
        <v>339</v>
      </c>
      <c r="D66" s="498">
        <v>289.12</v>
      </c>
      <c r="E66" s="499">
        <f>VLOOKUP(A66,Insumos_Base!$A$64:$S$89,HLOOKUP('1-ABA-DE-CARREGAMENTO'!$C$14,Insumos_Base!$A$62:$S$63,2,0),0)</f>
        <v>0</v>
      </c>
      <c r="F66" s="525">
        <f>(D66*E66)/('1-ABA-DE-CARREGAMENTO'!$C$92+'1-ABA-DE-CARREGAMENTO'!$D$92+'1-ABA-DE-CARREGAMENTO'!$E$92)/G66</f>
        <v>0</v>
      </c>
      <c r="G66" s="502">
        <f>VLOOKUP(A66,Insumos_Base!$A$64:$S$89,6,0)</f>
        <v>60</v>
      </c>
      <c r="H66" s="526" t="s">
        <v>409</v>
      </c>
      <c r="I66" s="527"/>
    </row>
    <row r="67" spans="1:9" ht="15.75" customHeight="1">
      <c r="A67" s="528">
        <v>2</v>
      </c>
      <c r="B67" s="529" t="s">
        <v>410</v>
      </c>
      <c r="C67" s="530" t="s">
        <v>411</v>
      </c>
      <c r="D67" s="506">
        <v>89.77</v>
      </c>
      <c r="E67" s="507">
        <f>VLOOKUP(A67,Insumos_Base!$A$64:$S$89,HLOOKUP('1-ABA-DE-CARREGAMENTO'!$C$14,Insumos_Base!$A$62:$S$63,2,0),0)</f>
        <v>0</v>
      </c>
      <c r="F67" s="531">
        <f>(D67*E67)/('1-ABA-DE-CARREGAMENTO'!$C$92+'1-ABA-DE-CARREGAMENTO'!$D$92+'1-ABA-DE-CARREGAMENTO'!$E$92)/G67</f>
        <v>0</v>
      </c>
      <c r="G67" s="510">
        <f>VLOOKUP(A67,Insumos_Base!$A$64:$S$89,6,0)</f>
        <v>60</v>
      </c>
      <c r="H67" s="514" t="s">
        <v>409</v>
      </c>
      <c r="I67" s="527"/>
    </row>
    <row r="68" spans="1:9" ht="15.75" customHeight="1">
      <c r="A68" s="522">
        <v>3</v>
      </c>
      <c r="B68" s="532" t="s">
        <v>412</v>
      </c>
      <c r="C68" s="524" t="s">
        <v>339</v>
      </c>
      <c r="D68" s="498">
        <v>587.46</v>
      </c>
      <c r="E68" s="499">
        <f>VLOOKUP(A68,Insumos_Base!$A$64:$S$89,HLOOKUP('1-ABA-DE-CARREGAMENTO'!$C$14,Insumos_Base!$A$62:$S$63,2,0),0)</f>
        <v>0</v>
      </c>
      <c r="F68" s="525">
        <f>(D68*E68)/('1-ABA-DE-CARREGAMENTO'!$C$92+'1-ABA-DE-CARREGAMENTO'!$D$92+'1-ABA-DE-CARREGAMENTO'!$E$92)/G68</f>
        <v>0</v>
      </c>
      <c r="G68" s="502">
        <f>VLOOKUP(A68,Insumos_Base!$A$64:$S$89,6,0)</f>
        <v>60</v>
      </c>
      <c r="H68" s="526" t="s">
        <v>409</v>
      </c>
      <c r="I68" s="527"/>
    </row>
    <row r="69" spans="1:9" ht="15.75" customHeight="1">
      <c r="A69" s="528">
        <v>4</v>
      </c>
      <c r="B69" s="533" t="s">
        <v>413</v>
      </c>
      <c r="C69" s="530" t="s">
        <v>339</v>
      </c>
      <c r="D69" s="506">
        <v>696.69</v>
      </c>
      <c r="E69" s="507">
        <f>VLOOKUP(A69,Insumos_Base!$A$64:$S$89,HLOOKUP('1-ABA-DE-CARREGAMENTO'!$C$14,Insumos_Base!$A$62:$S$63,2,0),0)</f>
        <v>0</v>
      </c>
      <c r="F69" s="531">
        <f>(D69*E69)/('1-ABA-DE-CARREGAMENTO'!$C$92+'1-ABA-DE-CARREGAMENTO'!$D$92+'1-ABA-DE-CARREGAMENTO'!$E$92)/G69</f>
        <v>0</v>
      </c>
      <c r="G69" s="510">
        <f>VLOOKUP(A69,Insumos_Base!$A$64:$S$89,6,0)</f>
        <v>60</v>
      </c>
      <c r="H69" s="514" t="s">
        <v>409</v>
      </c>
      <c r="I69" s="527"/>
    </row>
    <row r="70" spans="1:9" ht="15.75" customHeight="1">
      <c r="A70" s="522">
        <v>5</v>
      </c>
      <c r="B70" s="523" t="s">
        <v>414</v>
      </c>
      <c r="C70" s="524" t="s">
        <v>339</v>
      </c>
      <c r="D70" s="498">
        <v>301.88</v>
      </c>
      <c r="E70" s="499">
        <f>VLOOKUP(A70,Insumos_Base!$A$64:$S$89,HLOOKUP('1-ABA-DE-CARREGAMENTO'!$C$14,Insumos_Base!$A$62:$S$63,2,0),0)</f>
        <v>0</v>
      </c>
      <c r="F70" s="525">
        <f>(D70*E70)/('1-ABA-DE-CARREGAMENTO'!$C$92+'1-ABA-DE-CARREGAMENTO'!$D$92+'1-ABA-DE-CARREGAMENTO'!$E$92)/G70</f>
        <v>0</v>
      </c>
      <c r="G70" s="502">
        <f>VLOOKUP(A70,Insumos_Base!$A$64:$S$89,6,0)</f>
        <v>60</v>
      </c>
      <c r="H70" s="526" t="s">
        <v>409</v>
      </c>
      <c r="I70" s="527"/>
    </row>
    <row r="71" spans="1:9" ht="15.75" customHeight="1">
      <c r="A71" s="528">
        <v>6</v>
      </c>
      <c r="B71" s="533" t="s">
        <v>415</v>
      </c>
      <c r="C71" s="530" t="s">
        <v>339</v>
      </c>
      <c r="D71" s="506">
        <v>11.28</v>
      </c>
      <c r="E71" s="507">
        <f>VLOOKUP(A71,Insumos_Base!$A$64:$S$89,HLOOKUP('1-ABA-DE-CARREGAMENTO'!$C$14,Insumos_Base!$A$62:$S$63,2,0),0)</f>
        <v>0</v>
      </c>
      <c r="F71" s="531">
        <f>(D71*E71)/('1-ABA-DE-CARREGAMENTO'!$C$92+'1-ABA-DE-CARREGAMENTO'!$D$92+'1-ABA-DE-CARREGAMENTO'!$E$92)/G71</f>
        <v>0</v>
      </c>
      <c r="G71" s="510">
        <f>VLOOKUP(A71,Insumos_Base!$A$64:$S$89,6,0)</f>
        <v>60</v>
      </c>
      <c r="H71" s="514" t="s">
        <v>409</v>
      </c>
      <c r="I71" s="527"/>
    </row>
    <row r="72" spans="1:9" ht="15.75" customHeight="1">
      <c r="A72" s="522">
        <v>7</v>
      </c>
      <c r="B72" s="532" t="s">
        <v>416</v>
      </c>
      <c r="C72" s="524" t="s">
        <v>385</v>
      </c>
      <c r="D72" s="498">
        <v>27.13</v>
      </c>
      <c r="E72" s="499">
        <f>VLOOKUP(A72,Insumos_Base!$A$64:$S$89,HLOOKUP('1-ABA-DE-CARREGAMENTO'!$C$14,Insumos_Base!$A$62:$S$63,2,0),0)</f>
        <v>0</v>
      </c>
      <c r="F72" s="525">
        <f>(D72*E72)/('1-ABA-DE-CARREGAMENTO'!$C$92+'1-ABA-DE-CARREGAMENTO'!$D$92+'1-ABA-DE-CARREGAMENTO'!$E$92)/G72</f>
        <v>0</v>
      </c>
      <c r="G72" s="502">
        <f>VLOOKUP(A72,Insumos_Base!$A$64:$S$89,6,0)</f>
        <v>60</v>
      </c>
      <c r="H72" s="526" t="s">
        <v>409</v>
      </c>
      <c r="I72" s="527"/>
    </row>
    <row r="73" spans="1:9" ht="15.75" customHeight="1">
      <c r="A73" s="528">
        <v>8</v>
      </c>
      <c r="B73" s="533" t="s">
        <v>417</v>
      </c>
      <c r="C73" s="530" t="s">
        <v>339</v>
      </c>
      <c r="D73" s="506">
        <v>3.33</v>
      </c>
      <c r="E73" s="507">
        <f>VLOOKUP(A73,Insumos_Base!$A$64:$S$89,HLOOKUP('1-ABA-DE-CARREGAMENTO'!$C$14,Insumos_Base!$A$62:$S$63,2,0),0)</f>
        <v>0</v>
      </c>
      <c r="F73" s="531">
        <f>(D73*E73)/('1-ABA-DE-CARREGAMENTO'!$C$92+'1-ABA-DE-CARREGAMENTO'!$D$92+'1-ABA-DE-CARREGAMENTO'!$E$92)/G73</f>
        <v>0</v>
      </c>
      <c r="G73" s="510">
        <f>VLOOKUP(A73,Insumos_Base!$A$64:$S$89,6,0)</f>
        <v>60</v>
      </c>
      <c r="H73" s="514" t="s">
        <v>409</v>
      </c>
      <c r="I73" s="527"/>
    </row>
    <row r="74" spans="1:9" ht="15.75" customHeight="1">
      <c r="A74" s="522">
        <v>9</v>
      </c>
      <c r="B74" s="532" t="s">
        <v>418</v>
      </c>
      <c r="C74" s="524" t="s">
        <v>339</v>
      </c>
      <c r="D74" s="498">
        <v>6.88</v>
      </c>
      <c r="E74" s="499">
        <f>VLOOKUP(A74,Insumos_Base!$A$64:$S$89,HLOOKUP('1-ABA-DE-CARREGAMENTO'!$C$14,Insumos_Base!$A$62:$S$63,2,0),0)</f>
        <v>0</v>
      </c>
      <c r="F74" s="525">
        <f>(D74*E74)/('1-ABA-DE-CARREGAMENTO'!$C$92+'1-ABA-DE-CARREGAMENTO'!$D$92+'1-ABA-DE-CARREGAMENTO'!$E$92)/G74</f>
        <v>0</v>
      </c>
      <c r="G74" s="502">
        <f>VLOOKUP(A74,Insumos_Base!$A$64:$S$89,6,0)</f>
        <v>60</v>
      </c>
      <c r="H74" s="526" t="s">
        <v>409</v>
      </c>
      <c r="I74" s="527"/>
    </row>
    <row r="75" spans="1:9" ht="15.75" customHeight="1">
      <c r="A75" s="528">
        <v>10</v>
      </c>
      <c r="B75" s="533" t="s">
        <v>419</v>
      </c>
      <c r="C75" s="530" t="s">
        <v>339</v>
      </c>
      <c r="D75" s="506">
        <v>1090.07</v>
      </c>
      <c r="E75" s="507">
        <f>VLOOKUP(A75,Insumos_Base!$A$64:$S$89,HLOOKUP('1-ABA-DE-CARREGAMENTO'!$C$14,Insumos_Base!$A$62:$S$63,2,0),0)</f>
        <v>0</v>
      </c>
      <c r="F75" s="531">
        <f>(D75*E75)/('1-ABA-DE-CARREGAMENTO'!$C$92+'1-ABA-DE-CARREGAMENTO'!$D$92+'1-ABA-DE-CARREGAMENTO'!$E$92)/G75</f>
        <v>0</v>
      </c>
      <c r="G75" s="510">
        <f>VLOOKUP(A75,Insumos_Base!$A$64:$S$89,6,0)</f>
        <v>60</v>
      </c>
      <c r="H75" s="514" t="s">
        <v>409</v>
      </c>
      <c r="I75" s="527"/>
    </row>
    <row r="76" spans="1:9" ht="15.75" customHeight="1">
      <c r="A76" s="522">
        <v>11</v>
      </c>
      <c r="B76" s="532" t="s">
        <v>420</v>
      </c>
      <c r="C76" s="524" t="s">
        <v>339</v>
      </c>
      <c r="D76" s="498">
        <v>1047.9100000000001</v>
      </c>
      <c r="E76" s="499">
        <f>VLOOKUP(A76,Insumos_Base!$A$64:$S$89,HLOOKUP('1-ABA-DE-CARREGAMENTO'!$C$14,Insumos_Base!$A$62:$S$63,2,0),0)</f>
        <v>0</v>
      </c>
      <c r="F76" s="525">
        <f>(D76*E76)/('1-ABA-DE-CARREGAMENTO'!$C$92+'1-ABA-DE-CARREGAMENTO'!$D$92+'1-ABA-DE-CARREGAMENTO'!$E$92)/G76</f>
        <v>0</v>
      </c>
      <c r="G76" s="502">
        <f>VLOOKUP(A76,Insumos_Base!$A$64:$S$89,6,0)</f>
        <v>60</v>
      </c>
      <c r="H76" s="526" t="s">
        <v>409</v>
      </c>
      <c r="I76" s="527"/>
    </row>
    <row r="77" spans="1:9" ht="15.75" customHeight="1">
      <c r="A77" s="528">
        <v>12</v>
      </c>
      <c r="B77" s="534" t="s">
        <v>421</v>
      </c>
      <c r="C77" s="530" t="s">
        <v>339</v>
      </c>
      <c r="D77" s="506">
        <v>851.56</v>
      </c>
      <c r="E77" s="507">
        <f>VLOOKUP(A77,Insumos_Base!$A$64:$S$89,HLOOKUP('1-ABA-DE-CARREGAMENTO'!$C$14,Insumos_Base!$A$62:$S$63,2,0),0)</f>
        <v>0</v>
      </c>
      <c r="F77" s="531">
        <f>(D77*E77)/('1-ABA-DE-CARREGAMENTO'!$C$92+'1-ABA-DE-CARREGAMENTO'!$D$92+'1-ABA-DE-CARREGAMENTO'!$E$92)/G77</f>
        <v>0</v>
      </c>
      <c r="G77" s="510">
        <f>VLOOKUP(A77,Insumos_Base!$A$64:$S$89,6,0)</f>
        <v>60</v>
      </c>
      <c r="H77" s="514" t="s">
        <v>409</v>
      </c>
      <c r="I77" s="527"/>
    </row>
    <row r="78" spans="1:9" ht="15.75" customHeight="1">
      <c r="A78" s="522">
        <v>13</v>
      </c>
      <c r="B78" s="523" t="s">
        <v>422</v>
      </c>
      <c r="C78" s="524" t="s">
        <v>339</v>
      </c>
      <c r="D78" s="498">
        <v>691.12</v>
      </c>
      <c r="E78" s="499">
        <f>VLOOKUP(A78,Insumos_Base!$A$64:$S$89,HLOOKUP('1-ABA-DE-CARREGAMENTO'!$C$14,Insumos_Base!$A$62:$S$63,2,0),0)</f>
        <v>0</v>
      </c>
      <c r="F78" s="525">
        <f>(D78*E78)/('1-ABA-DE-CARREGAMENTO'!$C$92+'1-ABA-DE-CARREGAMENTO'!$D$92+'1-ABA-DE-CARREGAMENTO'!$E$92)/G78</f>
        <v>0</v>
      </c>
      <c r="G78" s="502">
        <f>VLOOKUP(A78,Insumos_Base!$A$64:$S$89,6,0)</f>
        <v>60</v>
      </c>
      <c r="H78" s="526" t="s">
        <v>409</v>
      </c>
      <c r="I78" s="527"/>
    </row>
    <row r="79" spans="1:9" ht="15.75" customHeight="1">
      <c r="A79" s="528">
        <v>14</v>
      </c>
      <c r="B79" s="533" t="s">
        <v>423</v>
      </c>
      <c r="C79" s="530" t="s">
        <v>339</v>
      </c>
      <c r="D79" s="506">
        <v>188.87</v>
      </c>
      <c r="E79" s="507">
        <f>VLOOKUP(A79,Insumos_Base!$A$64:$S$89,HLOOKUP('1-ABA-DE-CARREGAMENTO'!$C$14,Insumos_Base!$A$62:$S$63,2,0),0)</f>
        <v>0</v>
      </c>
      <c r="F79" s="531">
        <f>(D79*E79)/('1-ABA-DE-CARREGAMENTO'!$C$92+'1-ABA-DE-CARREGAMENTO'!$D$92+'1-ABA-DE-CARREGAMENTO'!$E$92)/G79</f>
        <v>0</v>
      </c>
      <c r="G79" s="510">
        <f>VLOOKUP(A79,Insumos_Base!$A$64:$S$89,6,0)</f>
        <v>60</v>
      </c>
      <c r="H79" s="514" t="s">
        <v>409</v>
      </c>
      <c r="I79" s="527"/>
    </row>
    <row r="80" spans="1:9" ht="15.75" customHeight="1">
      <c r="A80" s="522">
        <v>15</v>
      </c>
      <c r="B80" s="523" t="s">
        <v>424</v>
      </c>
      <c r="C80" s="524" t="s">
        <v>339</v>
      </c>
      <c r="D80" s="498">
        <v>938.33</v>
      </c>
      <c r="E80" s="499">
        <f>VLOOKUP(A80,Insumos_Base!$A$64:$S$89,HLOOKUP('1-ABA-DE-CARREGAMENTO'!$C$14,Insumos_Base!$A$62:$S$63,2,0),0)</f>
        <v>0</v>
      </c>
      <c r="F80" s="525">
        <f>(D80*E80)/('1-ABA-DE-CARREGAMENTO'!$C$92+'1-ABA-DE-CARREGAMENTO'!$D$92+'1-ABA-DE-CARREGAMENTO'!$E$92)/G80</f>
        <v>0</v>
      </c>
      <c r="G80" s="502">
        <f>VLOOKUP(A80,Insumos_Base!$A$64:$S$89,6,0)</f>
        <v>60</v>
      </c>
      <c r="H80" s="526" t="s">
        <v>409</v>
      </c>
      <c r="I80" s="527"/>
    </row>
    <row r="81" spans="1:9" ht="15.75" customHeight="1">
      <c r="A81" s="528">
        <v>16</v>
      </c>
      <c r="B81" s="535" t="s">
        <v>425</v>
      </c>
      <c r="C81" s="530" t="s">
        <v>339</v>
      </c>
      <c r="D81" s="506">
        <v>49.85</v>
      </c>
      <c r="E81" s="507">
        <f>VLOOKUP(A81,Insumos_Base!$A$64:$S$89,HLOOKUP('1-ABA-DE-CARREGAMENTO'!$C$14,Insumos_Base!$A$62:$S$63,2,0),0)</f>
        <v>0</v>
      </c>
      <c r="F81" s="531">
        <f>(D81*E81)/('1-ABA-DE-CARREGAMENTO'!$C$92+'1-ABA-DE-CARREGAMENTO'!$D$92+'1-ABA-DE-CARREGAMENTO'!$E$92)/G81</f>
        <v>0</v>
      </c>
      <c r="G81" s="510">
        <f>VLOOKUP(A81,Insumos_Base!$A$64:$S$89,6,0)</f>
        <v>60</v>
      </c>
      <c r="H81" s="514" t="s">
        <v>409</v>
      </c>
      <c r="I81" s="527"/>
    </row>
    <row r="82" spans="1:9" ht="15.75" customHeight="1">
      <c r="A82" s="522">
        <v>17</v>
      </c>
      <c r="B82" s="532" t="s">
        <v>426</v>
      </c>
      <c r="C82" s="524" t="s">
        <v>339</v>
      </c>
      <c r="D82" s="498">
        <v>993.01</v>
      </c>
      <c r="E82" s="499">
        <f>VLOOKUP(A82,Insumos_Base!$A$64:$S$89,HLOOKUP('1-ABA-DE-CARREGAMENTO'!$C$14,Insumos_Base!$A$62:$S$63,2,0),0)</f>
        <v>0</v>
      </c>
      <c r="F82" s="525">
        <f>(D82*E82)/('1-ABA-DE-CARREGAMENTO'!$C$92+'1-ABA-DE-CARREGAMENTO'!$D$92+'1-ABA-DE-CARREGAMENTO'!$E$92)/G82</f>
        <v>0</v>
      </c>
      <c r="G82" s="502">
        <f>VLOOKUP(A82,Insumos_Base!$A$64:$S$89,6,0)</f>
        <v>60</v>
      </c>
      <c r="H82" s="526" t="s">
        <v>409</v>
      </c>
      <c r="I82" s="527"/>
    </row>
    <row r="83" spans="1:9" ht="15.75" customHeight="1">
      <c r="A83" s="528">
        <v>18</v>
      </c>
      <c r="B83" s="529" t="s">
        <v>427</v>
      </c>
      <c r="C83" s="530" t="s">
        <v>339</v>
      </c>
      <c r="D83" s="506">
        <v>2136.1999999999998</v>
      </c>
      <c r="E83" s="507">
        <f>VLOOKUP(A83,Insumos_Base!$A$64:$S$89,HLOOKUP('1-ABA-DE-CARREGAMENTO'!$C$14,Insumos_Base!$A$62:$S$63,2,0),0)</f>
        <v>0</v>
      </c>
      <c r="F83" s="531">
        <f>(D83*E83)/('1-ABA-DE-CARREGAMENTO'!$C$92+'1-ABA-DE-CARREGAMENTO'!$D$92+'1-ABA-DE-CARREGAMENTO'!$E$92)/G83</f>
        <v>0</v>
      </c>
      <c r="G83" s="510">
        <f>VLOOKUP(A83,Insumos_Base!$A$64:$S$89,6,0)</f>
        <v>60</v>
      </c>
      <c r="H83" s="514" t="s">
        <v>409</v>
      </c>
      <c r="I83" s="527"/>
    </row>
    <row r="84" spans="1:9" ht="15.75" customHeight="1">
      <c r="A84" s="522">
        <v>19</v>
      </c>
      <c r="B84" s="536" t="s">
        <v>428</v>
      </c>
      <c r="C84" s="524" t="s">
        <v>339</v>
      </c>
      <c r="D84" s="498">
        <v>607.5</v>
      </c>
      <c r="E84" s="499">
        <f>VLOOKUP(A84,Insumos_Base!$A$64:$S$89,HLOOKUP('1-ABA-DE-CARREGAMENTO'!$C$14,Insumos_Base!$A$62:$S$63,2,0),0)</f>
        <v>0</v>
      </c>
      <c r="F84" s="525">
        <f>(D84*E84)/('1-ABA-DE-CARREGAMENTO'!$C$92+'1-ABA-DE-CARREGAMENTO'!$D$92+'1-ABA-DE-CARREGAMENTO'!$E$92)/G84</f>
        <v>0</v>
      </c>
      <c r="G84" s="502">
        <f>VLOOKUP(A84,Insumos_Base!$A$64:$S$89,6,0)</f>
        <v>60</v>
      </c>
      <c r="H84" s="526" t="s">
        <v>409</v>
      </c>
      <c r="I84" s="527"/>
    </row>
    <row r="85" spans="1:9" ht="15.75" customHeight="1">
      <c r="A85" s="528">
        <v>20</v>
      </c>
      <c r="B85" s="534" t="s">
        <v>429</v>
      </c>
      <c r="C85" s="530" t="s">
        <v>339</v>
      </c>
      <c r="D85" s="506">
        <v>539.92999999999995</v>
      </c>
      <c r="E85" s="507">
        <f>VLOOKUP(A85,Insumos_Base!$A$64:$S$89,HLOOKUP('1-ABA-DE-CARREGAMENTO'!$C$14,Insumos_Base!$A$62:$S$63,2,0),0)</f>
        <v>0</v>
      </c>
      <c r="F85" s="531">
        <f>(D85*E85)/('1-ABA-DE-CARREGAMENTO'!$C$92+'1-ABA-DE-CARREGAMENTO'!$D$92+'1-ABA-DE-CARREGAMENTO'!$E$92)/G85</f>
        <v>0</v>
      </c>
      <c r="G85" s="510">
        <f>VLOOKUP(A85,Insumos_Base!$A$64:$S$89,6,0)</f>
        <v>60</v>
      </c>
      <c r="H85" s="514" t="s">
        <v>409</v>
      </c>
      <c r="I85" s="527"/>
    </row>
    <row r="86" spans="1:9" ht="15.75" customHeight="1">
      <c r="A86" s="522">
        <v>21</v>
      </c>
      <c r="B86" s="537" t="s">
        <v>430</v>
      </c>
      <c r="C86" s="524" t="s">
        <v>339</v>
      </c>
      <c r="D86" s="498">
        <v>820.83</v>
      </c>
      <c r="E86" s="499">
        <f>VLOOKUP(A86,Insumos_Base!$A$64:$S$89,HLOOKUP('1-ABA-DE-CARREGAMENTO'!$C$14,Insumos_Base!$A$62:$S$63,2,0),0)</f>
        <v>0</v>
      </c>
      <c r="F86" s="525">
        <f>(D86*E86)/('1-ABA-DE-CARREGAMENTO'!$C$92+'1-ABA-DE-CARREGAMENTO'!$D$92+'1-ABA-DE-CARREGAMENTO'!$E$92)/G86</f>
        <v>0</v>
      </c>
      <c r="G86" s="502">
        <f>VLOOKUP(A86,Insumos_Base!$A$64:$S$89,6,0)</f>
        <v>60</v>
      </c>
      <c r="H86" s="526" t="s">
        <v>409</v>
      </c>
      <c r="I86" s="527"/>
    </row>
    <row r="87" spans="1:9" ht="15.75" customHeight="1">
      <c r="A87" s="528">
        <v>22</v>
      </c>
      <c r="B87" s="534" t="s">
        <v>431</v>
      </c>
      <c r="C87" s="530" t="s">
        <v>339</v>
      </c>
      <c r="D87" s="506">
        <v>1857.31</v>
      </c>
      <c r="E87" s="507">
        <f>VLOOKUP(A87,Insumos_Base!$A$64:$S$89,HLOOKUP('1-ABA-DE-CARREGAMENTO'!$C$14,Insumos_Base!$A$62:$S$63,2,0),0)</f>
        <v>0</v>
      </c>
      <c r="F87" s="531">
        <f>(D87*E87)/('1-ABA-DE-CARREGAMENTO'!$C$92+'1-ABA-DE-CARREGAMENTO'!$D$92+'1-ABA-DE-CARREGAMENTO'!$E$92)/G87</f>
        <v>0</v>
      </c>
      <c r="G87" s="510">
        <f>VLOOKUP(A87,Insumos_Base!$A$64:$S$89,6,0)</f>
        <v>60</v>
      </c>
      <c r="H87" s="514" t="s">
        <v>409</v>
      </c>
      <c r="I87" s="527"/>
    </row>
    <row r="88" spans="1:9" ht="15.75" customHeight="1">
      <c r="A88" s="522">
        <v>23</v>
      </c>
      <c r="B88" s="538" t="s">
        <v>432</v>
      </c>
      <c r="C88" s="524" t="s">
        <v>339</v>
      </c>
      <c r="D88" s="498">
        <v>1396.25</v>
      </c>
      <c r="E88" s="499">
        <f>VLOOKUP(A88,Insumos_Base!$A$64:$S$89,HLOOKUP('1-ABA-DE-CARREGAMENTO'!$C$14,Insumos_Base!$A$62:$S$63,2,0),0)</f>
        <v>0</v>
      </c>
      <c r="F88" s="525">
        <f>(D88*E88)/('1-ABA-DE-CARREGAMENTO'!$C$92+'1-ABA-DE-CARREGAMENTO'!$D$92+'1-ABA-DE-CARREGAMENTO'!$E$92)/G88</f>
        <v>0</v>
      </c>
      <c r="G88" s="502">
        <f>VLOOKUP(A88,Insumos_Base!$A$64:$S$89,6,0)</f>
        <v>60</v>
      </c>
      <c r="H88" s="526" t="s">
        <v>409</v>
      </c>
      <c r="I88" s="527"/>
    </row>
    <row r="89" spans="1:9" ht="15.75" customHeight="1">
      <c r="A89" s="528">
        <v>24</v>
      </c>
      <c r="B89" s="539" t="s">
        <v>433</v>
      </c>
      <c r="C89" s="540" t="s">
        <v>434</v>
      </c>
      <c r="D89" s="506">
        <v>236.82</v>
      </c>
      <c r="E89" s="507">
        <f>VLOOKUP(A89,Insumos_Base!$A$64:$S$89,HLOOKUP('1-ABA-DE-CARREGAMENTO'!$C$14,Insumos_Base!$A$62:$S$63,2,0),0)</f>
        <v>0</v>
      </c>
      <c r="F89" s="531">
        <f>(D89*E89)/('1-ABA-DE-CARREGAMENTO'!$C$92+'1-ABA-DE-CARREGAMENTO'!$D$92+'1-ABA-DE-CARREGAMENTO'!$E$92)/G89</f>
        <v>0</v>
      </c>
      <c r="G89" s="510">
        <f>VLOOKUP(A89,Insumos_Base!$A$64:$S$89,6,0)</f>
        <v>60</v>
      </c>
      <c r="H89" s="514" t="s">
        <v>409</v>
      </c>
      <c r="I89" s="527"/>
    </row>
    <row r="90" spans="1:9" ht="15.75" customHeight="1">
      <c r="A90" s="522">
        <v>25</v>
      </c>
      <c r="B90" s="536" t="s">
        <v>435</v>
      </c>
      <c r="C90" s="541" t="s">
        <v>434</v>
      </c>
      <c r="D90" s="498">
        <v>1036.9000000000001</v>
      </c>
      <c r="E90" s="499">
        <f>VLOOKUP(A90,Insumos_Base!$A$64:$S$89,HLOOKUP('1-ABA-DE-CARREGAMENTO'!$C$14,Insumos_Base!$A$62:$S$63,2,0),0)</f>
        <v>0</v>
      </c>
      <c r="F90" s="525">
        <f>(D90*E90)/('1-ABA-DE-CARREGAMENTO'!$C$92+'1-ABA-DE-CARREGAMENTO'!$D$92+'1-ABA-DE-CARREGAMENTO'!$E$92)/G90</f>
        <v>0</v>
      </c>
      <c r="G90" s="502">
        <f>VLOOKUP(A90,Insumos_Base!$A$64:$S$89,6,0)</f>
        <v>60</v>
      </c>
      <c r="H90" s="526" t="s">
        <v>409</v>
      </c>
      <c r="I90" s="527"/>
    </row>
    <row r="91" spans="1:9" ht="15.75" customHeight="1">
      <c r="A91" s="931" t="s">
        <v>404</v>
      </c>
      <c r="B91" s="932"/>
      <c r="C91" s="933">
        <f>SUM(F66:F90)</f>
        <v>0</v>
      </c>
      <c r="D91" s="934"/>
      <c r="E91" s="934"/>
      <c r="F91" s="934"/>
      <c r="G91" s="934"/>
      <c r="H91" s="932"/>
      <c r="I91" s="542"/>
    </row>
    <row r="92" spans="1:9" ht="15.75" customHeight="1">
      <c r="A92" s="543"/>
      <c r="B92" s="543"/>
      <c r="C92" s="544"/>
      <c r="D92" s="544"/>
      <c r="E92" s="544"/>
      <c r="F92" s="544"/>
      <c r="G92" s="544"/>
      <c r="H92" s="544"/>
      <c r="I92" s="1"/>
    </row>
    <row r="93" spans="1:9" ht="15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9" ht="15.75" customHeight="1">
      <c r="A94" s="1"/>
      <c r="B94" s="1"/>
      <c r="C94" s="1"/>
      <c r="D94" s="1"/>
      <c r="E94" s="1"/>
      <c r="F94" s="1"/>
      <c r="G94" s="1"/>
      <c r="H94" s="1"/>
      <c r="I94" s="1"/>
    </row>
    <row r="95" spans="1:9" ht="15.75" customHeight="1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customHeight="1">
      <c r="A986" s="1"/>
      <c r="B986" s="1"/>
      <c r="C986" s="1"/>
      <c r="D986" s="1"/>
      <c r="E986" s="1"/>
      <c r="F986" s="1"/>
      <c r="G986" s="1"/>
      <c r="H986" s="1"/>
      <c r="I986" s="1"/>
    </row>
  </sheetData>
  <mergeCells count="11">
    <mergeCell ref="A64:H64"/>
    <mergeCell ref="G65:H65"/>
    <mergeCell ref="A91:B91"/>
    <mergeCell ref="C91:H91"/>
    <mergeCell ref="B1:I1"/>
    <mergeCell ref="B4:I4"/>
    <mergeCell ref="A5:I5"/>
    <mergeCell ref="H6:I6"/>
    <mergeCell ref="A61:B61"/>
    <mergeCell ref="C61:I61"/>
    <mergeCell ref="A63:H63"/>
  </mergeCells>
  <printOptions horizontalCentered="1" verticalCentered="1"/>
  <pageMargins left="0.11811023622047245" right="0.11811023622047245" top="0.11811023622047245" bottom="0.11811023622047245" header="0" footer="0"/>
  <pageSetup scale="6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88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2" max="2" width="45.140625" customWidth="1"/>
    <col min="4" max="4" width="3.85546875" customWidth="1"/>
    <col min="5" max="6" width="5.28515625" customWidth="1"/>
    <col min="7" max="7" width="4" customWidth="1"/>
    <col min="8" max="9" width="5.28515625" customWidth="1"/>
    <col min="10" max="10" width="4.42578125" customWidth="1"/>
    <col min="11" max="12" width="5.28515625" customWidth="1"/>
    <col min="13" max="13" width="4" customWidth="1"/>
    <col min="14" max="15" width="5.28515625" customWidth="1"/>
    <col min="16" max="16" width="4" customWidth="1"/>
    <col min="17" max="18" width="3.42578125" customWidth="1"/>
    <col min="19" max="19" width="5.28515625" customWidth="1"/>
    <col min="20" max="21" width="3.42578125" customWidth="1"/>
    <col min="22" max="22" width="4" customWidth="1"/>
    <col min="23" max="24" width="5.28515625" customWidth="1"/>
    <col min="25" max="25" width="4" customWidth="1"/>
    <col min="26" max="27" width="4.140625" customWidth="1"/>
    <col min="28" max="28" width="5.28515625" customWidth="1"/>
    <col min="29" max="30" width="5.42578125" customWidth="1"/>
    <col min="31" max="31" width="6.140625" customWidth="1"/>
    <col min="32" max="33" width="5.28515625" customWidth="1"/>
    <col min="34" max="34" width="5.42578125" customWidth="1"/>
    <col min="35" max="36" width="6.7109375" customWidth="1"/>
  </cols>
  <sheetData>
    <row r="1" spans="1:39">
      <c r="B1" s="545" t="s">
        <v>436</v>
      </c>
      <c r="C1" s="546" t="s">
        <v>332</v>
      </c>
      <c r="D1" s="945" t="s">
        <v>65</v>
      </c>
      <c r="E1" s="884"/>
      <c r="F1" s="885"/>
      <c r="G1" s="947" t="s">
        <v>49</v>
      </c>
      <c r="H1" s="882"/>
      <c r="I1" s="882"/>
      <c r="J1" s="940" t="s">
        <v>32</v>
      </c>
      <c r="K1" s="941"/>
      <c r="L1" s="942"/>
      <c r="M1" s="948" t="s">
        <v>38</v>
      </c>
      <c r="N1" s="884"/>
      <c r="O1" s="885"/>
      <c r="P1" s="947" t="s">
        <v>43</v>
      </c>
      <c r="Q1" s="882"/>
      <c r="R1" s="882"/>
      <c r="S1" s="940" t="s">
        <v>196</v>
      </c>
      <c r="T1" s="941"/>
      <c r="U1" s="942"/>
      <c r="V1" s="943" t="s">
        <v>81</v>
      </c>
      <c r="W1" s="884"/>
      <c r="X1" s="885"/>
      <c r="Y1" s="944" t="s">
        <v>71</v>
      </c>
      <c r="Z1" s="884"/>
      <c r="AA1" s="885"/>
      <c r="AB1" s="547" t="s">
        <v>54</v>
      </c>
      <c r="AE1" s="548" t="s">
        <v>60</v>
      </c>
      <c r="AH1" s="548" t="s">
        <v>76</v>
      </c>
      <c r="AK1" s="548" t="s">
        <v>86</v>
      </c>
    </row>
    <row r="2" spans="1:39">
      <c r="A2" s="549">
        <v>1</v>
      </c>
      <c r="B2" s="550">
        <v>2</v>
      </c>
      <c r="C2" s="551">
        <v>3</v>
      </c>
      <c r="D2" s="552">
        <v>4</v>
      </c>
      <c r="E2" s="551">
        <v>5</v>
      </c>
      <c r="F2" s="551">
        <v>6</v>
      </c>
      <c r="G2" s="551">
        <v>7</v>
      </c>
      <c r="H2" s="551">
        <v>8</v>
      </c>
      <c r="I2" s="551">
        <v>9</v>
      </c>
      <c r="J2" s="551">
        <v>10</v>
      </c>
      <c r="K2" s="551">
        <v>11</v>
      </c>
      <c r="L2" s="551">
        <v>12</v>
      </c>
      <c r="M2" s="551">
        <v>13</v>
      </c>
      <c r="N2" s="551">
        <v>14</v>
      </c>
      <c r="O2" s="551">
        <v>15</v>
      </c>
      <c r="P2" s="551">
        <v>16</v>
      </c>
      <c r="Q2" s="551">
        <v>17</v>
      </c>
      <c r="R2" s="551">
        <v>18</v>
      </c>
      <c r="S2" s="551">
        <v>19</v>
      </c>
      <c r="T2" s="553">
        <v>20</v>
      </c>
      <c r="U2" s="553">
        <v>21</v>
      </c>
      <c r="V2" s="553">
        <v>22</v>
      </c>
      <c r="W2" s="554">
        <v>23</v>
      </c>
      <c r="X2" s="555">
        <v>24</v>
      </c>
      <c r="Y2" s="555">
        <v>25</v>
      </c>
      <c r="Z2" s="555">
        <v>26</v>
      </c>
      <c r="AA2" s="555">
        <v>27</v>
      </c>
      <c r="AB2" s="548">
        <v>28</v>
      </c>
      <c r="AC2" s="548">
        <v>29</v>
      </c>
      <c r="AD2" s="548">
        <v>30</v>
      </c>
      <c r="AE2" s="548">
        <v>31</v>
      </c>
      <c r="AF2" s="548">
        <v>32</v>
      </c>
      <c r="AG2" s="548">
        <v>33</v>
      </c>
      <c r="AH2" s="548">
        <v>34</v>
      </c>
      <c r="AI2" s="548">
        <v>35</v>
      </c>
      <c r="AJ2" s="548">
        <v>36</v>
      </c>
      <c r="AK2" s="548">
        <v>37</v>
      </c>
      <c r="AL2" s="548">
        <v>38</v>
      </c>
      <c r="AM2" s="548">
        <v>39</v>
      </c>
    </row>
    <row r="3" spans="1:39">
      <c r="A3" s="556">
        <v>1</v>
      </c>
      <c r="B3" s="557" t="s">
        <v>338</v>
      </c>
      <c r="C3" s="558" t="s">
        <v>339</v>
      </c>
      <c r="D3" s="551">
        <v>1</v>
      </c>
      <c r="E3" s="551">
        <v>12</v>
      </c>
      <c r="F3" s="559">
        <f>('1-ABA-DE-CARREGAMENTO'!$C$92+'1-ABA-DE-CARREGAMENTO'!$D$92+'1-ABA-DE-CARREGAMENTO'!$E$92)</f>
        <v>6</v>
      </c>
      <c r="G3" s="551">
        <v>1</v>
      </c>
      <c r="H3" s="551">
        <v>12</v>
      </c>
      <c r="I3" s="559">
        <f>('1-ABA-DE-CARREGAMENTO'!$C$92+'1-ABA-DE-CARREGAMENTO'!$D$92+'1-ABA-DE-CARREGAMENTO'!$E$92)</f>
        <v>6</v>
      </c>
      <c r="J3" s="551">
        <v>1</v>
      </c>
      <c r="K3" s="551">
        <v>12</v>
      </c>
      <c r="L3" s="559">
        <f>'1-ABA-DE-CARREGAMENTO'!$C$92+'1-ABA-DE-CARREGAMENTO'!$D$92+'1-ABA-DE-CARREGAMENTO'!$E$92</f>
        <v>6</v>
      </c>
      <c r="M3" s="551">
        <v>1</v>
      </c>
      <c r="N3" s="551">
        <v>12</v>
      </c>
      <c r="O3" s="559">
        <f>'1-ABA-DE-CARREGAMENTO'!$C$92+'1-ABA-DE-CARREGAMENTO'!$D$92+'1-ABA-DE-CARREGAMENTO'!$E$92</f>
        <v>6</v>
      </c>
      <c r="P3" s="551">
        <v>0</v>
      </c>
      <c r="Q3" s="551">
        <v>12</v>
      </c>
      <c r="R3" s="559">
        <f>'1-ABA-DE-CARREGAMENTO'!$C$92+'1-ABA-DE-CARREGAMENTO'!$D$92+'1-ABA-DE-CARREGAMENTO'!$E$92</f>
        <v>6</v>
      </c>
      <c r="S3" s="551">
        <v>1</v>
      </c>
      <c r="T3" s="551">
        <v>6</v>
      </c>
      <c r="U3" s="559">
        <f>'1-ABA-DE-CARREGAMENTO'!$C$92+'1-ABA-DE-CARREGAMENTO'!$D$92+'1-ABA-DE-CARREGAMENTO'!$E$92</f>
        <v>6</v>
      </c>
      <c r="V3" s="553">
        <v>1</v>
      </c>
      <c r="W3" s="553">
        <v>12</v>
      </c>
      <c r="X3" s="560">
        <f>'1-ABA-DE-CARREGAMENTO'!$C$92+'1-ABA-DE-CARREGAMENTO'!$D$92+'1-ABA-DE-CARREGAMENTO'!$E$92</f>
        <v>6</v>
      </c>
      <c r="Y3" s="554">
        <v>1</v>
      </c>
      <c r="Z3" s="555">
        <v>6</v>
      </c>
      <c r="AA3" s="561">
        <f>'1-ABA-DE-CARREGAMENTO'!$C$92+'1-ABA-DE-CARREGAMENTO'!$D$92+'1-ABA-DE-CARREGAMENTO'!$E$92</f>
        <v>6</v>
      </c>
      <c r="AB3" s="548">
        <v>0</v>
      </c>
      <c r="AC3" s="548">
        <v>12</v>
      </c>
      <c r="AD3" s="548">
        <v>1</v>
      </c>
      <c r="AE3" s="548">
        <v>0</v>
      </c>
      <c r="AF3" s="548">
        <v>12</v>
      </c>
      <c r="AG3" s="548">
        <v>1</v>
      </c>
      <c r="AH3" s="548">
        <v>0</v>
      </c>
      <c r="AI3" s="548">
        <v>12</v>
      </c>
      <c r="AJ3" s="548">
        <v>1</v>
      </c>
      <c r="AK3" s="548">
        <v>0</v>
      </c>
      <c r="AL3" s="548">
        <v>12</v>
      </c>
      <c r="AM3" s="548">
        <v>1</v>
      </c>
    </row>
    <row r="4" spans="1:39">
      <c r="A4" s="562">
        <v>2</v>
      </c>
      <c r="B4" s="563" t="s">
        <v>341</v>
      </c>
      <c r="C4" s="558" t="s">
        <v>342</v>
      </c>
      <c r="D4" s="551">
        <v>1</v>
      </c>
      <c r="E4" s="551">
        <v>12</v>
      </c>
      <c r="F4" s="559">
        <f>('1-ABA-DE-CARREGAMENTO'!$C$92+'1-ABA-DE-CARREGAMENTO'!$D$92+'1-ABA-DE-CARREGAMENTO'!$E$92)</f>
        <v>6</v>
      </c>
      <c r="G4" s="551">
        <v>1</v>
      </c>
      <c r="H4" s="551">
        <v>12</v>
      </c>
      <c r="I4" s="559">
        <f>('1-ABA-DE-CARREGAMENTO'!$C$92+'1-ABA-DE-CARREGAMENTO'!$D$92+'1-ABA-DE-CARREGAMENTO'!$E$92)</f>
        <v>6</v>
      </c>
      <c r="J4" s="551">
        <v>1</v>
      </c>
      <c r="K4" s="551">
        <v>12</v>
      </c>
      <c r="L4" s="559">
        <f>'1-ABA-DE-CARREGAMENTO'!$C$92+'1-ABA-DE-CARREGAMENTO'!$D$92+'1-ABA-DE-CARREGAMENTO'!$E$92</f>
        <v>6</v>
      </c>
      <c r="M4" s="551">
        <v>1</v>
      </c>
      <c r="N4" s="551">
        <v>12</v>
      </c>
      <c r="O4" s="559">
        <f>'1-ABA-DE-CARREGAMENTO'!$C$92+'1-ABA-DE-CARREGAMENTO'!$D$92+'1-ABA-DE-CARREGAMENTO'!$E$92</f>
        <v>6</v>
      </c>
      <c r="P4" s="551">
        <v>1</v>
      </c>
      <c r="Q4" s="551">
        <v>12</v>
      </c>
      <c r="R4" s="559">
        <f>'1-ABA-DE-CARREGAMENTO'!$C$92+'1-ABA-DE-CARREGAMENTO'!$D$92+'1-ABA-DE-CARREGAMENTO'!$E$92</f>
        <v>6</v>
      </c>
      <c r="S4" s="551">
        <v>1</v>
      </c>
      <c r="T4" s="551">
        <v>12</v>
      </c>
      <c r="U4" s="559">
        <f>'1-ABA-DE-CARREGAMENTO'!$C$92+'1-ABA-DE-CARREGAMENTO'!$D$92+'1-ABA-DE-CARREGAMENTO'!$E$92</f>
        <v>6</v>
      </c>
      <c r="V4" s="553">
        <v>1</v>
      </c>
      <c r="W4" s="553">
        <v>12</v>
      </c>
      <c r="X4" s="560">
        <f>'1-ABA-DE-CARREGAMENTO'!$C$92+'1-ABA-DE-CARREGAMENTO'!$D$92+'1-ABA-DE-CARREGAMENTO'!$E$92</f>
        <v>6</v>
      </c>
      <c r="Y4" s="554">
        <v>1</v>
      </c>
      <c r="Z4" s="555">
        <v>6</v>
      </c>
      <c r="AA4" s="561">
        <f>'1-ABA-DE-CARREGAMENTO'!$C$92+'1-ABA-DE-CARREGAMENTO'!$D$92+'1-ABA-DE-CARREGAMENTO'!$E$92</f>
        <v>6</v>
      </c>
      <c r="AB4" s="548">
        <v>0</v>
      </c>
      <c r="AC4" s="548">
        <v>12</v>
      </c>
      <c r="AD4" s="548">
        <v>1</v>
      </c>
      <c r="AE4" s="548">
        <v>0</v>
      </c>
      <c r="AF4" s="548">
        <v>12</v>
      </c>
      <c r="AG4" s="548">
        <v>1</v>
      </c>
      <c r="AH4" s="548">
        <v>0</v>
      </c>
      <c r="AI4" s="548">
        <v>12</v>
      </c>
      <c r="AJ4" s="548">
        <v>1</v>
      </c>
      <c r="AK4" s="548">
        <v>0</v>
      </c>
      <c r="AL4" s="548">
        <v>12</v>
      </c>
      <c r="AM4" s="548">
        <v>1</v>
      </c>
    </row>
    <row r="5" spans="1:39">
      <c r="A5" s="564">
        <v>3</v>
      </c>
      <c r="B5" s="563" t="s">
        <v>343</v>
      </c>
      <c r="C5" s="558" t="s">
        <v>342</v>
      </c>
      <c r="D5" s="551">
        <v>0</v>
      </c>
      <c r="E5" s="551">
        <v>12</v>
      </c>
      <c r="F5" s="559">
        <f>('1-ABA-DE-CARREGAMENTO'!$C$92+'1-ABA-DE-CARREGAMENTO'!$D$92+'1-ABA-DE-CARREGAMENTO'!$E$92)</f>
        <v>6</v>
      </c>
      <c r="G5" s="551">
        <v>2</v>
      </c>
      <c r="H5" s="551">
        <v>12</v>
      </c>
      <c r="I5" s="559">
        <f>('1-ABA-DE-CARREGAMENTO'!$C$92+'1-ABA-DE-CARREGAMENTO'!$D$92+'1-ABA-DE-CARREGAMENTO'!$E$92)</f>
        <v>6</v>
      </c>
      <c r="J5" s="551">
        <v>0</v>
      </c>
      <c r="K5" s="551">
        <v>12</v>
      </c>
      <c r="L5" s="559">
        <f>'1-ABA-DE-CARREGAMENTO'!$C$92+'1-ABA-DE-CARREGAMENTO'!$D$92+'1-ABA-DE-CARREGAMENTO'!$E$92</f>
        <v>6</v>
      </c>
      <c r="M5" s="551">
        <v>0</v>
      </c>
      <c r="N5" s="551">
        <v>12</v>
      </c>
      <c r="O5" s="559">
        <f>'1-ABA-DE-CARREGAMENTO'!$C$92+'1-ABA-DE-CARREGAMENTO'!$D$92+'1-ABA-DE-CARREGAMENTO'!$E$92</f>
        <v>6</v>
      </c>
      <c r="P5" s="551">
        <v>0</v>
      </c>
      <c r="Q5" s="551">
        <v>12</v>
      </c>
      <c r="R5" s="559">
        <f>'1-ABA-DE-CARREGAMENTO'!$C$92+'1-ABA-DE-CARREGAMENTO'!$D$92+'1-ABA-DE-CARREGAMENTO'!$E$92</f>
        <v>6</v>
      </c>
      <c r="S5" s="551">
        <v>0</v>
      </c>
      <c r="T5" s="551">
        <v>12</v>
      </c>
      <c r="U5" s="559">
        <f>'1-ABA-DE-CARREGAMENTO'!$C$92+'1-ABA-DE-CARREGAMENTO'!$D$92+'1-ABA-DE-CARREGAMENTO'!$E$92</f>
        <v>6</v>
      </c>
      <c r="V5" s="553">
        <v>3</v>
      </c>
      <c r="W5" s="553">
        <v>12</v>
      </c>
      <c r="X5" s="560">
        <f>'1-ABA-DE-CARREGAMENTO'!$C$92+'1-ABA-DE-CARREGAMENTO'!$D$92+'1-ABA-DE-CARREGAMENTO'!$E$92</f>
        <v>6</v>
      </c>
      <c r="Y5" s="565">
        <v>0</v>
      </c>
      <c r="Z5" s="566">
        <v>12</v>
      </c>
      <c r="AA5" s="561">
        <f>'1-ABA-DE-CARREGAMENTO'!$C$92+'1-ABA-DE-CARREGAMENTO'!$D$92+'1-ABA-DE-CARREGAMENTO'!$E$92</f>
        <v>6</v>
      </c>
      <c r="AB5" s="548">
        <v>0</v>
      </c>
      <c r="AC5" s="548">
        <v>12</v>
      </c>
      <c r="AD5" s="548">
        <v>1</v>
      </c>
      <c r="AE5" s="548">
        <v>0</v>
      </c>
      <c r="AF5" s="548">
        <v>12</v>
      </c>
      <c r="AG5" s="548">
        <v>1</v>
      </c>
      <c r="AH5" s="548">
        <v>0</v>
      </c>
      <c r="AI5" s="548">
        <v>12</v>
      </c>
      <c r="AJ5" s="548">
        <v>1</v>
      </c>
      <c r="AK5" s="548">
        <v>0</v>
      </c>
      <c r="AL5" s="548">
        <v>12</v>
      </c>
      <c r="AM5" s="548">
        <v>1</v>
      </c>
    </row>
    <row r="6" spans="1:39">
      <c r="A6" s="562">
        <v>4</v>
      </c>
      <c r="B6" s="563" t="s">
        <v>344</v>
      </c>
      <c r="C6" s="558" t="s">
        <v>345</v>
      </c>
      <c r="D6" s="551">
        <v>6</v>
      </c>
      <c r="E6" s="551">
        <v>12</v>
      </c>
      <c r="F6" s="559">
        <f>('1-ABA-DE-CARREGAMENTO'!$C$92+'1-ABA-DE-CARREGAMENTO'!$D$92+'1-ABA-DE-CARREGAMENTO'!$E$92)</f>
        <v>6</v>
      </c>
      <c r="G6" s="551">
        <v>6</v>
      </c>
      <c r="H6" s="551">
        <v>12</v>
      </c>
      <c r="I6" s="559">
        <f>('1-ABA-DE-CARREGAMENTO'!$C$92+'1-ABA-DE-CARREGAMENTO'!$D$92+'1-ABA-DE-CARREGAMENTO'!$E$92)</f>
        <v>6</v>
      </c>
      <c r="J6" s="551">
        <v>6</v>
      </c>
      <c r="K6" s="551">
        <v>12</v>
      </c>
      <c r="L6" s="559">
        <f>'1-ABA-DE-CARREGAMENTO'!$C$92+'1-ABA-DE-CARREGAMENTO'!$D$92+'1-ABA-DE-CARREGAMENTO'!$E$92</f>
        <v>6</v>
      </c>
      <c r="M6" s="551">
        <v>6</v>
      </c>
      <c r="N6" s="551">
        <v>12</v>
      </c>
      <c r="O6" s="559">
        <f>'1-ABA-DE-CARREGAMENTO'!$C$92+'1-ABA-DE-CARREGAMENTO'!$D$92+'1-ABA-DE-CARREGAMENTO'!$E$92</f>
        <v>6</v>
      </c>
      <c r="P6" s="551">
        <v>8</v>
      </c>
      <c r="Q6" s="551">
        <v>12</v>
      </c>
      <c r="R6" s="559">
        <f>'1-ABA-DE-CARREGAMENTO'!$C$92+'1-ABA-DE-CARREGAMENTO'!$D$92+'1-ABA-DE-CARREGAMENTO'!$E$92</f>
        <v>6</v>
      </c>
      <c r="S6" s="551">
        <v>6</v>
      </c>
      <c r="T6" s="551">
        <v>12</v>
      </c>
      <c r="U6" s="559">
        <f>'1-ABA-DE-CARREGAMENTO'!$C$92+'1-ABA-DE-CARREGAMENTO'!$D$92+'1-ABA-DE-CARREGAMENTO'!$E$92</f>
        <v>6</v>
      </c>
      <c r="V6" s="553">
        <v>6</v>
      </c>
      <c r="W6" s="553">
        <v>12</v>
      </c>
      <c r="X6" s="560">
        <f>'1-ABA-DE-CARREGAMENTO'!$C$92+'1-ABA-DE-CARREGAMENTO'!$D$92+'1-ABA-DE-CARREGAMENTO'!$E$92</f>
        <v>6</v>
      </c>
      <c r="Y6" s="554">
        <v>2</v>
      </c>
      <c r="Z6" s="555">
        <v>6</v>
      </c>
      <c r="AA6" s="561">
        <f>'1-ABA-DE-CARREGAMENTO'!$C$92+'1-ABA-DE-CARREGAMENTO'!$D$92+'1-ABA-DE-CARREGAMENTO'!$E$92</f>
        <v>6</v>
      </c>
      <c r="AB6" s="548">
        <v>0</v>
      </c>
      <c r="AC6" s="548">
        <v>12</v>
      </c>
      <c r="AD6" s="548">
        <v>1</v>
      </c>
      <c r="AE6" s="548">
        <v>0</v>
      </c>
      <c r="AF6" s="548">
        <v>12</v>
      </c>
      <c r="AG6" s="548">
        <v>1</v>
      </c>
      <c r="AH6" s="548">
        <v>0</v>
      </c>
      <c r="AI6" s="548">
        <v>12</v>
      </c>
      <c r="AJ6" s="548">
        <v>1</v>
      </c>
      <c r="AK6" s="548">
        <v>0</v>
      </c>
      <c r="AL6" s="548">
        <v>12</v>
      </c>
      <c r="AM6" s="548">
        <v>1</v>
      </c>
    </row>
    <row r="7" spans="1:39">
      <c r="A7" s="564">
        <v>5</v>
      </c>
      <c r="B7" s="563" t="s">
        <v>346</v>
      </c>
      <c r="C7" s="558" t="s">
        <v>347</v>
      </c>
      <c r="D7" s="567">
        <v>0</v>
      </c>
      <c r="E7" s="567">
        <v>12</v>
      </c>
      <c r="F7" s="559">
        <f>('1-ABA-DE-CARREGAMENTO'!$C$92+'1-ABA-DE-CARREGAMENTO'!$D$92+'1-ABA-DE-CARREGAMENTO'!$E$92)</f>
        <v>6</v>
      </c>
      <c r="G7" s="551">
        <v>2</v>
      </c>
      <c r="H7" s="551">
        <v>12</v>
      </c>
      <c r="I7" s="559">
        <f>('1-ABA-DE-CARREGAMENTO'!$C$92+'1-ABA-DE-CARREGAMENTO'!$D$92+'1-ABA-DE-CARREGAMENTO'!$E$92)</f>
        <v>6</v>
      </c>
      <c r="J7" s="567">
        <v>0</v>
      </c>
      <c r="K7" s="567">
        <v>12</v>
      </c>
      <c r="L7" s="559">
        <f>'1-ABA-DE-CARREGAMENTO'!$C$92+'1-ABA-DE-CARREGAMENTO'!$D$92+'1-ABA-DE-CARREGAMENTO'!$E$92</f>
        <v>6</v>
      </c>
      <c r="M7" s="567">
        <v>0</v>
      </c>
      <c r="N7" s="567">
        <v>12</v>
      </c>
      <c r="O7" s="559">
        <f>'1-ABA-DE-CARREGAMENTO'!$C$92+'1-ABA-DE-CARREGAMENTO'!$D$92+'1-ABA-DE-CARREGAMENTO'!$E$92</f>
        <v>6</v>
      </c>
      <c r="P7" s="551">
        <v>0</v>
      </c>
      <c r="Q7" s="551">
        <v>12</v>
      </c>
      <c r="R7" s="559">
        <f>'1-ABA-DE-CARREGAMENTO'!$C$92+'1-ABA-DE-CARREGAMENTO'!$D$92+'1-ABA-DE-CARREGAMENTO'!$E$92</f>
        <v>6</v>
      </c>
      <c r="S7" s="567">
        <v>0</v>
      </c>
      <c r="T7" s="567">
        <v>12</v>
      </c>
      <c r="U7" s="559">
        <f>'1-ABA-DE-CARREGAMENTO'!$C$92+'1-ABA-DE-CARREGAMENTO'!$D$92+'1-ABA-DE-CARREGAMENTO'!$E$92</f>
        <v>6</v>
      </c>
      <c r="V7" s="568">
        <v>0</v>
      </c>
      <c r="W7" s="568">
        <v>12</v>
      </c>
      <c r="X7" s="560">
        <f>'1-ABA-DE-CARREGAMENTO'!$C$92+'1-ABA-DE-CARREGAMENTO'!$D$92+'1-ABA-DE-CARREGAMENTO'!$E$92</f>
        <v>6</v>
      </c>
      <c r="Y7" s="565">
        <v>0</v>
      </c>
      <c r="Z7" s="566">
        <v>12</v>
      </c>
      <c r="AA7" s="561">
        <f>'1-ABA-DE-CARREGAMENTO'!$C$92+'1-ABA-DE-CARREGAMENTO'!$D$92+'1-ABA-DE-CARREGAMENTO'!$E$92</f>
        <v>6</v>
      </c>
      <c r="AB7" s="548">
        <v>0</v>
      </c>
      <c r="AC7" s="548">
        <v>12</v>
      </c>
      <c r="AD7" s="548">
        <v>1</v>
      </c>
      <c r="AE7" s="548">
        <v>0</v>
      </c>
      <c r="AF7" s="548">
        <v>12</v>
      </c>
      <c r="AG7" s="548">
        <v>1</v>
      </c>
      <c r="AH7" s="548">
        <v>0</v>
      </c>
      <c r="AI7" s="548">
        <v>12</v>
      </c>
      <c r="AJ7" s="548">
        <v>1</v>
      </c>
      <c r="AK7" s="548">
        <v>0</v>
      </c>
      <c r="AL7" s="548">
        <v>12</v>
      </c>
      <c r="AM7" s="548">
        <v>1</v>
      </c>
    </row>
    <row r="8" spans="1:39">
      <c r="A8" s="562">
        <v>6</v>
      </c>
      <c r="B8" s="563" t="s">
        <v>348</v>
      </c>
      <c r="C8" s="558" t="s">
        <v>339</v>
      </c>
      <c r="D8" s="551">
        <v>2</v>
      </c>
      <c r="E8" s="551">
        <v>12</v>
      </c>
      <c r="F8" s="559">
        <f>('1-ABA-DE-CARREGAMENTO'!$C$92+'1-ABA-DE-CARREGAMENTO'!$D$92+'1-ABA-DE-CARREGAMENTO'!$E$92)</f>
        <v>6</v>
      </c>
      <c r="G8" s="551">
        <v>2</v>
      </c>
      <c r="H8" s="551">
        <v>12</v>
      </c>
      <c r="I8" s="559">
        <f>('1-ABA-DE-CARREGAMENTO'!$C$92+'1-ABA-DE-CARREGAMENTO'!$D$92+'1-ABA-DE-CARREGAMENTO'!$E$92)</f>
        <v>6</v>
      </c>
      <c r="J8" s="551">
        <v>2</v>
      </c>
      <c r="K8" s="551">
        <v>12</v>
      </c>
      <c r="L8" s="559">
        <f>'1-ABA-DE-CARREGAMENTO'!$C$92+'1-ABA-DE-CARREGAMENTO'!$D$92+'1-ABA-DE-CARREGAMENTO'!$E$92</f>
        <v>6</v>
      </c>
      <c r="M8" s="551">
        <v>2</v>
      </c>
      <c r="N8" s="551">
        <v>12</v>
      </c>
      <c r="O8" s="559">
        <f>'1-ABA-DE-CARREGAMENTO'!$C$92+'1-ABA-DE-CARREGAMENTO'!$D$92+'1-ABA-DE-CARREGAMENTO'!$E$92</f>
        <v>6</v>
      </c>
      <c r="P8" s="551">
        <v>1</v>
      </c>
      <c r="Q8" s="551">
        <v>12</v>
      </c>
      <c r="R8" s="559">
        <f>'1-ABA-DE-CARREGAMENTO'!$C$92+'1-ABA-DE-CARREGAMENTO'!$D$92+'1-ABA-DE-CARREGAMENTO'!$E$92</f>
        <v>6</v>
      </c>
      <c r="S8" s="551">
        <v>0</v>
      </c>
      <c r="T8" s="551">
        <v>12</v>
      </c>
      <c r="U8" s="559">
        <f>'1-ABA-DE-CARREGAMENTO'!$C$92+'1-ABA-DE-CARREGAMENTO'!$D$92+'1-ABA-DE-CARREGAMENTO'!$E$92</f>
        <v>6</v>
      </c>
      <c r="V8" s="553">
        <v>2</v>
      </c>
      <c r="W8" s="553">
        <v>12</v>
      </c>
      <c r="X8" s="560">
        <f>'1-ABA-DE-CARREGAMENTO'!$C$92+'1-ABA-DE-CARREGAMENTO'!$D$92+'1-ABA-DE-CARREGAMENTO'!$E$92</f>
        <v>6</v>
      </c>
      <c r="Y8" s="554">
        <v>1</v>
      </c>
      <c r="Z8" s="555">
        <v>6</v>
      </c>
      <c r="AA8" s="561">
        <f>'1-ABA-DE-CARREGAMENTO'!$C$92+'1-ABA-DE-CARREGAMENTO'!$D$92+'1-ABA-DE-CARREGAMENTO'!$E$92</f>
        <v>6</v>
      </c>
      <c r="AB8" s="548">
        <v>0</v>
      </c>
      <c r="AC8" s="548">
        <v>12</v>
      </c>
      <c r="AD8" s="548">
        <v>1</v>
      </c>
      <c r="AE8" s="548">
        <v>0</v>
      </c>
      <c r="AF8" s="548">
        <v>12</v>
      </c>
      <c r="AG8" s="548">
        <v>1</v>
      </c>
      <c r="AH8" s="548">
        <v>0</v>
      </c>
      <c r="AI8" s="548">
        <v>12</v>
      </c>
      <c r="AJ8" s="548">
        <v>1</v>
      </c>
      <c r="AK8" s="548">
        <v>0</v>
      </c>
      <c r="AL8" s="548">
        <v>12</v>
      </c>
      <c r="AM8" s="548">
        <v>1</v>
      </c>
    </row>
    <row r="9" spans="1:39">
      <c r="A9" s="564">
        <v>7</v>
      </c>
      <c r="B9" s="563" t="s">
        <v>349</v>
      </c>
      <c r="C9" s="558" t="s">
        <v>339</v>
      </c>
      <c r="D9" s="551">
        <v>2</v>
      </c>
      <c r="E9" s="551">
        <v>12</v>
      </c>
      <c r="F9" s="559">
        <f>('1-ABA-DE-CARREGAMENTO'!$C$92+'1-ABA-DE-CARREGAMENTO'!$D$92+'1-ABA-DE-CARREGAMENTO'!$E$92)</f>
        <v>6</v>
      </c>
      <c r="G9" s="551">
        <v>2</v>
      </c>
      <c r="H9" s="551">
        <v>12</v>
      </c>
      <c r="I9" s="559">
        <f>('1-ABA-DE-CARREGAMENTO'!$C$92+'1-ABA-DE-CARREGAMENTO'!$D$92+'1-ABA-DE-CARREGAMENTO'!$E$92)</f>
        <v>6</v>
      </c>
      <c r="J9" s="551">
        <v>2</v>
      </c>
      <c r="K9" s="551">
        <v>12</v>
      </c>
      <c r="L9" s="559">
        <f>'1-ABA-DE-CARREGAMENTO'!$C$92+'1-ABA-DE-CARREGAMENTO'!$D$92+'1-ABA-DE-CARREGAMENTO'!$E$92</f>
        <v>6</v>
      </c>
      <c r="M9" s="551">
        <v>1</v>
      </c>
      <c r="N9" s="551">
        <v>12</v>
      </c>
      <c r="O9" s="559">
        <f>'1-ABA-DE-CARREGAMENTO'!$C$92+'1-ABA-DE-CARREGAMENTO'!$D$92+'1-ABA-DE-CARREGAMENTO'!$E$92</f>
        <v>6</v>
      </c>
      <c r="P9" s="551">
        <v>1</v>
      </c>
      <c r="Q9" s="551">
        <v>12</v>
      </c>
      <c r="R9" s="559">
        <f>'1-ABA-DE-CARREGAMENTO'!$C$92+'1-ABA-DE-CARREGAMENTO'!$D$92+'1-ABA-DE-CARREGAMENTO'!$E$92</f>
        <v>6</v>
      </c>
      <c r="S9" s="551">
        <v>2</v>
      </c>
      <c r="T9" s="551">
        <v>12</v>
      </c>
      <c r="U9" s="559">
        <f>'1-ABA-DE-CARREGAMENTO'!$C$92+'1-ABA-DE-CARREGAMENTO'!$D$92+'1-ABA-DE-CARREGAMENTO'!$E$92</f>
        <v>6</v>
      </c>
      <c r="V9" s="553">
        <v>1</v>
      </c>
      <c r="W9" s="553">
        <v>12</v>
      </c>
      <c r="X9" s="560">
        <f>'1-ABA-DE-CARREGAMENTO'!$C$92+'1-ABA-DE-CARREGAMENTO'!$D$92+'1-ABA-DE-CARREGAMENTO'!$E$92</f>
        <v>6</v>
      </c>
      <c r="Y9" s="565">
        <v>0</v>
      </c>
      <c r="Z9" s="566">
        <v>12</v>
      </c>
      <c r="AA9" s="561">
        <f>'1-ABA-DE-CARREGAMENTO'!$C$92+'1-ABA-DE-CARREGAMENTO'!$D$92+'1-ABA-DE-CARREGAMENTO'!$E$92</f>
        <v>6</v>
      </c>
      <c r="AB9" s="548">
        <v>0</v>
      </c>
      <c r="AC9" s="548">
        <v>12</v>
      </c>
      <c r="AD9" s="548">
        <v>1</v>
      </c>
      <c r="AE9" s="548">
        <v>0</v>
      </c>
      <c r="AF9" s="548">
        <v>12</v>
      </c>
      <c r="AG9" s="548">
        <v>1</v>
      </c>
      <c r="AH9" s="548">
        <v>0</v>
      </c>
      <c r="AI9" s="548">
        <v>12</v>
      </c>
      <c r="AJ9" s="548">
        <v>1</v>
      </c>
      <c r="AK9" s="548">
        <v>0</v>
      </c>
      <c r="AL9" s="548">
        <v>12</v>
      </c>
      <c r="AM9" s="548">
        <v>1</v>
      </c>
    </row>
    <row r="10" spans="1:39">
      <c r="A10" s="562">
        <v>8</v>
      </c>
      <c r="B10" s="569" t="s">
        <v>437</v>
      </c>
      <c r="C10" s="558" t="s">
        <v>351</v>
      </c>
      <c r="D10" s="551">
        <v>1</v>
      </c>
      <c r="E10" s="551">
        <v>12</v>
      </c>
      <c r="F10" s="559">
        <f>('1-ABA-DE-CARREGAMENTO'!$C$92+'1-ABA-DE-CARREGAMENTO'!$D$92+'1-ABA-DE-CARREGAMENTO'!$E$92)</f>
        <v>6</v>
      </c>
      <c r="G10" s="551">
        <v>1</v>
      </c>
      <c r="H10" s="551">
        <v>12</v>
      </c>
      <c r="I10" s="559">
        <f>('1-ABA-DE-CARREGAMENTO'!$C$92+'1-ABA-DE-CARREGAMENTO'!$D$92+'1-ABA-DE-CARREGAMENTO'!$E$92)</f>
        <v>6</v>
      </c>
      <c r="J10" s="551">
        <v>2</v>
      </c>
      <c r="K10" s="551">
        <v>12</v>
      </c>
      <c r="L10" s="559">
        <f>'1-ABA-DE-CARREGAMENTO'!$C$92+'1-ABA-DE-CARREGAMENTO'!$D$92+'1-ABA-DE-CARREGAMENTO'!$E$92</f>
        <v>6</v>
      </c>
      <c r="M10" s="551">
        <v>2</v>
      </c>
      <c r="N10" s="551">
        <v>12</v>
      </c>
      <c r="O10" s="559">
        <f>'1-ABA-DE-CARREGAMENTO'!$C$92+'1-ABA-DE-CARREGAMENTO'!$D$92+'1-ABA-DE-CARREGAMENTO'!$E$92</f>
        <v>6</v>
      </c>
      <c r="P10" s="551">
        <v>1</v>
      </c>
      <c r="Q10" s="551">
        <v>12</v>
      </c>
      <c r="R10" s="559">
        <f>'1-ABA-DE-CARREGAMENTO'!$C$92+'1-ABA-DE-CARREGAMENTO'!$D$92+'1-ABA-DE-CARREGAMENTO'!$E$92</f>
        <v>6</v>
      </c>
      <c r="S10" s="551">
        <v>2</v>
      </c>
      <c r="T10" s="551">
        <v>12</v>
      </c>
      <c r="U10" s="559">
        <f>'1-ABA-DE-CARREGAMENTO'!$C$92+'1-ABA-DE-CARREGAMENTO'!$D$92+'1-ABA-DE-CARREGAMENTO'!$E$92</f>
        <v>6</v>
      </c>
      <c r="V10" s="553">
        <v>2</v>
      </c>
      <c r="W10" s="553">
        <v>12</v>
      </c>
      <c r="X10" s="560">
        <f>'1-ABA-DE-CARREGAMENTO'!$C$92+'1-ABA-DE-CARREGAMENTO'!$D$92+'1-ABA-DE-CARREGAMENTO'!$E$92</f>
        <v>6</v>
      </c>
      <c r="Y10" s="554">
        <v>1</v>
      </c>
      <c r="Z10" s="555">
        <v>6</v>
      </c>
      <c r="AA10" s="561">
        <f>'1-ABA-DE-CARREGAMENTO'!$C$92+'1-ABA-DE-CARREGAMENTO'!$D$92+'1-ABA-DE-CARREGAMENTO'!$E$92</f>
        <v>6</v>
      </c>
      <c r="AB10" s="548">
        <v>0</v>
      </c>
      <c r="AC10" s="548">
        <v>12</v>
      </c>
      <c r="AD10" s="548">
        <v>1</v>
      </c>
      <c r="AE10" s="548">
        <v>0</v>
      </c>
      <c r="AF10" s="548">
        <v>12</v>
      </c>
      <c r="AG10" s="548">
        <v>1</v>
      </c>
      <c r="AH10" s="548">
        <v>0</v>
      </c>
      <c r="AI10" s="548">
        <v>12</v>
      </c>
      <c r="AJ10" s="548">
        <v>1</v>
      </c>
      <c r="AK10" s="548">
        <v>0</v>
      </c>
      <c r="AL10" s="548">
        <v>12</v>
      </c>
      <c r="AM10" s="548">
        <v>1</v>
      </c>
    </row>
    <row r="11" spans="1:39">
      <c r="A11" s="564">
        <v>9</v>
      </c>
      <c r="B11" s="569" t="s">
        <v>438</v>
      </c>
      <c r="C11" s="558" t="s">
        <v>351</v>
      </c>
      <c r="D11" s="567">
        <v>0</v>
      </c>
      <c r="E11" s="567">
        <v>12</v>
      </c>
      <c r="F11" s="559">
        <f>('1-ABA-DE-CARREGAMENTO'!$C$92+'1-ABA-DE-CARREGAMENTO'!$D$92+'1-ABA-DE-CARREGAMENTO'!$E$92)</f>
        <v>6</v>
      </c>
      <c r="G11" s="551">
        <v>1</v>
      </c>
      <c r="H11" s="551">
        <v>12</v>
      </c>
      <c r="I11" s="559">
        <f>('1-ABA-DE-CARREGAMENTO'!$C$92+'1-ABA-DE-CARREGAMENTO'!$D$92+'1-ABA-DE-CARREGAMENTO'!$E$92)</f>
        <v>6</v>
      </c>
      <c r="J11" s="567">
        <v>0</v>
      </c>
      <c r="K11" s="567">
        <v>12</v>
      </c>
      <c r="L11" s="559">
        <f>'1-ABA-DE-CARREGAMENTO'!$C$92+'1-ABA-DE-CARREGAMENTO'!$D$92+'1-ABA-DE-CARREGAMENTO'!$E$92</f>
        <v>6</v>
      </c>
      <c r="M11" s="551">
        <v>1</v>
      </c>
      <c r="N11" s="551">
        <v>12</v>
      </c>
      <c r="O11" s="559">
        <f>'1-ABA-DE-CARREGAMENTO'!$C$92+'1-ABA-DE-CARREGAMENTO'!$D$92+'1-ABA-DE-CARREGAMENTO'!$E$92</f>
        <v>6</v>
      </c>
      <c r="P11" s="567">
        <v>0</v>
      </c>
      <c r="Q11" s="567">
        <v>12</v>
      </c>
      <c r="R11" s="559">
        <f>'1-ABA-DE-CARREGAMENTO'!$C$92+'1-ABA-DE-CARREGAMENTO'!$D$92+'1-ABA-DE-CARREGAMENTO'!$E$92</f>
        <v>6</v>
      </c>
      <c r="S11" s="567">
        <v>0</v>
      </c>
      <c r="T11" s="567">
        <v>12</v>
      </c>
      <c r="U11" s="559">
        <f>'1-ABA-DE-CARREGAMENTO'!$C$92+'1-ABA-DE-CARREGAMENTO'!$D$92+'1-ABA-DE-CARREGAMENTO'!$E$92</f>
        <v>6</v>
      </c>
      <c r="V11" s="553">
        <v>2</v>
      </c>
      <c r="W11" s="553">
        <v>12</v>
      </c>
      <c r="X11" s="560">
        <f>'1-ABA-DE-CARREGAMENTO'!$C$92+'1-ABA-DE-CARREGAMENTO'!$D$92+'1-ABA-DE-CARREGAMENTO'!$E$92</f>
        <v>6</v>
      </c>
      <c r="Y11" s="565">
        <v>0</v>
      </c>
      <c r="Z11" s="566">
        <v>12</v>
      </c>
      <c r="AA11" s="561">
        <f>'1-ABA-DE-CARREGAMENTO'!$C$92+'1-ABA-DE-CARREGAMENTO'!$D$92+'1-ABA-DE-CARREGAMENTO'!$E$92</f>
        <v>6</v>
      </c>
      <c r="AB11" s="548">
        <v>0</v>
      </c>
      <c r="AC11" s="548">
        <v>12</v>
      </c>
      <c r="AD11" s="548">
        <v>1</v>
      </c>
      <c r="AE11" s="548">
        <v>0</v>
      </c>
      <c r="AF11" s="548">
        <v>12</v>
      </c>
      <c r="AG11" s="548">
        <v>1</v>
      </c>
      <c r="AH11" s="548">
        <v>0</v>
      </c>
      <c r="AI11" s="548">
        <v>12</v>
      </c>
      <c r="AJ11" s="548">
        <v>1</v>
      </c>
      <c r="AK11" s="548">
        <v>0</v>
      </c>
      <c r="AL11" s="548">
        <v>12</v>
      </c>
      <c r="AM11" s="548">
        <v>1</v>
      </c>
    </row>
    <row r="12" spans="1:39">
      <c r="A12" s="562">
        <v>10</v>
      </c>
      <c r="B12" s="563" t="s">
        <v>353</v>
      </c>
      <c r="C12" s="558" t="s">
        <v>351</v>
      </c>
      <c r="D12" s="551">
        <v>3</v>
      </c>
      <c r="E12" s="551">
        <v>12</v>
      </c>
      <c r="F12" s="559">
        <f>('1-ABA-DE-CARREGAMENTO'!$C$92+'1-ABA-DE-CARREGAMENTO'!$D$92+'1-ABA-DE-CARREGAMENTO'!$E$92)</f>
        <v>6</v>
      </c>
      <c r="G12" s="551">
        <v>5</v>
      </c>
      <c r="H12" s="551">
        <v>12</v>
      </c>
      <c r="I12" s="559">
        <f>('1-ABA-DE-CARREGAMENTO'!$C$92+'1-ABA-DE-CARREGAMENTO'!$D$92+'1-ABA-DE-CARREGAMENTO'!$E$92)</f>
        <v>6</v>
      </c>
      <c r="J12" s="551">
        <v>2</v>
      </c>
      <c r="K12" s="551">
        <v>6</v>
      </c>
      <c r="L12" s="559">
        <f>'1-ABA-DE-CARREGAMENTO'!$C$92+'1-ABA-DE-CARREGAMENTO'!$D$92+'1-ABA-DE-CARREGAMENTO'!$E$92</f>
        <v>6</v>
      </c>
      <c r="M12" s="551">
        <v>3</v>
      </c>
      <c r="N12" s="551">
        <v>12</v>
      </c>
      <c r="O12" s="559">
        <f>'1-ABA-DE-CARREGAMENTO'!$C$92+'1-ABA-DE-CARREGAMENTO'!$D$92+'1-ABA-DE-CARREGAMENTO'!$E$92</f>
        <v>6</v>
      </c>
      <c r="P12" s="551">
        <v>2</v>
      </c>
      <c r="Q12" s="551">
        <v>12</v>
      </c>
      <c r="R12" s="559">
        <f>'1-ABA-DE-CARREGAMENTO'!$C$92+'1-ABA-DE-CARREGAMENTO'!$D$92+'1-ABA-DE-CARREGAMENTO'!$E$92</f>
        <v>6</v>
      </c>
      <c r="S12" s="551">
        <v>2</v>
      </c>
      <c r="T12" s="551">
        <v>6</v>
      </c>
      <c r="U12" s="559">
        <f>'1-ABA-DE-CARREGAMENTO'!$C$92+'1-ABA-DE-CARREGAMENTO'!$D$92+'1-ABA-DE-CARREGAMENTO'!$E$92</f>
        <v>6</v>
      </c>
      <c r="V12" s="553">
        <v>4</v>
      </c>
      <c r="W12" s="553">
        <v>12</v>
      </c>
      <c r="X12" s="560">
        <f>'1-ABA-DE-CARREGAMENTO'!$C$92+'1-ABA-DE-CARREGAMENTO'!$D$92+'1-ABA-DE-CARREGAMENTO'!$E$92</f>
        <v>6</v>
      </c>
      <c r="Y12" s="570">
        <v>0</v>
      </c>
      <c r="Z12" s="571">
        <v>12</v>
      </c>
      <c r="AA12" s="561">
        <f>'1-ABA-DE-CARREGAMENTO'!$C$92+'1-ABA-DE-CARREGAMENTO'!$D$92+'1-ABA-DE-CARREGAMENTO'!$E$92</f>
        <v>6</v>
      </c>
      <c r="AB12" s="548">
        <v>0</v>
      </c>
      <c r="AC12" s="548">
        <v>12</v>
      </c>
      <c r="AD12" s="548">
        <v>1</v>
      </c>
      <c r="AE12" s="548">
        <v>0</v>
      </c>
      <c r="AF12" s="548">
        <v>12</v>
      </c>
      <c r="AG12" s="548">
        <v>1</v>
      </c>
      <c r="AH12" s="548">
        <v>0</v>
      </c>
      <c r="AI12" s="548">
        <v>12</v>
      </c>
      <c r="AJ12" s="548">
        <v>1</v>
      </c>
      <c r="AK12" s="548">
        <v>0</v>
      </c>
      <c r="AL12" s="548">
        <v>12</v>
      </c>
      <c r="AM12" s="548">
        <v>1</v>
      </c>
    </row>
    <row r="13" spans="1:39">
      <c r="A13" s="564">
        <v>11</v>
      </c>
      <c r="B13" s="563" t="s">
        <v>354</v>
      </c>
      <c r="C13" s="558" t="s">
        <v>355</v>
      </c>
      <c r="D13" s="567">
        <v>0</v>
      </c>
      <c r="E13" s="567">
        <v>12</v>
      </c>
      <c r="F13" s="559">
        <f>('1-ABA-DE-CARREGAMENTO'!$C$92+'1-ABA-DE-CARREGAMENTO'!$D$92+'1-ABA-DE-CARREGAMENTO'!$E$92)</f>
        <v>6</v>
      </c>
      <c r="G13" s="551">
        <v>2</v>
      </c>
      <c r="H13" s="551">
        <v>12</v>
      </c>
      <c r="I13" s="559">
        <f>('1-ABA-DE-CARREGAMENTO'!$C$92+'1-ABA-DE-CARREGAMENTO'!$D$92+'1-ABA-DE-CARREGAMENTO'!$E$92)</f>
        <v>6</v>
      </c>
      <c r="J13" s="567">
        <v>0</v>
      </c>
      <c r="K13" s="567">
        <v>12</v>
      </c>
      <c r="L13" s="559">
        <f>'1-ABA-DE-CARREGAMENTO'!$C$92+'1-ABA-DE-CARREGAMENTO'!$D$92+'1-ABA-DE-CARREGAMENTO'!$E$92</f>
        <v>6</v>
      </c>
      <c r="M13" s="567">
        <v>0</v>
      </c>
      <c r="N13" s="567">
        <v>12</v>
      </c>
      <c r="O13" s="559">
        <f>'1-ABA-DE-CARREGAMENTO'!$C$92+'1-ABA-DE-CARREGAMENTO'!$D$92+'1-ABA-DE-CARREGAMENTO'!$E$92</f>
        <v>6</v>
      </c>
      <c r="P13" s="567">
        <v>0</v>
      </c>
      <c r="Q13" s="567">
        <v>12</v>
      </c>
      <c r="R13" s="559">
        <f>'1-ABA-DE-CARREGAMENTO'!$C$92+'1-ABA-DE-CARREGAMENTO'!$D$92+'1-ABA-DE-CARREGAMENTO'!$E$92</f>
        <v>6</v>
      </c>
      <c r="S13" s="567">
        <v>0</v>
      </c>
      <c r="T13" s="567">
        <v>12</v>
      </c>
      <c r="U13" s="559">
        <f>'1-ABA-DE-CARREGAMENTO'!$C$92+'1-ABA-DE-CARREGAMENTO'!$D$92+'1-ABA-DE-CARREGAMENTO'!$E$92</f>
        <v>6</v>
      </c>
      <c r="V13" s="553">
        <v>2</v>
      </c>
      <c r="W13" s="553">
        <v>12</v>
      </c>
      <c r="X13" s="560">
        <f>'1-ABA-DE-CARREGAMENTO'!$C$92+'1-ABA-DE-CARREGAMENTO'!$D$92+'1-ABA-DE-CARREGAMENTO'!$E$92</f>
        <v>6</v>
      </c>
      <c r="Y13" s="565">
        <v>0</v>
      </c>
      <c r="Z13" s="566">
        <v>12</v>
      </c>
      <c r="AA13" s="561">
        <f>'1-ABA-DE-CARREGAMENTO'!$C$92+'1-ABA-DE-CARREGAMENTO'!$D$92+'1-ABA-DE-CARREGAMENTO'!$E$92</f>
        <v>6</v>
      </c>
      <c r="AB13" s="548">
        <v>0</v>
      </c>
      <c r="AC13" s="548">
        <v>12</v>
      </c>
      <c r="AD13" s="548">
        <v>1</v>
      </c>
      <c r="AE13" s="548">
        <v>0</v>
      </c>
      <c r="AF13" s="548">
        <v>12</v>
      </c>
      <c r="AG13" s="548">
        <v>1</v>
      </c>
      <c r="AH13" s="548">
        <v>0</v>
      </c>
      <c r="AI13" s="548">
        <v>12</v>
      </c>
      <c r="AJ13" s="548">
        <v>1</v>
      </c>
      <c r="AK13" s="548">
        <v>0</v>
      </c>
      <c r="AL13" s="548">
        <v>12</v>
      </c>
      <c r="AM13" s="548">
        <v>1</v>
      </c>
    </row>
    <row r="14" spans="1:39">
      <c r="A14" s="562">
        <v>12</v>
      </c>
      <c r="B14" s="569" t="s">
        <v>439</v>
      </c>
      <c r="C14" s="558" t="s">
        <v>339</v>
      </c>
      <c r="D14" s="551">
        <v>4</v>
      </c>
      <c r="E14" s="551">
        <v>12</v>
      </c>
      <c r="F14" s="559">
        <f>('1-ABA-DE-CARREGAMENTO'!$C$92+'1-ABA-DE-CARREGAMENTO'!$D$92+'1-ABA-DE-CARREGAMENTO'!$E$92)</f>
        <v>6</v>
      </c>
      <c r="G14" s="551">
        <v>4</v>
      </c>
      <c r="H14" s="551">
        <v>12</v>
      </c>
      <c r="I14" s="559">
        <f>('1-ABA-DE-CARREGAMENTO'!$C$92+'1-ABA-DE-CARREGAMENTO'!$D$92+'1-ABA-DE-CARREGAMENTO'!$E$92)</f>
        <v>6</v>
      </c>
      <c r="J14" s="551">
        <v>3</v>
      </c>
      <c r="K14" s="551">
        <v>6</v>
      </c>
      <c r="L14" s="559">
        <f>'1-ABA-DE-CARREGAMENTO'!$C$92+'1-ABA-DE-CARREGAMENTO'!$D$92+'1-ABA-DE-CARREGAMENTO'!$E$92</f>
        <v>6</v>
      </c>
      <c r="M14" s="551">
        <v>4</v>
      </c>
      <c r="N14" s="551">
        <v>12</v>
      </c>
      <c r="O14" s="559">
        <f>'1-ABA-DE-CARREGAMENTO'!$C$92+'1-ABA-DE-CARREGAMENTO'!$D$92+'1-ABA-DE-CARREGAMENTO'!$E$92</f>
        <v>6</v>
      </c>
      <c r="P14" s="551">
        <v>4</v>
      </c>
      <c r="Q14" s="551">
        <v>12</v>
      </c>
      <c r="R14" s="559">
        <f>'1-ABA-DE-CARREGAMENTO'!$C$92+'1-ABA-DE-CARREGAMENTO'!$D$92+'1-ABA-DE-CARREGAMENTO'!$E$92</f>
        <v>6</v>
      </c>
      <c r="S14" s="551">
        <v>4</v>
      </c>
      <c r="T14" s="551">
        <v>12</v>
      </c>
      <c r="U14" s="559">
        <f>'1-ABA-DE-CARREGAMENTO'!$C$92+'1-ABA-DE-CARREGAMENTO'!$D$92+'1-ABA-DE-CARREGAMENTO'!$E$92</f>
        <v>6</v>
      </c>
      <c r="V14" s="553">
        <v>3</v>
      </c>
      <c r="W14" s="553">
        <v>12</v>
      </c>
      <c r="X14" s="560">
        <f>'1-ABA-DE-CARREGAMENTO'!$C$92+'1-ABA-DE-CARREGAMENTO'!$D$92+'1-ABA-DE-CARREGAMENTO'!$E$92</f>
        <v>6</v>
      </c>
      <c r="Y14" s="554">
        <v>2</v>
      </c>
      <c r="Z14" s="555">
        <v>6</v>
      </c>
      <c r="AA14" s="561">
        <f>'1-ABA-DE-CARREGAMENTO'!$C$92+'1-ABA-DE-CARREGAMENTO'!$D$92+'1-ABA-DE-CARREGAMENTO'!$E$92</f>
        <v>6</v>
      </c>
      <c r="AB14" s="548">
        <v>0</v>
      </c>
      <c r="AC14" s="548">
        <v>12</v>
      </c>
      <c r="AD14" s="548">
        <v>1</v>
      </c>
      <c r="AE14" s="548">
        <v>0</v>
      </c>
      <c r="AF14" s="548">
        <v>12</v>
      </c>
      <c r="AG14" s="548">
        <v>1</v>
      </c>
      <c r="AH14" s="548">
        <v>0</v>
      </c>
      <c r="AI14" s="548">
        <v>12</v>
      </c>
      <c r="AJ14" s="548">
        <v>1</v>
      </c>
      <c r="AK14" s="548">
        <v>0</v>
      </c>
      <c r="AL14" s="548">
        <v>12</v>
      </c>
      <c r="AM14" s="548">
        <v>1</v>
      </c>
    </row>
    <row r="15" spans="1:39">
      <c r="A15" s="564">
        <v>13</v>
      </c>
      <c r="B15" s="569" t="s">
        <v>440</v>
      </c>
      <c r="C15" s="558" t="s">
        <v>339</v>
      </c>
      <c r="D15" s="551">
        <v>4</v>
      </c>
      <c r="E15" s="551">
        <v>12</v>
      </c>
      <c r="F15" s="559">
        <f>('1-ABA-DE-CARREGAMENTO'!$C$92+'1-ABA-DE-CARREGAMENTO'!$D$92+'1-ABA-DE-CARREGAMENTO'!$E$92)</f>
        <v>6</v>
      </c>
      <c r="G15" s="551">
        <v>4</v>
      </c>
      <c r="H15" s="551">
        <v>12</v>
      </c>
      <c r="I15" s="559">
        <f>('1-ABA-DE-CARREGAMENTO'!$C$92+'1-ABA-DE-CARREGAMENTO'!$D$92+'1-ABA-DE-CARREGAMENTO'!$E$92)</f>
        <v>6</v>
      </c>
      <c r="J15" s="551">
        <v>4</v>
      </c>
      <c r="K15" s="551">
        <v>12</v>
      </c>
      <c r="L15" s="559">
        <f>'1-ABA-DE-CARREGAMENTO'!$C$92+'1-ABA-DE-CARREGAMENTO'!$D$92+'1-ABA-DE-CARREGAMENTO'!$E$92</f>
        <v>6</v>
      </c>
      <c r="M15" s="551">
        <v>2</v>
      </c>
      <c r="N15" s="551">
        <v>12</v>
      </c>
      <c r="O15" s="559">
        <f>'1-ABA-DE-CARREGAMENTO'!$C$92+'1-ABA-DE-CARREGAMENTO'!$D$92+'1-ABA-DE-CARREGAMENTO'!$E$92</f>
        <v>6</v>
      </c>
      <c r="P15" s="551">
        <v>2</v>
      </c>
      <c r="Q15" s="551">
        <v>12</v>
      </c>
      <c r="R15" s="559">
        <f>'1-ABA-DE-CARREGAMENTO'!$C$92+'1-ABA-DE-CARREGAMENTO'!$D$92+'1-ABA-DE-CARREGAMENTO'!$E$92</f>
        <v>6</v>
      </c>
      <c r="S15" s="567">
        <v>0</v>
      </c>
      <c r="T15" s="567">
        <v>12</v>
      </c>
      <c r="U15" s="559">
        <f>'1-ABA-DE-CARREGAMENTO'!$C$92+'1-ABA-DE-CARREGAMENTO'!$D$92+'1-ABA-DE-CARREGAMENTO'!$E$92</f>
        <v>6</v>
      </c>
      <c r="V15" s="553">
        <v>2</v>
      </c>
      <c r="W15" s="553">
        <v>12</v>
      </c>
      <c r="X15" s="560">
        <f>'1-ABA-DE-CARREGAMENTO'!$C$92+'1-ABA-DE-CARREGAMENTO'!$D$92+'1-ABA-DE-CARREGAMENTO'!$E$92</f>
        <v>6</v>
      </c>
      <c r="Y15" s="570">
        <v>0</v>
      </c>
      <c r="Z15" s="571">
        <v>12</v>
      </c>
      <c r="AA15" s="561">
        <f>'1-ABA-DE-CARREGAMENTO'!$C$92+'1-ABA-DE-CARREGAMENTO'!$D$92+'1-ABA-DE-CARREGAMENTO'!$E$92</f>
        <v>6</v>
      </c>
      <c r="AB15" s="548">
        <v>0</v>
      </c>
      <c r="AC15" s="548">
        <v>12</v>
      </c>
      <c r="AD15" s="548">
        <v>1</v>
      </c>
      <c r="AE15" s="548">
        <v>0</v>
      </c>
      <c r="AF15" s="548">
        <v>12</v>
      </c>
      <c r="AG15" s="548">
        <v>1</v>
      </c>
      <c r="AH15" s="548">
        <v>0</v>
      </c>
      <c r="AI15" s="548">
        <v>12</v>
      </c>
      <c r="AJ15" s="548">
        <v>1</v>
      </c>
      <c r="AK15" s="548">
        <v>0</v>
      </c>
      <c r="AL15" s="548">
        <v>12</v>
      </c>
      <c r="AM15" s="548">
        <v>1</v>
      </c>
    </row>
    <row r="16" spans="1:39">
      <c r="A16" s="562">
        <v>14</v>
      </c>
      <c r="B16" s="572" t="s">
        <v>358</v>
      </c>
      <c r="C16" s="558" t="s">
        <v>339</v>
      </c>
      <c r="D16" s="551">
        <v>4</v>
      </c>
      <c r="E16" s="551">
        <v>12</v>
      </c>
      <c r="F16" s="559">
        <f>('1-ABA-DE-CARREGAMENTO'!$C$92+'1-ABA-DE-CARREGAMENTO'!$D$92+'1-ABA-DE-CARREGAMENTO'!$E$92)</f>
        <v>6</v>
      </c>
      <c r="G16" s="551">
        <v>2</v>
      </c>
      <c r="H16" s="551">
        <v>12</v>
      </c>
      <c r="I16" s="559">
        <f>('1-ABA-DE-CARREGAMENTO'!$C$92+'1-ABA-DE-CARREGAMENTO'!$D$92+'1-ABA-DE-CARREGAMENTO'!$E$92)</f>
        <v>6</v>
      </c>
      <c r="J16" s="567">
        <v>0</v>
      </c>
      <c r="K16" s="567">
        <v>12</v>
      </c>
      <c r="L16" s="559">
        <f>'1-ABA-DE-CARREGAMENTO'!$C$92+'1-ABA-DE-CARREGAMENTO'!$D$92+'1-ABA-DE-CARREGAMENTO'!$E$92</f>
        <v>6</v>
      </c>
      <c r="M16" s="551">
        <v>2</v>
      </c>
      <c r="N16" s="551">
        <v>12</v>
      </c>
      <c r="O16" s="559">
        <f>'1-ABA-DE-CARREGAMENTO'!$C$92+'1-ABA-DE-CARREGAMENTO'!$D$92+'1-ABA-DE-CARREGAMENTO'!$E$92</f>
        <v>6</v>
      </c>
      <c r="P16" s="567">
        <v>0</v>
      </c>
      <c r="Q16" s="567">
        <v>12</v>
      </c>
      <c r="R16" s="559">
        <f>'1-ABA-DE-CARREGAMENTO'!$C$92+'1-ABA-DE-CARREGAMENTO'!$D$92+'1-ABA-DE-CARREGAMENTO'!$E$92</f>
        <v>6</v>
      </c>
      <c r="S16" s="551">
        <v>2</v>
      </c>
      <c r="T16" s="551">
        <v>12</v>
      </c>
      <c r="U16" s="559">
        <f>'1-ABA-DE-CARREGAMENTO'!$C$92+'1-ABA-DE-CARREGAMENTO'!$D$92+'1-ABA-DE-CARREGAMENTO'!$E$92</f>
        <v>6</v>
      </c>
      <c r="V16" s="553">
        <v>2</v>
      </c>
      <c r="W16" s="553">
        <v>12</v>
      </c>
      <c r="X16" s="560">
        <f>'1-ABA-DE-CARREGAMENTO'!$C$92+'1-ABA-DE-CARREGAMENTO'!$D$92+'1-ABA-DE-CARREGAMENTO'!$E$92</f>
        <v>6</v>
      </c>
      <c r="Y16" s="565">
        <v>0</v>
      </c>
      <c r="Z16" s="566">
        <v>12</v>
      </c>
      <c r="AA16" s="561">
        <f>'1-ABA-DE-CARREGAMENTO'!$C$92+'1-ABA-DE-CARREGAMENTO'!$D$92+'1-ABA-DE-CARREGAMENTO'!$E$92</f>
        <v>6</v>
      </c>
      <c r="AB16" s="548">
        <v>0</v>
      </c>
      <c r="AC16" s="548">
        <v>12</v>
      </c>
      <c r="AD16" s="548">
        <v>1</v>
      </c>
      <c r="AE16" s="548">
        <v>0</v>
      </c>
      <c r="AF16" s="548">
        <v>12</v>
      </c>
      <c r="AG16" s="548">
        <v>1</v>
      </c>
      <c r="AH16" s="548">
        <v>0</v>
      </c>
      <c r="AI16" s="548">
        <v>12</v>
      </c>
      <c r="AJ16" s="548">
        <v>1</v>
      </c>
      <c r="AK16" s="548">
        <v>0</v>
      </c>
      <c r="AL16" s="548">
        <v>12</v>
      </c>
      <c r="AM16" s="548">
        <v>1</v>
      </c>
    </row>
    <row r="17" spans="1:39">
      <c r="A17" s="564">
        <v>15</v>
      </c>
      <c r="B17" s="563" t="s">
        <v>359</v>
      </c>
      <c r="C17" s="558" t="s">
        <v>339</v>
      </c>
      <c r="D17" s="567">
        <v>0</v>
      </c>
      <c r="E17" s="567">
        <v>12</v>
      </c>
      <c r="F17" s="559">
        <f>('1-ABA-DE-CARREGAMENTO'!$C$92+'1-ABA-DE-CARREGAMENTO'!$D$92+'1-ABA-DE-CARREGAMENTO'!$E$92)</f>
        <v>6</v>
      </c>
      <c r="G17" s="567">
        <v>0</v>
      </c>
      <c r="H17" s="567">
        <v>12</v>
      </c>
      <c r="I17" s="559">
        <f>('1-ABA-DE-CARREGAMENTO'!$C$92+'1-ABA-DE-CARREGAMENTO'!$D$92+'1-ABA-DE-CARREGAMENTO'!$E$92)</f>
        <v>6</v>
      </c>
      <c r="J17" s="567">
        <v>0</v>
      </c>
      <c r="K17" s="567">
        <v>12</v>
      </c>
      <c r="L17" s="559">
        <f>'1-ABA-DE-CARREGAMENTO'!$C$92+'1-ABA-DE-CARREGAMENTO'!$D$92+'1-ABA-DE-CARREGAMENTO'!$E$92</f>
        <v>6</v>
      </c>
      <c r="M17" s="567">
        <v>0</v>
      </c>
      <c r="N17" s="567">
        <v>12</v>
      </c>
      <c r="O17" s="559">
        <f>'1-ABA-DE-CARREGAMENTO'!$C$92+'1-ABA-DE-CARREGAMENTO'!$D$92+'1-ABA-DE-CARREGAMENTO'!$E$92</f>
        <v>6</v>
      </c>
      <c r="P17" s="567">
        <v>0</v>
      </c>
      <c r="Q17" s="567">
        <v>12</v>
      </c>
      <c r="R17" s="559">
        <f>'1-ABA-DE-CARREGAMENTO'!$C$92+'1-ABA-DE-CARREGAMENTO'!$D$92+'1-ABA-DE-CARREGAMENTO'!$E$92</f>
        <v>6</v>
      </c>
      <c r="S17" s="567">
        <v>0</v>
      </c>
      <c r="T17" s="567">
        <v>12</v>
      </c>
      <c r="U17" s="559">
        <f>'1-ABA-DE-CARREGAMENTO'!$C$92+'1-ABA-DE-CARREGAMENTO'!$D$92+'1-ABA-DE-CARREGAMENTO'!$E$92</f>
        <v>6</v>
      </c>
      <c r="V17" s="553">
        <v>2</v>
      </c>
      <c r="W17" s="553">
        <v>12</v>
      </c>
      <c r="X17" s="553">
        <v>3</v>
      </c>
      <c r="Y17" s="565">
        <v>0</v>
      </c>
      <c r="Z17" s="566">
        <v>12</v>
      </c>
      <c r="AA17" s="561">
        <f>'1-ABA-DE-CARREGAMENTO'!$C$92+'1-ABA-DE-CARREGAMENTO'!$D$92+'1-ABA-DE-CARREGAMENTO'!$E$92</f>
        <v>6</v>
      </c>
      <c r="AB17" s="548">
        <v>0</v>
      </c>
      <c r="AC17" s="548">
        <v>12</v>
      </c>
      <c r="AD17" s="548">
        <v>1</v>
      </c>
      <c r="AE17" s="548">
        <v>0</v>
      </c>
      <c r="AF17" s="548">
        <v>12</v>
      </c>
      <c r="AG17" s="548">
        <v>1</v>
      </c>
      <c r="AH17" s="548">
        <v>0</v>
      </c>
      <c r="AI17" s="548">
        <v>12</v>
      </c>
      <c r="AJ17" s="548">
        <v>1</v>
      </c>
      <c r="AK17" s="548">
        <v>0</v>
      </c>
      <c r="AL17" s="548">
        <v>12</v>
      </c>
      <c r="AM17" s="548">
        <v>1</v>
      </c>
    </row>
    <row r="18" spans="1:39">
      <c r="A18" s="562">
        <v>16</v>
      </c>
      <c r="B18" s="563" t="s">
        <v>360</v>
      </c>
      <c r="C18" s="558" t="s">
        <v>339</v>
      </c>
      <c r="D18" s="551">
        <v>4</v>
      </c>
      <c r="E18" s="551">
        <v>12</v>
      </c>
      <c r="F18" s="559">
        <f>('1-ABA-DE-CARREGAMENTO'!$C$92+'1-ABA-DE-CARREGAMENTO'!$D$92+'1-ABA-DE-CARREGAMENTO'!$E$92)</f>
        <v>6</v>
      </c>
      <c r="G18" s="551">
        <v>6</v>
      </c>
      <c r="H18" s="551">
        <v>12</v>
      </c>
      <c r="I18" s="559">
        <f>('1-ABA-DE-CARREGAMENTO'!$C$92+'1-ABA-DE-CARREGAMENTO'!$D$92+'1-ABA-DE-CARREGAMENTO'!$E$92)</f>
        <v>6</v>
      </c>
      <c r="J18" s="551">
        <v>4</v>
      </c>
      <c r="K18" s="551">
        <v>12</v>
      </c>
      <c r="L18" s="559">
        <f>'1-ABA-DE-CARREGAMENTO'!$C$92+'1-ABA-DE-CARREGAMENTO'!$D$92+'1-ABA-DE-CARREGAMENTO'!$E$92</f>
        <v>6</v>
      </c>
      <c r="M18" s="551">
        <v>4</v>
      </c>
      <c r="N18" s="551">
        <v>12</v>
      </c>
      <c r="O18" s="559">
        <f>'1-ABA-DE-CARREGAMENTO'!$C$92+'1-ABA-DE-CARREGAMENTO'!$D$92+'1-ABA-DE-CARREGAMENTO'!$E$92</f>
        <v>6</v>
      </c>
      <c r="P18" s="551">
        <v>4</v>
      </c>
      <c r="Q18" s="551">
        <v>12</v>
      </c>
      <c r="R18" s="559">
        <f>'1-ABA-DE-CARREGAMENTO'!$C$92+'1-ABA-DE-CARREGAMENTO'!$D$92+'1-ABA-DE-CARREGAMENTO'!$E$92</f>
        <v>6</v>
      </c>
      <c r="S18" s="551">
        <v>4</v>
      </c>
      <c r="T18" s="551">
        <v>12</v>
      </c>
      <c r="U18" s="559">
        <f>'1-ABA-DE-CARREGAMENTO'!$C$92+'1-ABA-DE-CARREGAMENTO'!$D$92+'1-ABA-DE-CARREGAMENTO'!$E$92</f>
        <v>6</v>
      </c>
      <c r="V18" s="553">
        <v>4</v>
      </c>
      <c r="W18" s="553">
        <v>12</v>
      </c>
      <c r="X18" s="560">
        <f>'1-ABA-DE-CARREGAMENTO'!$C$92+'1-ABA-DE-CARREGAMENTO'!$D$92+'1-ABA-DE-CARREGAMENTO'!$E$92</f>
        <v>6</v>
      </c>
      <c r="Y18" s="554">
        <v>2</v>
      </c>
      <c r="Z18" s="555">
        <v>6</v>
      </c>
      <c r="AA18" s="561">
        <f>'1-ABA-DE-CARREGAMENTO'!$C$92+'1-ABA-DE-CARREGAMENTO'!$D$92+'1-ABA-DE-CARREGAMENTO'!$E$92</f>
        <v>6</v>
      </c>
      <c r="AB18" s="548">
        <v>0</v>
      </c>
      <c r="AC18" s="548">
        <v>12</v>
      </c>
      <c r="AD18" s="548">
        <v>1</v>
      </c>
      <c r="AE18" s="548">
        <v>0</v>
      </c>
      <c r="AF18" s="548">
        <v>12</v>
      </c>
      <c r="AG18" s="548">
        <v>1</v>
      </c>
      <c r="AH18" s="548">
        <v>0</v>
      </c>
      <c r="AI18" s="548">
        <v>12</v>
      </c>
      <c r="AJ18" s="548">
        <v>1</v>
      </c>
      <c r="AK18" s="548">
        <v>0</v>
      </c>
      <c r="AL18" s="548">
        <v>12</v>
      </c>
      <c r="AM18" s="548">
        <v>1</v>
      </c>
    </row>
    <row r="19" spans="1:39">
      <c r="A19" s="564">
        <v>17</v>
      </c>
      <c r="B19" s="563" t="s">
        <v>361</v>
      </c>
      <c r="C19" s="558" t="s">
        <v>339</v>
      </c>
      <c r="D19" s="551">
        <v>4</v>
      </c>
      <c r="E19" s="551">
        <v>12</v>
      </c>
      <c r="F19" s="559">
        <f>('1-ABA-DE-CARREGAMENTO'!$C$92+'1-ABA-DE-CARREGAMENTO'!$D$92+'1-ABA-DE-CARREGAMENTO'!$E$92)</f>
        <v>6</v>
      </c>
      <c r="G19" s="551">
        <v>6</v>
      </c>
      <c r="H19" s="551">
        <v>12</v>
      </c>
      <c r="I19" s="559">
        <f>('1-ABA-DE-CARREGAMENTO'!$C$92+'1-ABA-DE-CARREGAMENTO'!$D$92+'1-ABA-DE-CARREGAMENTO'!$E$92)</f>
        <v>6</v>
      </c>
      <c r="J19" s="551">
        <v>4</v>
      </c>
      <c r="K19" s="551">
        <v>12</v>
      </c>
      <c r="L19" s="559">
        <f>'1-ABA-DE-CARREGAMENTO'!$C$92+'1-ABA-DE-CARREGAMENTO'!$D$92+'1-ABA-DE-CARREGAMENTO'!$E$92</f>
        <v>6</v>
      </c>
      <c r="M19" s="551">
        <v>4</v>
      </c>
      <c r="N19" s="551">
        <v>12</v>
      </c>
      <c r="O19" s="559">
        <f>'1-ABA-DE-CARREGAMENTO'!$C$92+'1-ABA-DE-CARREGAMENTO'!$D$92+'1-ABA-DE-CARREGAMENTO'!$E$92</f>
        <v>6</v>
      </c>
      <c r="P19" s="551">
        <v>4</v>
      </c>
      <c r="Q19" s="551">
        <v>12</v>
      </c>
      <c r="R19" s="559">
        <f>'1-ABA-DE-CARREGAMENTO'!$C$92+'1-ABA-DE-CARREGAMENTO'!$D$92+'1-ABA-DE-CARREGAMENTO'!$E$92</f>
        <v>6</v>
      </c>
      <c r="S19" s="551">
        <v>4</v>
      </c>
      <c r="T19" s="551">
        <v>12</v>
      </c>
      <c r="U19" s="559">
        <f>'1-ABA-DE-CARREGAMENTO'!$C$92+'1-ABA-DE-CARREGAMENTO'!$D$92+'1-ABA-DE-CARREGAMENTO'!$E$92</f>
        <v>6</v>
      </c>
      <c r="V19" s="553">
        <v>4</v>
      </c>
      <c r="W19" s="553">
        <v>12</v>
      </c>
      <c r="X19" s="560">
        <f>'1-ABA-DE-CARREGAMENTO'!$C$92+'1-ABA-DE-CARREGAMENTO'!$D$92+'1-ABA-DE-CARREGAMENTO'!$E$92</f>
        <v>6</v>
      </c>
      <c r="Y19" s="554">
        <v>2</v>
      </c>
      <c r="Z19" s="555">
        <v>6</v>
      </c>
      <c r="AA19" s="561">
        <f>'1-ABA-DE-CARREGAMENTO'!$C$92+'1-ABA-DE-CARREGAMENTO'!$D$92+'1-ABA-DE-CARREGAMENTO'!$E$92</f>
        <v>6</v>
      </c>
      <c r="AB19" s="548">
        <v>0</v>
      </c>
      <c r="AC19" s="548">
        <v>12</v>
      </c>
      <c r="AD19" s="548">
        <v>1</v>
      </c>
      <c r="AE19" s="548">
        <v>0</v>
      </c>
      <c r="AF19" s="548">
        <v>12</v>
      </c>
      <c r="AG19" s="548">
        <v>1</v>
      </c>
      <c r="AH19" s="548">
        <v>0</v>
      </c>
      <c r="AI19" s="548">
        <v>12</v>
      </c>
      <c r="AJ19" s="548">
        <v>1</v>
      </c>
      <c r="AK19" s="548">
        <v>0</v>
      </c>
      <c r="AL19" s="548">
        <v>12</v>
      </c>
      <c r="AM19" s="548">
        <v>1</v>
      </c>
    </row>
    <row r="20" spans="1:39">
      <c r="A20" s="562">
        <v>18</v>
      </c>
      <c r="B20" s="563" t="s">
        <v>441</v>
      </c>
      <c r="C20" s="558" t="s">
        <v>339</v>
      </c>
      <c r="D20" s="567">
        <v>0</v>
      </c>
      <c r="E20" s="567">
        <v>12</v>
      </c>
      <c r="F20" s="559">
        <f>('1-ABA-DE-CARREGAMENTO'!$C$92+'1-ABA-DE-CARREGAMENTO'!$D$92+'1-ABA-DE-CARREGAMENTO'!$E$92)</f>
        <v>6</v>
      </c>
      <c r="G20" s="551">
        <v>2</v>
      </c>
      <c r="H20" s="551">
        <v>12</v>
      </c>
      <c r="I20" s="559">
        <f>('1-ABA-DE-CARREGAMENTO'!$C$92+'1-ABA-DE-CARREGAMENTO'!$D$92+'1-ABA-DE-CARREGAMENTO'!$E$92)</f>
        <v>6</v>
      </c>
      <c r="J20" s="567">
        <v>0</v>
      </c>
      <c r="K20" s="567">
        <v>12</v>
      </c>
      <c r="L20" s="559">
        <f>'1-ABA-DE-CARREGAMENTO'!$C$92+'1-ABA-DE-CARREGAMENTO'!$D$92+'1-ABA-DE-CARREGAMENTO'!$E$92</f>
        <v>6</v>
      </c>
      <c r="M20" s="567">
        <v>0</v>
      </c>
      <c r="N20" s="567">
        <v>12</v>
      </c>
      <c r="O20" s="559">
        <f>'1-ABA-DE-CARREGAMENTO'!$C$92+'1-ABA-DE-CARREGAMENTO'!$D$92+'1-ABA-DE-CARREGAMENTO'!$E$92</f>
        <v>6</v>
      </c>
      <c r="P20" s="567">
        <v>0</v>
      </c>
      <c r="Q20" s="567">
        <v>12</v>
      </c>
      <c r="R20" s="559">
        <f>'1-ABA-DE-CARREGAMENTO'!$C$92+'1-ABA-DE-CARREGAMENTO'!$D$92+'1-ABA-DE-CARREGAMENTO'!$E$92</f>
        <v>6</v>
      </c>
      <c r="S20" s="567">
        <v>0</v>
      </c>
      <c r="T20" s="567">
        <v>12</v>
      </c>
      <c r="U20" s="559">
        <f>'1-ABA-DE-CARREGAMENTO'!$C$92+'1-ABA-DE-CARREGAMENTO'!$D$92+'1-ABA-DE-CARREGAMENTO'!$E$92</f>
        <v>6</v>
      </c>
      <c r="V20" s="553">
        <v>3</v>
      </c>
      <c r="W20" s="553">
        <v>12</v>
      </c>
      <c r="X20" s="560">
        <f>'1-ABA-DE-CARREGAMENTO'!$C$92+'1-ABA-DE-CARREGAMENTO'!$D$92+'1-ABA-DE-CARREGAMENTO'!$E$92</f>
        <v>6</v>
      </c>
      <c r="Y20" s="565">
        <v>0</v>
      </c>
      <c r="Z20" s="566">
        <v>12</v>
      </c>
      <c r="AA20" s="561">
        <f>'1-ABA-DE-CARREGAMENTO'!$C$92+'1-ABA-DE-CARREGAMENTO'!$D$92+'1-ABA-DE-CARREGAMENTO'!$E$92</f>
        <v>6</v>
      </c>
      <c r="AB20" s="548">
        <v>0</v>
      </c>
      <c r="AC20" s="548">
        <v>12</v>
      </c>
      <c r="AD20" s="548">
        <v>1</v>
      </c>
      <c r="AE20" s="548">
        <v>0</v>
      </c>
      <c r="AF20" s="548">
        <v>12</v>
      </c>
      <c r="AG20" s="548">
        <v>1</v>
      </c>
      <c r="AH20" s="548">
        <v>0</v>
      </c>
      <c r="AI20" s="548">
        <v>12</v>
      </c>
      <c r="AJ20" s="548">
        <v>1</v>
      </c>
      <c r="AK20" s="548">
        <v>0</v>
      </c>
      <c r="AL20" s="548">
        <v>12</v>
      </c>
      <c r="AM20" s="548">
        <v>1</v>
      </c>
    </row>
    <row r="21" spans="1:39">
      <c r="A21" s="564">
        <v>19</v>
      </c>
      <c r="B21" s="563" t="s">
        <v>363</v>
      </c>
      <c r="C21" s="558" t="s">
        <v>342</v>
      </c>
      <c r="D21" s="551">
        <v>2</v>
      </c>
      <c r="E21" s="551">
        <v>12</v>
      </c>
      <c r="F21" s="559">
        <f>('1-ABA-DE-CARREGAMENTO'!$C$92+'1-ABA-DE-CARREGAMENTO'!$D$92+'1-ABA-DE-CARREGAMENTO'!$E$92)</f>
        <v>6</v>
      </c>
      <c r="G21" s="551">
        <v>2</v>
      </c>
      <c r="H21" s="551">
        <v>12</v>
      </c>
      <c r="I21" s="559">
        <f>('1-ABA-DE-CARREGAMENTO'!$C$92+'1-ABA-DE-CARREGAMENTO'!$D$92+'1-ABA-DE-CARREGAMENTO'!$E$92)</f>
        <v>6</v>
      </c>
      <c r="J21" s="551">
        <v>5</v>
      </c>
      <c r="K21" s="551">
        <v>12</v>
      </c>
      <c r="L21" s="559">
        <f>'1-ABA-DE-CARREGAMENTO'!$C$92+'1-ABA-DE-CARREGAMENTO'!$D$92+'1-ABA-DE-CARREGAMENTO'!$E$92</f>
        <v>6</v>
      </c>
      <c r="M21" s="551">
        <v>2</v>
      </c>
      <c r="N21" s="551">
        <v>12</v>
      </c>
      <c r="O21" s="559">
        <f>'1-ABA-DE-CARREGAMENTO'!$C$92+'1-ABA-DE-CARREGAMENTO'!$D$92+'1-ABA-DE-CARREGAMENTO'!$E$92</f>
        <v>6</v>
      </c>
      <c r="P21" s="551">
        <v>1</v>
      </c>
      <c r="Q21" s="551">
        <v>12</v>
      </c>
      <c r="R21" s="559">
        <f>'1-ABA-DE-CARREGAMENTO'!$C$92+'1-ABA-DE-CARREGAMENTO'!$D$92+'1-ABA-DE-CARREGAMENTO'!$E$92</f>
        <v>6</v>
      </c>
      <c r="S21" s="551">
        <v>1</v>
      </c>
      <c r="T21" s="551">
        <v>12</v>
      </c>
      <c r="U21" s="559">
        <f>'1-ABA-DE-CARREGAMENTO'!$C$92+'1-ABA-DE-CARREGAMENTO'!$D$92+'1-ABA-DE-CARREGAMENTO'!$E$92</f>
        <v>6</v>
      </c>
      <c r="V21" s="553">
        <v>4</v>
      </c>
      <c r="W21" s="553">
        <v>12</v>
      </c>
      <c r="X21" s="560">
        <f>'1-ABA-DE-CARREGAMENTO'!$C$92+'1-ABA-DE-CARREGAMENTO'!$D$92+'1-ABA-DE-CARREGAMENTO'!$E$92</f>
        <v>6</v>
      </c>
      <c r="Y21" s="570">
        <v>0</v>
      </c>
      <c r="Z21" s="571">
        <v>12</v>
      </c>
      <c r="AA21" s="561">
        <f>'1-ABA-DE-CARREGAMENTO'!$C$92+'1-ABA-DE-CARREGAMENTO'!$D$92+'1-ABA-DE-CARREGAMENTO'!$E$92</f>
        <v>6</v>
      </c>
      <c r="AB21" s="548">
        <v>0</v>
      </c>
      <c r="AC21" s="548">
        <v>12</v>
      </c>
      <c r="AD21" s="548">
        <v>1</v>
      </c>
      <c r="AE21" s="548">
        <v>0</v>
      </c>
      <c r="AF21" s="548">
        <v>12</v>
      </c>
      <c r="AG21" s="548">
        <v>1</v>
      </c>
      <c r="AH21" s="548">
        <v>0</v>
      </c>
      <c r="AI21" s="548">
        <v>12</v>
      </c>
      <c r="AJ21" s="548">
        <v>1</v>
      </c>
      <c r="AK21" s="548">
        <v>0</v>
      </c>
      <c r="AL21" s="548">
        <v>12</v>
      </c>
      <c r="AM21" s="548">
        <v>1</v>
      </c>
    </row>
    <row r="22" spans="1:39">
      <c r="A22" s="562">
        <v>20</v>
      </c>
      <c r="B22" s="563" t="s">
        <v>364</v>
      </c>
      <c r="C22" s="558" t="s">
        <v>342</v>
      </c>
      <c r="D22" s="551">
        <v>0</v>
      </c>
      <c r="E22" s="551">
        <v>12</v>
      </c>
      <c r="F22" s="559">
        <f>('1-ABA-DE-CARREGAMENTO'!$C$92+'1-ABA-DE-CARREGAMENTO'!$D$92+'1-ABA-DE-CARREGAMENTO'!$E$92)</f>
        <v>6</v>
      </c>
      <c r="G22" s="551">
        <v>1</v>
      </c>
      <c r="H22" s="551">
        <v>12</v>
      </c>
      <c r="I22" s="559">
        <f>('1-ABA-DE-CARREGAMENTO'!$C$92+'1-ABA-DE-CARREGAMENTO'!$D$92+'1-ABA-DE-CARREGAMENTO'!$E$92)</f>
        <v>6</v>
      </c>
      <c r="J22" s="551">
        <v>2</v>
      </c>
      <c r="K22" s="551">
        <v>12</v>
      </c>
      <c r="L22" s="551">
        <v>4</v>
      </c>
      <c r="M22" s="551">
        <v>0</v>
      </c>
      <c r="N22" s="551">
        <v>12</v>
      </c>
      <c r="O22" s="559">
        <f>'1-ABA-DE-CARREGAMENTO'!$C$92+'1-ABA-DE-CARREGAMENTO'!$D$92+'1-ABA-DE-CARREGAMENTO'!$E$92</f>
        <v>6</v>
      </c>
      <c r="P22" s="551">
        <v>0</v>
      </c>
      <c r="Q22" s="551">
        <v>12</v>
      </c>
      <c r="R22" s="559">
        <f>'1-ABA-DE-CARREGAMENTO'!$C$92+'1-ABA-DE-CARREGAMENTO'!$D$92+'1-ABA-DE-CARREGAMENTO'!$E$92</f>
        <v>6</v>
      </c>
      <c r="S22" s="551">
        <v>0</v>
      </c>
      <c r="T22" s="551">
        <v>12</v>
      </c>
      <c r="U22" s="559">
        <f>'1-ABA-DE-CARREGAMENTO'!$C$92+'1-ABA-DE-CARREGAMENTO'!$D$92+'1-ABA-DE-CARREGAMENTO'!$E$92</f>
        <v>6</v>
      </c>
      <c r="V22" s="553">
        <v>2</v>
      </c>
      <c r="W22" s="553">
        <v>12</v>
      </c>
      <c r="X22" s="553">
        <v>3</v>
      </c>
      <c r="Y22" s="554">
        <v>1</v>
      </c>
      <c r="Z22" s="555">
        <v>6</v>
      </c>
      <c r="AA22" s="561">
        <f>'1-ABA-DE-CARREGAMENTO'!$C$92+'1-ABA-DE-CARREGAMENTO'!$D$92+'1-ABA-DE-CARREGAMENTO'!$E$92</f>
        <v>6</v>
      </c>
      <c r="AB22" s="548">
        <v>0</v>
      </c>
      <c r="AC22" s="548">
        <v>12</v>
      </c>
      <c r="AD22" s="548">
        <v>1</v>
      </c>
      <c r="AE22" s="548">
        <v>0</v>
      </c>
      <c r="AF22" s="548">
        <v>12</v>
      </c>
      <c r="AG22" s="548">
        <v>1</v>
      </c>
      <c r="AH22" s="548">
        <v>0</v>
      </c>
      <c r="AI22" s="548">
        <v>12</v>
      </c>
      <c r="AJ22" s="548">
        <v>1</v>
      </c>
      <c r="AK22" s="548">
        <v>0</v>
      </c>
      <c r="AL22" s="548">
        <v>12</v>
      </c>
      <c r="AM22" s="548">
        <v>1</v>
      </c>
    </row>
    <row r="23" spans="1:39">
      <c r="A23" s="564">
        <v>21</v>
      </c>
      <c r="B23" s="563" t="s">
        <v>365</v>
      </c>
      <c r="C23" s="558" t="s">
        <v>342</v>
      </c>
      <c r="D23" s="567">
        <v>0</v>
      </c>
      <c r="E23" s="567">
        <v>12</v>
      </c>
      <c r="F23" s="559">
        <f>('1-ABA-DE-CARREGAMENTO'!$C$92+'1-ABA-DE-CARREGAMENTO'!$D$92+'1-ABA-DE-CARREGAMENTO'!$E$92)</f>
        <v>6</v>
      </c>
      <c r="G23" s="567">
        <v>0</v>
      </c>
      <c r="H23" s="567">
        <v>12</v>
      </c>
      <c r="I23" s="559">
        <f>('1-ABA-DE-CARREGAMENTO'!$C$92+'1-ABA-DE-CARREGAMENTO'!$D$92+'1-ABA-DE-CARREGAMENTO'!$E$92)</f>
        <v>6</v>
      </c>
      <c r="J23" s="551">
        <v>1</v>
      </c>
      <c r="K23" s="551">
        <v>12</v>
      </c>
      <c r="L23" s="559">
        <f>'1-ABA-DE-CARREGAMENTO'!$C$92+'1-ABA-DE-CARREGAMENTO'!$D$92+'1-ABA-DE-CARREGAMENTO'!$E$92</f>
        <v>6</v>
      </c>
      <c r="M23" s="567">
        <v>0</v>
      </c>
      <c r="N23" s="567">
        <v>12</v>
      </c>
      <c r="O23" s="559">
        <f>'1-ABA-DE-CARREGAMENTO'!$C$92+'1-ABA-DE-CARREGAMENTO'!$D$92+'1-ABA-DE-CARREGAMENTO'!$E$92</f>
        <v>6</v>
      </c>
      <c r="P23" s="567">
        <v>0</v>
      </c>
      <c r="Q23" s="567">
        <v>12</v>
      </c>
      <c r="R23" s="559">
        <f>'1-ABA-DE-CARREGAMENTO'!$C$92+'1-ABA-DE-CARREGAMENTO'!$D$92+'1-ABA-DE-CARREGAMENTO'!$E$92</f>
        <v>6</v>
      </c>
      <c r="S23" s="567">
        <v>0</v>
      </c>
      <c r="T23" s="567">
        <v>12</v>
      </c>
      <c r="U23" s="559">
        <f>'1-ABA-DE-CARREGAMENTO'!$C$92+'1-ABA-DE-CARREGAMENTO'!$D$92+'1-ABA-DE-CARREGAMENTO'!$E$92</f>
        <v>6</v>
      </c>
      <c r="V23" s="553">
        <v>1</v>
      </c>
      <c r="W23" s="553">
        <v>12</v>
      </c>
      <c r="X23" s="560">
        <f>'1-ABA-DE-CARREGAMENTO'!$C$92+'1-ABA-DE-CARREGAMENTO'!$D$92+'1-ABA-DE-CARREGAMENTO'!$E$92</f>
        <v>6</v>
      </c>
      <c r="Y23" s="565">
        <v>0</v>
      </c>
      <c r="Z23" s="566">
        <v>12</v>
      </c>
      <c r="AA23" s="561">
        <f>'1-ABA-DE-CARREGAMENTO'!$C$92+'1-ABA-DE-CARREGAMENTO'!$D$92+'1-ABA-DE-CARREGAMENTO'!$E$92</f>
        <v>6</v>
      </c>
      <c r="AB23" s="548">
        <v>0</v>
      </c>
      <c r="AC23" s="548">
        <v>12</v>
      </c>
      <c r="AD23" s="548">
        <v>1</v>
      </c>
      <c r="AE23" s="548">
        <v>0</v>
      </c>
      <c r="AF23" s="548">
        <v>12</v>
      </c>
      <c r="AG23" s="548">
        <v>1</v>
      </c>
      <c r="AH23" s="548">
        <v>0</v>
      </c>
      <c r="AI23" s="548">
        <v>12</v>
      </c>
      <c r="AJ23" s="548">
        <v>1</v>
      </c>
      <c r="AK23" s="548">
        <v>0</v>
      </c>
      <c r="AL23" s="548">
        <v>12</v>
      </c>
      <c r="AM23" s="548">
        <v>1</v>
      </c>
    </row>
    <row r="24" spans="1:39">
      <c r="A24" s="562">
        <v>22</v>
      </c>
      <c r="B24" s="563" t="s">
        <v>442</v>
      </c>
      <c r="C24" s="558"/>
      <c r="D24" s="567">
        <v>0</v>
      </c>
      <c r="E24" s="567">
        <v>12</v>
      </c>
      <c r="F24" s="559">
        <f>('1-ABA-DE-CARREGAMENTO'!$C$92+'1-ABA-DE-CARREGAMENTO'!$D$92+'1-ABA-DE-CARREGAMENTO'!$E$92)</f>
        <v>6</v>
      </c>
      <c r="G24" s="551">
        <v>1</v>
      </c>
      <c r="H24" s="551">
        <v>12</v>
      </c>
      <c r="I24" s="559">
        <f>('1-ABA-DE-CARREGAMENTO'!$C$92+'1-ABA-DE-CARREGAMENTO'!$D$92+'1-ABA-DE-CARREGAMENTO'!$E$92)</f>
        <v>6</v>
      </c>
      <c r="J24" s="567">
        <v>0</v>
      </c>
      <c r="K24" s="567">
        <v>12</v>
      </c>
      <c r="L24" s="559">
        <f>'1-ABA-DE-CARREGAMENTO'!$C$92+'1-ABA-DE-CARREGAMENTO'!$D$92+'1-ABA-DE-CARREGAMENTO'!$E$92</f>
        <v>6</v>
      </c>
      <c r="M24" s="567">
        <v>0</v>
      </c>
      <c r="N24" s="567">
        <v>12</v>
      </c>
      <c r="O24" s="559">
        <f>'1-ABA-DE-CARREGAMENTO'!$C$92+'1-ABA-DE-CARREGAMENTO'!$D$92+'1-ABA-DE-CARREGAMENTO'!$E$92</f>
        <v>6</v>
      </c>
      <c r="P24" s="567">
        <v>0</v>
      </c>
      <c r="Q24" s="567">
        <v>12</v>
      </c>
      <c r="R24" s="559">
        <f>'1-ABA-DE-CARREGAMENTO'!$C$92+'1-ABA-DE-CARREGAMENTO'!$D$92+'1-ABA-DE-CARREGAMENTO'!$E$92</f>
        <v>6</v>
      </c>
      <c r="S24" s="567">
        <v>0</v>
      </c>
      <c r="T24" s="567">
        <v>12</v>
      </c>
      <c r="U24" s="559">
        <f>'1-ABA-DE-CARREGAMENTO'!$C$92+'1-ABA-DE-CARREGAMENTO'!$D$92+'1-ABA-DE-CARREGAMENTO'!$E$92</f>
        <v>6</v>
      </c>
      <c r="V24" s="553">
        <v>1</v>
      </c>
      <c r="W24" s="553">
        <v>12</v>
      </c>
      <c r="X24" s="560">
        <f>'1-ABA-DE-CARREGAMENTO'!$C$92+'1-ABA-DE-CARREGAMENTO'!$D$92+'1-ABA-DE-CARREGAMENTO'!$E$92</f>
        <v>6</v>
      </c>
      <c r="Y24" s="565">
        <v>0</v>
      </c>
      <c r="Z24" s="566">
        <v>12</v>
      </c>
      <c r="AA24" s="561">
        <f>'1-ABA-DE-CARREGAMENTO'!$C$92+'1-ABA-DE-CARREGAMENTO'!$D$92+'1-ABA-DE-CARREGAMENTO'!$E$92</f>
        <v>6</v>
      </c>
      <c r="AB24" s="548">
        <v>0</v>
      </c>
      <c r="AC24" s="548">
        <v>12</v>
      </c>
      <c r="AD24" s="548">
        <v>1</v>
      </c>
      <c r="AE24" s="548">
        <v>0</v>
      </c>
      <c r="AF24" s="548">
        <v>12</v>
      </c>
      <c r="AG24" s="548">
        <v>1</v>
      </c>
      <c r="AH24" s="548">
        <v>0</v>
      </c>
      <c r="AI24" s="548">
        <v>12</v>
      </c>
      <c r="AJ24" s="548">
        <v>1</v>
      </c>
      <c r="AK24" s="548">
        <v>0</v>
      </c>
      <c r="AL24" s="548">
        <v>12</v>
      </c>
      <c r="AM24" s="548">
        <v>1</v>
      </c>
    </row>
    <row r="25" spans="1:39">
      <c r="A25" s="564">
        <v>23</v>
      </c>
      <c r="B25" s="563" t="s">
        <v>367</v>
      </c>
      <c r="C25" s="558" t="s">
        <v>342</v>
      </c>
      <c r="D25" s="551">
        <v>2</v>
      </c>
      <c r="E25" s="551">
        <v>12</v>
      </c>
      <c r="F25" s="559">
        <f>('1-ABA-DE-CARREGAMENTO'!$C$92+'1-ABA-DE-CARREGAMENTO'!$D$92+'1-ABA-DE-CARREGAMENTO'!$E$92)</f>
        <v>6</v>
      </c>
      <c r="G25" s="551">
        <v>2</v>
      </c>
      <c r="H25" s="551">
        <v>12</v>
      </c>
      <c r="I25" s="559">
        <f>('1-ABA-DE-CARREGAMENTO'!$C$92+'1-ABA-DE-CARREGAMENTO'!$D$92+'1-ABA-DE-CARREGAMENTO'!$E$92)</f>
        <v>6</v>
      </c>
      <c r="J25" s="551">
        <v>1</v>
      </c>
      <c r="K25" s="551">
        <v>12</v>
      </c>
      <c r="L25" s="559">
        <f>'1-ABA-DE-CARREGAMENTO'!$C$92+'1-ABA-DE-CARREGAMENTO'!$D$92+'1-ABA-DE-CARREGAMENTO'!$E$92</f>
        <v>6</v>
      </c>
      <c r="M25" s="551">
        <v>2</v>
      </c>
      <c r="N25" s="551">
        <v>12</v>
      </c>
      <c r="O25" s="559">
        <f>'1-ABA-DE-CARREGAMENTO'!$C$92+'1-ABA-DE-CARREGAMENTO'!$D$92+'1-ABA-DE-CARREGAMENTO'!$E$92</f>
        <v>6</v>
      </c>
      <c r="P25" s="551">
        <v>2</v>
      </c>
      <c r="Q25" s="551">
        <v>12</v>
      </c>
      <c r="R25" s="559">
        <f>'1-ABA-DE-CARREGAMENTO'!$C$92+'1-ABA-DE-CARREGAMENTO'!$D$92+'1-ABA-DE-CARREGAMENTO'!$E$92</f>
        <v>6</v>
      </c>
      <c r="S25" s="551">
        <v>1</v>
      </c>
      <c r="T25" s="551">
        <v>12</v>
      </c>
      <c r="U25" s="559">
        <f>'1-ABA-DE-CARREGAMENTO'!$C$92+'1-ABA-DE-CARREGAMENTO'!$D$92+'1-ABA-DE-CARREGAMENTO'!$E$92</f>
        <v>6</v>
      </c>
      <c r="V25" s="553">
        <v>2</v>
      </c>
      <c r="W25" s="553">
        <v>12</v>
      </c>
      <c r="X25" s="560">
        <f>'1-ABA-DE-CARREGAMENTO'!$C$92+'1-ABA-DE-CARREGAMENTO'!$D$92+'1-ABA-DE-CARREGAMENTO'!$E$92</f>
        <v>6</v>
      </c>
      <c r="Y25" s="554">
        <v>1</v>
      </c>
      <c r="Z25" s="555">
        <v>6</v>
      </c>
      <c r="AA25" s="561">
        <f>'1-ABA-DE-CARREGAMENTO'!$C$92+'1-ABA-DE-CARREGAMENTO'!$D$92+'1-ABA-DE-CARREGAMENTO'!$E$92</f>
        <v>6</v>
      </c>
      <c r="AB25" s="548">
        <v>0</v>
      </c>
      <c r="AC25" s="548">
        <v>12</v>
      </c>
      <c r="AD25" s="548">
        <v>1</v>
      </c>
      <c r="AE25" s="548">
        <v>0</v>
      </c>
      <c r="AF25" s="548">
        <v>12</v>
      </c>
      <c r="AG25" s="548">
        <v>1</v>
      </c>
      <c r="AH25" s="548">
        <v>0</v>
      </c>
      <c r="AI25" s="548">
        <v>12</v>
      </c>
      <c r="AJ25" s="548">
        <v>1</v>
      </c>
      <c r="AK25" s="548">
        <v>0</v>
      </c>
      <c r="AL25" s="548">
        <v>12</v>
      </c>
      <c r="AM25" s="548">
        <v>1</v>
      </c>
    </row>
    <row r="26" spans="1:39">
      <c r="A26" s="562">
        <v>24</v>
      </c>
      <c r="B26" s="572" t="s">
        <v>368</v>
      </c>
      <c r="C26" s="558" t="s">
        <v>342</v>
      </c>
      <c r="D26" s="567">
        <v>0</v>
      </c>
      <c r="E26" s="567">
        <v>12</v>
      </c>
      <c r="F26" s="559">
        <f>('1-ABA-DE-CARREGAMENTO'!$C$92+'1-ABA-DE-CARREGAMENTO'!$D$92+'1-ABA-DE-CARREGAMENTO'!$E$92)</f>
        <v>6</v>
      </c>
      <c r="G26" s="567">
        <v>0</v>
      </c>
      <c r="H26" s="567">
        <v>12</v>
      </c>
      <c r="I26" s="559">
        <f>('1-ABA-DE-CARREGAMENTO'!$C$92+'1-ABA-DE-CARREGAMENTO'!$D$92+'1-ABA-DE-CARREGAMENTO'!$E$92)</f>
        <v>6</v>
      </c>
      <c r="J26" s="551">
        <v>1</v>
      </c>
      <c r="K26" s="551">
        <v>12</v>
      </c>
      <c r="L26" s="559">
        <f>'1-ABA-DE-CARREGAMENTO'!$C$92+'1-ABA-DE-CARREGAMENTO'!$D$92+'1-ABA-DE-CARREGAMENTO'!$E$92</f>
        <v>6</v>
      </c>
      <c r="M26" s="567">
        <v>0</v>
      </c>
      <c r="N26" s="567">
        <v>12</v>
      </c>
      <c r="O26" s="559">
        <f>'1-ABA-DE-CARREGAMENTO'!$C$92+'1-ABA-DE-CARREGAMENTO'!$D$92+'1-ABA-DE-CARREGAMENTO'!$E$92</f>
        <v>6</v>
      </c>
      <c r="P26" s="567">
        <v>0</v>
      </c>
      <c r="Q26" s="567">
        <v>12</v>
      </c>
      <c r="R26" s="559">
        <f>'1-ABA-DE-CARREGAMENTO'!$C$92+'1-ABA-DE-CARREGAMENTO'!$D$92+'1-ABA-DE-CARREGAMENTO'!$E$92</f>
        <v>6</v>
      </c>
      <c r="S26" s="567">
        <v>0</v>
      </c>
      <c r="T26" s="567">
        <v>12</v>
      </c>
      <c r="U26" s="559">
        <f>'1-ABA-DE-CARREGAMENTO'!$C$92+'1-ABA-DE-CARREGAMENTO'!$D$92+'1-ABA-DE-CARREGAMENTO'!$E$92</f>
        <v>6</v>
      </c>
      <c r="V26" s="568">
        <v>0</v>
      </c>
      <c r="W26" s="568">
        <v>12</v>
      </c>
      <c r="X26" s="560">
        <f>'1-ABA-DE-CARREGAMENTO'!$C$92+'1-ABA-DE-CARREGAMENTO'!$D$92+'1-ABA-DE-CARREGAMENTO'!$E$92</f>
        <v>6</v>
      </c>
      <c r="Y26" s="554">
        <v>1</v>
      </c>
      <c r="Z26" s="555">
        <v>6</v>
      </c>
      <c r="AA26" s="561">
        <f>'1-ABA-DE-CARREGAMENTO'!$C$92+'1-ABA-DE-CARREGAMENTO'!$D$92+'1-ABA-DE-CARREGAMENTO'!$E$92</f>
        <v>6</v>
      </c>
      <c r="AB26" s="548">
        <v>0</v>
      </c>
      <c r="AC26" s="548">
        <v>12</v>
      </c>
      <c r="AD26" s="548">
        <v>1</v>
      </c>
      <c r="AE26" s="548">
        <v>0</v>
      </c>
      <c r="AF26" s="548">
        <v>12</v>
      </c>
      <c r="AG26" s="548">
        <v>1</v>
      </c>
      <c r="AH26" s="548">
        <v>0</v>
      </c>
      <c r="AI26" s="548">
        <v>12</v>
      </c>
      <c r="AJ26" s="548">
        <v>1</v>
      </c>
      <c r="AK26" s="548">
        <v>0</v>
      </c>
      <c r="AL26" s="548">
        <v>12</v>
      </c>
      <c r="AM26" s="548">
        <v>1</v>
      </c>
    </row>
    <row r="27" spans="1:39">
      <c r="A27" s="564">
        <v>25</v>
      </c>
      <c r="B27" s="563" t="s">
        <v>369</v>
      </c>
      <c r="C27" s="558" t="s">
        <v>339</v>
      </c>
      <c r="D27" s="551">
        <v>1</v>
      </c>
      <c r="E27" s="551">
        <v>12</v>
      </c>
      <c r="F27" s="551">
        <v>2</v>
      </c>
      <c r="G27" s="551">
        <v>2</v>
      </c>
      <c r="H27" s="551">
        <v>12</v>
      </c>
      <c r="I27" s="551">
        <v>2</v>
      </c>
      <c r="J27" s="551">
        <v>2</v>
      </c>
      <c r="K27" s="551">
        <v>12</v>
      </c>
      <c r="L27" s="559">
        <f>'1-ABA-DE-CARREGAMENTO'!$C$92+'1-ABA-DE-CARREGAMENTO'!$D$92+'1-ABA-DE-CARREGAMENTO'!$E$92</f>
        <v>6</v>
      </c>
      <c r="M27" s="551">
        <v>1</v>
      </c>
      <c r="N27" s="551">
        <v>12</v>
      </c>
      <c r="O27" s="559">
        <f>'1-ABA-DE-CARREGAMENTO'!$C$92+'1-ABA-DE-CARREGAMENTO'!$D$92+'1-ABA-DE-CARREGAMENTO'!$E$92</f>
        <v>6</v>
      </c>
      <c r="P27" s="551">
        <v>1</v>
      </c>
      <c r="Q27" s="551">
        <v>12</v>
      </c>
      <c r="R27" s="559">
        <f>'1-ABA-DE-CARREGAMENTO'!$C$92+'1-ABA-DE-CARREGAMENTO'!$D$92+'1-ABA-DE-CARREGAMENTO'!$E$92</f>
        <v>6</v>
      </c>
      <c r="S27" s="551">
        <v>2</v>
      </c>
      <c r="T27" s="551">
        <v>12</v>
      </c>
      <c r="U27" s="559">
        <f>'1-ABA-DE-CARREGAMENTO'!$C$92+'1-ABA-DE-CARREGAMENTO'!$D$92+'1-ABA-DE-CARREGAMENTO'!$E$92</f>
        <v>6</v>
      </c>
      <c r="V27" s="553">
        <v>2</v>
      </c>
      <c r="W27" s="553">
        <v>12</v>
      </c>
      <c r="X27" s="560">
        <f>'1-ABA-DE-CARREGAMENTO'!$C$92+'1-ABA-DE-CARREGAMENTO'!$D$92+'1-ABA-DE-CARREGAMENTO'!$E$92</f>
        <v>6</v>
      </c>
      <c r="Y27" s="554">
        <v>2</v>
      </c>
      <c r="Z27" s="555">
        <v>6</v>
      </c>
      <c r="AA27" s="561">
        <f>'1-ABA-DE-CARREGAMENTO'!$C$92+'1-ABA-DE-CARREGAMENTO'!$D$92+'1-ABA-DE-CARREGAMENTO'!$E$92</f>
        <v>6</v>
      </c>
      <c r="AB27" s="548">
        <v>0</v>
      </c>
      <c r="AC27" s="548">
        <v>12</v>
      </c>
      <c r="AD27" s="548">
        <v>1</v>
      </c>
      <c r="AE27" s="548">
        <v>0</v>
      </c>
      <c r="AF27" s="548">
        <v>12</v>
      </c>
      <c r="AG27" s="548">
        <v>1</v>
      </c>
      <c r="AH27" s="548">
        <v>0</v>
      </c>
      <c r="AI27" s="548">
        <v>12</v>
      </c>
      <c r="AJ27" s="548">
        <v>1</v>
      </c>
      <c r="AK27" s="548">
        <v>0</v>
      </c>
      <c r="AL27" s="548">
        <v>12</v>
      </c>
      <c r="AM27" s="548">
        <v>1</v>
      </c>
    </row>
    <row r="28" spans="1:39">
      <c r="A28" s="562">
        <v>26</v>
      </c>
      <c r="B28" s="563" t="s">
        <v>370</v>
      </c>
      <c r="C28" s="558" t="s">
        <v>339</v>
      </c>
      <c r="D28" s="551">
        <v>1</v>
      </c>
      <c r="E28" s="551">
        <v>12</v>
      </c>
      <c r="F28" s="551">
        <v>2</v>
      </c>
      <c r="G28" s="551">
        <v>2</v>
      </c>
      <c r="H28" s="551">
        <v>12</v>
      </c>
      <c r="I28" s="559">
        <f>('1-ABA-DE-CARREGAMENTO'!$C$92+'1-ABA-DE-CARREGAMENTO'!$D$92+'1-ABA-DE-CARREGAMENTO'!$E$92)</f>
        <v>6</v>
      </c>
      <c r="J28" s="551">
        <v>1</v>
      </c>
      <c r="K28" s="551">
        <v>12</v>
      </c>
      <c r="L28" s="551">
        <v>2</v>
      </c>
      <c r="M28" s="551">
        <v>1</v>
      </c>
      <c r="N28" s="551">
        <v>12</v>
      </c>
      <c r="O28" s="551">
        <v>1</v>
      </c>
      <c r="P28" s="551">
        <v>1</v>
      </c>
      <c r="Q28" s="551">
        <v>12</v>
      </c>
      <c r="R28" s="559">
        <f>'1-ABA-DE-CARREGAMENTO'!$C$92+'1-ABA-DE-CARREGAMENTO'!$D$92+'1-ABA-DE-CARREGAMENTO'!$E$92</f>
        <v>6</v>
      </c>
      <c r="S28" s="567">
        <v>0</v>
      </c>
      <c r="T28" s="567">
        <v>12</v>
      </c>
      <c r="U28" s="559">
        <f>'1-ABA-DE-CARREGAMENTO'!$C$92+'1-ABA-DE-CARREGAMENTO'!$D$92+'1-ABA-DE-CARREGAMENTO'!$E$92</f>
        <v>6</v>
      </c>
      <c r="V28" s="573">
        <v>1</v>
      </c>
      <c r="W28" s="573">
        <v>12</v>
      </c>
      <c r="X28" s="560">
        <f>'1-ABA-DE-CARREGAMENTO'!$C$92+'1-ABA-DE-CARREGAMENTO'!$D$92+'1-ABA-DE-CARREGAMENTO'!$E$92</f>
        <v>6</v>
      </c>
      <c r="Y28" s="565">
        <v>0</v>
      </c>
      <c r="Z28" s="566">
        <v>12</v>
      </c>
      <c r="AA28" s="561">
        <f>'1-ABA-DE-CARREGAMENTO'!$C$92+'1-ABA-DE-CARREGAMENTO'!$D$92+'1-ABA-DE-CARREGAMENTO'!$E$92</f>
        <v>6</v>
      </c>
      <c r="AB28" s="548">
        <v>0</v>
      </c>
      <c r="AC28" s="548">
        <v>12</v>
      </c>
      <c r="AD28" s="548">
        <v>1</v>
      </c>
      <c r="AE28" s="548">
        <v>0</v>
      </c>
      <c r="AF28" s="548">
        <v>12</v>
      </c>
      <c r="AG28" s="548">
        <v>1</v>
      </c>
      <c r="AH28" s="548">
        <v>0</v>
      </c>
      <c r="AI28" s="548">
        <v>12</v>
      </c>
      <c r="AJ28" s="548">
        <v>1</v>
      </c>
      <c r="AK28" s="548">
        <v>0</v>
      </c>
      <c r="AL28" s="548">
        <v>12</v>
      </c>
      <c r="AM28" s="548">
        <v>1</v>
      </c>
    </row>
    <row r="29" spans="1:39">
      <c r="A29" s="564">
        <v>27</v>
      </c>
      <c r="B29" s="563" t="s">
        <v>371</v>
      </c>
      <c r="C29" s="558" t="s">
        <v>342</v>
      </c>
      <c r="D29" s="567">
        <v>0</v>
      </c>
      <c r="E29" s="567">
        <v>12</v>
      </c>
      <c r="F29" s="559">
        <f>('1-ABA-DE-CARREGAMENTO'!$C$92+'1-ABA-DE-CARREGAMENTO'!$D$92+'1-ABA-DE-CARREGAMENTO'!$E$92)</f>
        <v>6</v>
      </c>
      <c r="G29" s="551">
        <v>2</v>
      </c>
      <c r="H29" s="551">
        <v>12</v>
      </c>
      <c r="I29" s="559">
        <f>('1-ABA-DE-CARREGAMENTO'!$C$92+'1-ABA-DE-CARREGAMENTO'!$D$92+'1-ABA-DE-CARREGAMENTO'!$E$92)</f>
        <v>6</v>
      </c>
      <c r="J29" s="567">
        <v>0</v>
      </c>
      <c r="K29" s="567">
        <v>12</v>
      </c>
      <c r="L29" s="559">
        <f>'1-ABA-DE-CARREGAMENTO'!$C$92+'1-ABA-DE-CARREGAMENTO'!$D$92+'1-ABA-DE-CARREGAMENTO'!$E$92</f>
        <v>6</v>
      </c>
      <c r="M29" s="567">
        <v>0</v>
      </c>
      <c r="N29" s="567">
        <v>12</v>
      </c>
      <c r="O29" s="559">
        <f>'1-ABA-DE-CARREGAMENTO'!$C$92+'1-ABA-DE-CARREGAMENTO'!$D$92+'1-ABA-DE-CARREGAMENTO'!$E$92</f>
        <v>6</v>
      </c>
      <c r="P29" s="567">
        <v>0</v>
      </c>
      <c r="Q29" s="567">
        <v>12</v>
      </c>
      <c r="R29" s="559">
        <f>'1-ABA-DE-CARREGAMENTO'!$C$92+'1-ABA-DE-CARREGAMENTO'!$D$92+'1-ABA-DE-CARREGAMENTO'!$E$92</f>
        <v>6</v>
      </c>
      <c r="S29" s="567">
        <v>0</v>
      </c>
      <c r="T29" s="567">
        <v>12</v>
      </c>
      <c r="U29" s="559">
        <f>'1-ABA-DE-CARREGAMENTO'!$C$92+'1-ABA-DE-CARREGAMENTO'!$D$92+'1-ABA-DE-CARREGAMENTO'!$E$92</f>
        <v>6</v>
      </c>
      <c r="V29" s="553">
        <v>3</v>
      </c>
      <c r="W29" s="553">
        <v>12</v>
      </c>
      <c r="X29" s="560">
        <f>'1-ABA-DE-CARREGAMENTO'!$C$92+'1-ABA-DE-CARREGAMENTO'!$D$92+'1-ABA-DE-CARREGAMENTO'!$E$92</f>
        <v>6</v>
      </c>
      <c r="Y29" s="565">
        <v>0</v>
      </c>
      <c r="Z29" s="566">
        <v>12</v>
      </c>
      <c r="AA29" s="561">
        <f>'1-ABA-DE-CARREGAMENTO'!$C$92+'1-ABA-DE-CARREGAMENTO'!$D$92+'1-ABA-DE-CARREGAMENTO'!$E$92</f>
        <v>6</v>
      </c>
      <c r="AB29" s="548">
        <v>0</v>
      </c>
      <c r="AC29" s="548">
        <v>12</v>
      </c>
      <c r="AD29" s="548">
        <v>1</v>
      </c>
      <c r="AE29" s="548">
        <v>0</v>
      </c>
      <c r="AF29" s="548">
        <v>12</v>
      </c>
      <c r="AG29" s="548">
        <v>1</v>
      </c>
      <c r="AH29" s="548">
        <v>0</v>
      </c>
      <c r="AI29" s="548">
        <v>12</v>
      </c>
      <c r="AJ29" s="548">
        <v>1</v>
      </c>
      <c r="AK29" s="548">
        <v>0</v>
      </c>
      <c r="AL29" s="548">
        <v>12</v>
      </c>
      <c r="AM29" s="548">
        <v>1</v>
      </c>
    </row>
    <row r="30" spans="1:39">
      <c r="A30" s="562">
        <v>28</v>
      </c>
      <c r="B30" s="563" t="s">
        <v>372</v>
      </c>
      <c r="C30" s="558" t="s">
        <v>342</v>
      </c>
      <c r="D30" s="567">
        <v>0</v>
      </c>
      <c r="E30" s="567">
        <v>12</v>
      </c>
      <c r="F30" s="559">
        <f>('1-ABA-DE-CARREGAMENTO'!$C$92+'1-ABA-DE-CARREGAMENTO'!$D$92+'1-ABA-DE-CARREGAMENTO'!$E$92)</f>
        <v>6</v>
      </c>
      <c r="G30" s="567">
        <v>0</v>
      </c>
      <c r="H30" s="567">
        <v>12</v>
      </c>
      <c r="I30" s="559">
        <f>('1-ABA-DE-CARREGAMENTO'!$C$92+'1-ABA-DE-CARREGAMENTO'!$D$92+'1-ABA-DE-CARREGAMENTO'!$E$92)</f>
        <v>6</v>
      </c>
      <c r="J30" s="567">
        <v>0</v>
      </c>
      <c r="K30" s="567">
        <v>12</v>
      </c>
      <c r="L30" s="559">
        <f>'1-ABA-DE-CARREGAMENTO'!$C$92+'1-ABA-DE-CARREGAMENTO'!$D$92+'1-ABA-DE-CARREGAMENTO'!$E$92</f>
        <v>6</v>
      </c>
      <c r="M30" s="567">
        <v>0</v>
      </c>
      <c r="N30" s="567">
        <v>12</v>
      </c>
      <c r="O30" s="559">
        <f>'1-ABA-DE-CARREGAMENTO'!$C$92+'1-ABA-DE-CARREGAMENTO'!$D$92+'1-ABA-DE-CARREGAMENTO'!$E$92</f>
        <v>6</v>
      </c>
      <c r="P30" s="567">
        <v>0</v>
      </c>
      <c r="Q30" s="567">
        <v>12</v>
      </c>
      <c r="R30" s="559">
        <f>'1-ABA-DE-CARREGAMENTO'!$C$92+'1-ABA-DE-CARREGAMENTO'!$D$92+'1-ABA-DE-CARREGAMENTO'!$E$92</f>
        <v>6</v>
      </c>
      <c r="S30" s="567">
        <v>0</v>
      </c>
      <c r="T30" s="567">
        <v>12</v>
      </c>
      <c r="U30" s="559">
        <f>'1-ABA-DE-CARREGAMENTO'!$C$92+'1-ABA-DE-CARREGAMENTO'!$D$92+'1-ABA-DE-CARREGAMENTO'!$E$92</f>
        <v>6</v>
      </c>
      <c r="V30" s="573">
        <v>3</v>
      </c>
      <c r="W30" s="573">
        <v>12</v>
      </c>
      <c r="X30" s="553">
        <v>3</v>
      </c>
      <c r="Y30" s="565">
        <v>0</v>
      </c>
      <c r="Z30" s="566">
        <v>12</v>
      </c>
      <c r="AA30" s="561">
        <f>'1-ABA-DE-CARREGAMENTO'!$C$92+'1-ABA-DE-CARREGAMENTO'!$D$92+'1-ABA-DE-CARREGAMENTO'!$E$92</f>
        <v>6</v>
      </c>
      <c r="AB30" s="548">
        <v>0</v>
      </c>
      <c r="AC30" s="548">
        <v>12</v>
      </c>
      <c r="AD30" s="548">
        <v>1</v>
      </c>
      <c r="AE30" s="548">
        <v>0</v>
      </c>
      <c r="AF30" s="548">
        <v>12</v>
      </c>
      <c r="AG30" s="548">
        <v>1</v>
      </c>
      <c r="AH30" s="548">
        <v>0</v>
      </c>
      <c r="AI30" s="548">
        <v>12</v>
      </c>
      <c r="AJ30" s="548">
        <v>1</v>
      </c>
      <c r="AK30" s="548">
        <v>0</v>
      </c>
      <c r="AL30" s="548">
        <v>12</v>
      </c>
      <c r="AM30" s="548">
        <v>1</v>
      </c>
    </row>
    <row r="31" spans="1:39">
      <c r="A31" s="564">
        <v>29</v>
      </c>
      <c r="B31" s="563" t="s">
        <v>373</v>
      </c>
      <c r="C31" s="558" t="s">
        <v>342</v>
      </c>
      <c r="D31" s="567">
        <v>0</v>
      </c>
      <c r="E31" s="567">
        <v>12</v>
      </c>
      <c r="F31" s="559">
        <f>('1-ABA-DE-CARREGAMENTO'!$C$92+'1-ABA-DE-CARREGAMENTO'!$D$92+'1-ABA-DE-CARREGAMENTO'!$E$92)</f>
        <v>6</v>
      </c>
      <c r="G31" s="551">
        <v>2</v>
      </c>
      <c r="H31" s="551">
        <v>12</v>
      </c>
      <c r="I31" s="559">
        <f>('1-ABA-DE-CARREGAMENTO'!$C$92+'1-ABA-DE-CARREGAMENTO'!$D$92+'1-ABA-DE-CARREGAMENTO'!$E$92)</f>
        <v>6</v>
      </c>
      <c r="J31" s="567">
        <v>0</v>
      </c>
      <c r="K31" s="567">
        <v>12</v>
      </c>
      <c r="L31" s="559">
        <f>'1-ABA-DE-CARREGAMENTO'!$C$92+'1-ABA-DE-CARREGAMENTO'!$D$92+'1-ABA-DE-CARREGAMENTO'!$E$92</f>
        <v>6</v>
      </c>
      <c r="M31" s="567">
        <v>0</v>
      </c>
      <c r="N31" s="567">
        <v>12</v>
      </c>
      <c r="O31" s="559">
        <f>'1-ABA-DE-CARREGAMENTO'!$C$92+'1-ABA-DE-CARREGAMENTO'!$D$92+'1-ABA-DE-CARREGAMENTO'!$E$92</f>
        <v>6</v>
      </c>
      <c r="P31" s="567">
        <v>0</v>
      </c>
      <c r="Q31" s="567">
        <v>12</v>
      </c>
      <c r="R31" s="559">
        <f>'1-ABA-DE-CARREGAMENTO'!$C$92+'1-ABA-DE-CARREGAMENTO'!$D$92+'1-ABA-DE-CARREGAMENTO'!$E$92</f>
        <v>6</v>
      </c>
      <c r="S31" s="567">
        <v>0</v>
      </c>
      <c r="T31" s="567">
        <v>12</v>
      </c>
      <c r="U31" s="559">
        <f>'1-ABA-DE-CARREGAMENTO'!$C$92+'1-ABA-DE-CARREGAMENTO'!$D$92+'1-ABA-DE-CARREGAMENTO'!$E$92</f>
        <v>6</v>
      </c>
      <c r="V31" s="553">
        <v>4</v>
      </c>
      <c r="W31" s="553">
        <v>12</v>
      </c>
      <c r="X31" s="560">
        <f>'1-ABA-DE-CARREGAMENTO'!$C$92+'1-ABA-DE-CARREGAMENTO'!$D$92+'1-ABA-DE-CARREGAMENTO'!$E$92</f>
        <v>6</v>
      </c>
      <c r="Y31" s="565">
        <v>0</v>
      </c>
      <c r="Z31" s="566">
        <v>12</v>
      </c>
      <c r="AA31" s="561">
        <f>'1-ABA-DE-CARREGAMENTO'!$C$92+'1-ABA-DE-CARREGAMENTO'!$D$92+'1-ABA-DE-CARREGAMENTO'!$E$92</f>
        <v>6</v>
      </c>
      <c r="AB31" s="548">
        <v>0</v>
      </c>
      <c r="AC31" s="548">
        <v>12</v>
      </c>
      <c r="AD31" s="548">
        <v>1</v>
      </c>
      <c r="AE31" s="548">
        <v>0</v>
      </c>
      <c r="AF31" s="548">
        <v>12</v>
      </c>
      <c r="AG31" s="548">
        <v>1</v>
      </c>
      <c r="AH31" s="548">
        <v>0</v>
      </c>
      <c r="AI31" s="548">
        <v>12</v>
      </c>
      <c r="AJ31" s="548">
        <v>1</v>
      </c>
      <c r="AK31" s="548">
        <v>0</v>
      </c>
      <c r="AL31" s="548">
        <v>12</v>
      </c>
      <c r="AM31" s="548">
        <v>1</v>
      </c>
    </row>
    <row r="32" spans="1:39">
      <c r="A32" s="562">
        <v>30</v>
      </c>
      <c r="B32" s="563" t="s">
        <v>374</v>
      </c>
      <c r="C32" s="558" t="s">
        <v>342</v>
      </c>
      <c r="D32" s="567">
        <v>0</v>
      </c>
      <c r="E32" s="567">
        <v>12</v>
      </c>
      <c r="F32" s="559">
        <f>('1-ABA-DE-CARREGAMENTO'!$C$92+'1-ABA-DE-CARREGAMENTO'!$D$92+'1-ABA-DE-CARREGAMENTO'!$E$92)</f>
        <v>6</v>
      </c>
      <c r="G32" s="567">
        <v>0</v>
      </c>
      <c r="H32" s="567">
        <v>12</v>
      </c>
      <c r="I32" s="559">
        <f>('1-ABA-DE-CARREGAMENTO'!$C$92+'1-ABA-DE-CARREGAMENTO'!$D$92+'1-ABA-DE-CARREGAMENTO'!$E$92)</f>
        <v>6</v>
      </c>
      <c r="J32" s="567">
        <v>0</v>
      </c>
      <c r="K32" s="567">
        <v>12</v>
      </c>
      <c r="L32" s="559">
        <f>'1-ABA-DE-CARREGAMENTO'!$C$92+'1-ABA-DE-CARREGAMENTO'!$D$92+'1-ABA-DE-CARREGAMENTO'!$E$92</f>
        <v>6</v>
      </c>
      <c r="M32" s="567">
        <v>0</v>
      </c>
      <c r="N32" s="567">
        <v>12</v>
      </c>
      <c r="O32" s="559">
        <f>'1-ABA-DE-CARREGAMENTO'!$C$92+'1-ABA-DE-CARREGAMENTO'!$D$92+'1-ABA-DE-CARREGAMENTO'!$E$92</f>
        <v>6</v>
      </c>
      <c r="P32" s="567">
        <v>0</v>
      </c>
      <c r="Q32" s="567">
        <v>12</v>
      </c>
      <c r="R32" s="559">
        <f>'1-ABA-DE-CARREGAMENTO'!$C$92+'1-ABA-DE-CARREGAMENTO'!$D$92+'1-ABA-DE-CARREGAMENTO'!$E$92</f>
        <v>6</v>
      </c>
      <c r="S32" s="567">
        <v>0</v>
      </c>
      <c r="T32" s="567">
        <v>12</v>
      </c>
      <c r="U32" s="559">
        <f>'1-ABA-DE-CARREGAMENTO'!$C$92+'1-ABA-DE-CARREGAMENTO'!$D$92+'1-ABA-DE-CARREGAMENTO'!$E$92</f>
        <v>6</v>
      </c>
      <c r="V32" s="573">
        <v>3</v>
      </c>
      <c r="W32" s="573">
        <v>12</v>
      </c>
      <c r="X32" s="553">
        <v>3</v>
      </c>
      <c r="Y32" s="565">
        <v>0</v>
      </c>
      <c r="Z32" s="566">
        <v>12</v>
      </c>
      <c r="AA32" s="561">
        <f>'1-ABA-DE-CARREGAMENTO'!$C$92+'1-ABA-DE-CARREGAMENTO'!$D$92+'1-ABA-DE-CARREGAMENTO'!$E$92</f>
        <v>6</v>
      </c>
      <c r="AB32" s="548">
        <v>0</v>
      </c>
      <c r="AC32" s="548">
        <v>12</v>
      </c>
      <c r="AD32" s="548">
        <v>1</v>
      </c>
      <c r="AE32" s="548">
        <v>0</v>
      </c>
      <c r="AF32" s="548">
        <v>12</v>
      </c>
      <c r="AG32" s="548">
        <v>1</v>
      </c>
      <c r="AH32" s="548">
        <v>0</v>
      </c>
      <c r="AI32" s="548">
        <v>12</v>
      </c>
      <c r="AJ32" s="548">
        <v>1</v>
      </c>
      <c r="AK32" s="548">
        <v>0</v>
      </c>
      <c r="AL32" s="548">
        <v>12</v>
      </c>
      <c r="AM32" s="548">
        <v>1</v>
      </c>
    </row>
    <row r="33" spans="1:39">
      <c r="A33" s="564">
        <v>31</v>
      </c>
      <c r="B33" s="563" t="s">
        <v>443</v>
      </c>
      <c r="C33" s="558" t="s">
        <v>342</v>
      </c>
      <c r="D33" s="551">
        <v>2</v>
      </c>
      <c r="E33" s="551">
        <v>12</v>
      </c>
      <c r="F33" s="559">
        <f>('1-ABA-DE-CARREGAMENTO'!$C$92+'1-ABA-DE-CARREGAMENTO'!$D$92+'1-ABA-DE-CARREGAMENTO'!$E$92)</f>
        <v>6</v>
      </c>
      <c r="G33" s="551">
        <v>2</v>
      </c>
      <c r="H33" s="551">
        <v>12</v>
      </c>
      <c r="I33" s="559">
        <f>('1-ABA-DE-CARREGAMENTO'!$C$92+'1-ABA-DE-CARREGAMENTO'!$D$92+'1-ABA-DE-CARREGAMENTO'!$E$92)</f>
        <v>6</v>
      </c>
      <c r="J33" s="551">
        <v>1</v>
      </c>
      <c r="K33" s="551">
        <v>12</v>
      </c>
      <c r="L33" s="559">
        <f>'1-ABA-DE-CARREGAMENTO'!$C$92+'1-ABA-DE-CARREGAMENTO'!$D$92+'1-ABA-DE-CARREGAMENTO'!$E$92</f>
        <v>6</v>
      </c>
      <c r="M33" s="551">
        <v>1</v>
      </c>
      <c r="N33" s="551">
        <v>12</v>
      </c>
      <c r="O33" s="559">
        <f>'1-ABA-DE-CARREGAMENTO'!$C$92+'1-ABA-DE-CARREGAMENTO'!$D$92+'1-ABA-DE-CARREGAMENTO'!$E$92</f>
        <v>6</v>
      </c>
      <c r="P33" s="551">
        <v>1</v>
      </c>
      <c r="Q33" s="551">
        <v>12</v>
      </c>
      <c r="R33" s="559">
        <f>'1-ABA-DE-CARREGAMENTO'!$C$92+'1-ABA-DE-CARREGAMENTO'!$D$92+'1-ABA-DE-CARREGAMENTO'!$E$92</f>
        <v>6</v>
      </c>
      <c r="S33" s="551">
        <v>2</v>
      </c>
      <c r="T33" s="551">
        <v>12</v>
      </c>
      <c r="U33" s="559">
        <f>'1-ABA-DE-CARREGAMENTO'!$C$92+'1-ABA-DE-CARREGAMENTO'!$D$92+'1-ABA-DE-CARREGAMENTO'!$E$92</f>
        <v>6</v>
      </c>
      <c r="V33" s="553">
        <v>1</v>
      </c>
      <c r="W33" s="553">
        <v>12</v>
      </c>
      <c r="X33" s="560">
        <f>'1-ABA-DE-CARREGAMENTO'!$C$92+'1-ABA-DE-CARREGAMENTO'!$D$92+'1-ABA-DE-CARREGAMENTO'!$E$92</f>
        <v>6</v>
      </c>
      <c r="Y33" s="554">
        <v>1</v>
      </c>
      <c r="Z33" s="555">
        <v>6</v>
      </c>
      <c r="AA33" s="561">
        <f>'1-ABA-DE-CARREGAMENTO'!$C$92+'1-ABA-DE-CARREGAMENTO'!$D$92+'1-ABA-DE-CARREGAMENTO'!$E$92</f>
        <v>6</v>
      </c>
      <c r="AB33" s="548">
        <v>0</v>
      </c>
      <c r="AC33" s="548">
        <v>12</v>
      </c>
      <c r="AD33" s="548">
        <v>1</v>
      </c>
      <c r="AE33" s="548">
        <v>0</v>
      </c>
      <c r="AF33" s="548">
        <v>12</v>
      </c>
      <c r="AG33" s="548">
        <v>1</v>
      </c>
      <c r="AH33" s="548">
        <v>0</v>
      </c>
      <c r="AI33" s="548">
        <v>12</v>
      </c>
      <c r="AJ33" s="548">
        <v>1</v>
      </c>
      <c r="AK33" s="548">
        <v>0</v>
      </c>
      <c r="AL33" s="548">
        <v>12</v>
      </c>
      <c r="AM33" s="548">
        <v>1</v>
      </c>
    </row>
    <row r="34" spans="1:39">
      <c r="A34" s="562">
        <v>32</v>
      </c>
      <c r="B34" s="563" t="s">
        <v>444</v>
      </c>
      <c r="C34" s="558" t="s">
        <v>342</v>
      </c>
      <c r="D34" s="567">
        <v>0</v>
      </c>
      <c r="E34" s="567">
        <v>12</v>
      </c>
      <c r="F34" s="559">
        <f>('1-ABA-DE-CARREGAMENTO'!$C$92+'1-ABA-DE-CARREGAMENTO'!$D$92+'1-ABA-DE-CARREGAMENTO'!$E$92)</f>
        <v>6</v>
      </c>
      <c r="G34" s="567">
        <v>0</v>
      </c>
      <c r="H34" s="567">
        <v>12</v>
      </c>
      <c r="I34" s="559">
        <f>('1-ABA-DE-CARREGAMENTO'!$C$92+'1-ABA-DE-CARREGAMENTO'!$D$92+'1-ABA-DE-CARREGAMENTO'!$E$92)</f>
        <v>6</v>
      </c>
      <c r="J34" s="551">
        <v>1</v>
      </c>
      <c r="K34" s="551">
        <v>12</v>
      </c>
      <c r="L34" s="551">
        <v>3</v>
      </c>
      <c r="M34" s="567">
        <v>0</v>
      </c>
      <c r="N34" s="567">
        <v>12</v>
      </c>
      <c r="O34" s="559">
        <f>'1-ABA-DE-CARREGAMENTO'!$C$92+'1-ABA-DE-CARREGAMENTO'!$D$92+'1-ABA-DE-CARREGAMENTO'!$E$92</f>
        <v>6</v>
      </c>
      <c r="P34" s="567">
        <v>0</v>
      </c>
      <c r="Q34" s="567">
        <v>12</v>
      </c>
      <c r="R34" s="559">
        <f>'1-ABA-DE-CARREGAMENTO'!$C$92+'1-ABA-DE-CARREGAMENTO'!$D$92+'1-ABA-DE-CARREGAMENTO'!$E$92</f>
        <v>6</v>
      </c>
      <c r="S34" s="567">
        <v>0</v>
      </c>
      <c r="T34" s="567">
        <v>12</v>
      </c>
      <c r="U34" s="559">
        <f>'1-ABA-DE-CARREGAMENTO'!$C$92+'1-ABA-DE-CARREGAMENTO'!$D$92+'1-ABA-DE-CARREGAMENTO'!$E$92</f>
        <v>6</v>
      </c>
      <c r="V34" s="573">
        <v>1</v>
      </c>
      <c r="W34" s="573">
        <v>12</v>
      </c>
      <c r="X34" s="553">
        <v>4</v>
      </c>
      <c r="Y34" s="565">
        <v>0</v>
      </c>
      <c r="Z34" s="566">
        <v>12</v>
      </c>
      <c r="AA34" s="561">
        <f>'1-ABA-DE-CARREGAMENTO'!$C$92+'1-ABA-DE-CARREGAMENTO'!$D$92+'1-ABA-DE-CARREGAMENTO'!$E$92</f>
        <v>6</v>
      </c>
      <c r="AB34" s="548">
        <v>0</v>
      </c>
      <c r="AC34" s="548">
        <v>12</v>
      </c>
      <c r="AD34" s="548">
        <v>1</v>
      </c>
      <c r="AE34" s="548">
        <v>0</v>
      </c>
      <c r="AF34" s="548">
        <v>12</v>
      </c>
      <c r="AG34" s="548">
        <v>1</v>
      </c>
      <c r="AH34" s="548">
        <v>0</v>
      </c>
      <c r="AI34" s="548">
        <v>12</v>
      </c>
      <c r="AJ34" s="548">
        <v>1</v>
      </c>
      <c r="AK34" s="548">
        <v>0</v>
      </c>
      <c r="AL34" s="548">
        <v>12</v>
      </c>
      <c r="AM34" s="548">
        <v>1</v>
      </c>
    </row>
    <row r="35" spans="1:39">
      <c r="A35" s="564">
        <v>33</v>
      </c>
      <c r="B35" s="563" t="s">
        <v>445</v>
      </c>
      <c r="C35" s="558" t="s">
        <v>342</v>
      </c>
      <c r="D35" s="551">
        <v>2</v>
      </c>
      <c r="E35" s="551">
        <v>12</v>
      </c>
      <c r="F35" s="559">
        <f>('1-ABA-DE-CARREGAMENTO'!$C$92+'1-ABA-DE-CARREGAMENTO'!$D$92+'1-ABA-DE-CARREGAMENTO'!$E$92)</f>
        <v>6</v>
      </c>
      <c r="G35" s="551">
        <v>2</v>
      </c>
      <c r="H35" s="551">
        <v>12</v>
      </c>
      <c r="I35" s="559">
        <f>('1-ABA-DE-CARREGAMENTO'!$C$92+'1-ABA-DE-CARREGAMENTO'!$D$92+'1-ABA-DE-CARREGAMENTO'!$E$92)</f>
        <v>6</v>
      </c>
      <c r="J35" s="551">
        <v>1</v>
      </c>
      <c r="K35" s="551">
        <v>12</v>
      </c>
      <c r="L35" s="559">
        <f>'1-ABA-DE-CARREGAMENTO'!$C$92+'1-ABA-DE-CARREGAMENTO'!$D$92+'1-ABA-DE-CARREGAMENTO'!$E$92</f>
        <v>6</v>
      </c>
      <c r="M35" s="551">
        <v>1</v>
      </c>
      <c r="N35" s="551">
        <v>12</v>
      </c>
      <c r="O35" s="559">
        <f>'1-ABA-DE-CARREGAMENTO'!$C$92+'1-ABA-DE-CARREGAMENTO'!$D$92+'1-ABA-DE-CARREGAMENTO'!$E$92</f>
        <v>6</v>
      </c>
      <c r="P35" s="551">
        <v>1</v>
      </c>
      <c r="Q35" s="551">
        <v>12</v>
      </c>
      <c r="R35" s="559">
        <f>'1-ABA-DE-CARREGAMENTO'!$C$92+'1-ABA-DE-CARREGAMENTO'!$D$92+'1-ABA-DE-CARREGAMENTO'!$E$92</f>
        <v>6</v>
      </c>
      <c r="S35" s="551">
        <v>0</v>
      </c>
      <c r="T35" s="551">
        <v>12</v>
      </c>
      <c r="U35" s="559">
        <f>'1-ABA-DE-CARREGAMENTO'!$C$92+'1-ABA-DE-CARREGAMENTO'!$D$92+'1-ABA-DE-CARREGAMENTO'!$E$92</f>
        <v>6</v>
      </c>
      <c r="V35" s="553">
        <v>4</v>
      </c>
      <c r="W35" s="553">
        <v>12</v>
      </c>
      <c r="X35" s="560">
        <f>'1-ABA-DE-CARREGAMENTO'!$C$92+'1-ABA-DE-CARREGAMENTO'!$D$92+'1-ABA-DE-CARREGAMENTO'!$E$92</f>
        <v>6</v>
      </c>
      <c r="Y35" s="554">
        <v>1</v>
      </c>
      <c r="Z35" s="555">
        <v>6</v>
      </c>
      <c r="AA35" s="561">
        <f>'1-ABA-DE-CARREGAMENTO'!$C$92+'1-ABA-DE-CARREGAMENTO'!$D$92+'1-ABA-DE-CARREGAMENTO'!$E$92</f>
        <v>6</v>
      </c>
      <c r="AB35" s="548">
        <v>0</v>
      </c>
      <c r="AC35" s="548">
        <v>12</v>
      </c>
      <c r="AD35" s="548">
        <v>1</v>
      </c>
      <c r="AE35" s="548">
        <v>0</v>
      </c>
      <c r="AF35" s="548">
        <v>12</v>
      </c>
      <c r="AG35" s="548">
        <v>1</v>
      </c>
      <c r="AH35" s="548">
        <v>0</v>
      </c>
      <c r="AI35" s="548">
        <v>12</v>
      </c>
      <c r="AJ35" s="548">
        <v>1</v>
      </c>
      <c r="AK35" s="548">
        <v>0</v>
      </c>
      <c r="AL35" s="548">
        <v>12</v>
      </c>
      <c r="AM35" s="548">
        <v>1</v>
      </c>
    </row>
    <row r="36" spans="1:39">
      <c r="A36" s="562">
        <v>34</v>
      </c>
      <c r="B36" s="563" t="s">
        <v>378</v>
      </c>
      <c r="C36" s="558" t="s">
        <v>351</v>
      </c>
      <c r="D36" s="551">
        <v>0</v>
      </c>
      <c r="E36" s="551">
        <v>12</v>
      </c>
      <c r="F36" s="559">
        <f>('1-ABA-DE-CARREGAMENTO'!$C$92+'1-ABA-DE-CARREGAMENTO'!$D$92+'1-ABA-DE-CARREGAMENTO'!$E$92)</f>
        <v>6</v>
      </c>
      <c r="G36" s="551">
        <v>1</v>
      </c>
      <c r="H36" s="551">
        <v>12</v>
      </c>
      <c r="I36" s="559">
        <f>('1-ABA-DE-CARREGAMENTO'!$C$92+'1-ABA-DE-CARREGAMENTO'!$D$92+'1-ABA-DE-CARREGAMENTO'!$E$92)</f>
        <v>6</v>
      </c>
      <c r="J36" s="551">
        <v>3</v>
      </c>
      <c r="K36" s="551">
        <v>12</v>
      </c>
      <c r="L36" s="559">
        <f>'1-ABA-DE-CARREGAMENTO'!$C$92+'1-ABA-DE-CARREGAMENTO'!$D$92+'1-ABA-DE-CARREGAMENTO'!$E$92</f>
        <v>6</v>
      </c>
      <c r="M36" s="551">
        <v>4</v>
      </c>
      <c r="N36" s="551">
        <v>12</v>
      </c>
      <c r="O36" s="559">
        <f>'1-ABA-DE-CARREGAMENTO'!$C$92+'1-ABA-DE-CARREGAMENTO'!$D$92+'1-ABA-DE-CARREGAMENTO'!$E$92</f>
        <v>6</v>
      </c>
      <c r="P36" s="551">
        <v>4</v>
      </c>
      <c r="Q36" s="551">
        <v>12</v>
      </c>
      <c r="R36" s="559">
        <f>'1-ABA-DE-CARREGAMENTO'!$C$92+'1-ABA-DE-CARREGAMENTO'!$D$92+'1-ABA-DE-CARREGAMENTO'!$E$92</f>
        <v>6</v>
      </c>
      <c r="S36" s="551">
        <v>12</v>
      </c>
      <c r="T36" s="551">
        <v>12</v>
      </c>
      <c r="U36" s="559">
        <f>'1-ABA-DE-CARREGAMENTO'!$C$92+'1-ABA-DE-CARREGAMENTO'!$D$92+'1-ABA-DE-CARREGAMENTO'!$E$92</f>
        <v>6</v>
      </c>
      <c r="V36" s="553">
        <v>4</v>
      </c>
      <c r="W36" s="553">
        <v>12</v>
      </c>
      <c r="X36" s="560">
        <f>'1-ABA-DE-CARREGAMENTO'!$C$92+'1-ABA-DE-CARREGAMENTO'!$D$92+'1-ABA-DE-CARREGAMENTO'!$E$92</f>
        <v>6</v>
      </c>
      <c r="Y36" s="554">
        <v>1</v>
      </c>
      <c r="Z36" s="555">
        <v>6</v>
      </c>
      <c r="AA36" s="561">
        <f>'1-ABA-DE-CARREGAMENTO'!$C$92+'1-ABA-DE-CARREGAMENTO'!$D$92+'1-ABA-DE-CARREGAMENTO'!$E$92</f>
        <v>6</v>
      </c>
      <c r="AB36" s="548">
        <v>0</v>
      </c>
      <c r="AC36" s="548">
        <v>12</v>
      </c>
      <c r="AD36" s="548">
        <v>1</v>
      </c>
      <c r="AE36" s="548">
        <v>0</v>
      </c>
      <c r="AF36" s="548">
        <v>12</v>
      </c>
      <c r="AG36" s="548">
        <v>1</v>
      </c>
      <c r="AH36" s="548">
        <v>0</v>
      </c>
      <c r="AI36" s="548">
        <v>12</v>
      </c>
      <c r="AJ36" s="548">
        <v>1</v>
      </c>
      <c r="AK36" s="548">
        <v>0</v>
      </c>
      <c r="AL36" s="548">
        <v>12</v>
      </c>
      <c r="AM36" s="548">
        <v>1</v>
      </c>
    </row>
    <row r="37" spans="1:39">
      <c r="A37" s="564">
        <v>35</v>
      </c>
      <c r="B37" s="563" t="s">
        <v>379</v>
      </c>
      <c r="C37" s="574" t="s">
        <v>380</v>
      </c>
      <c r="D37" s="554">
        <v>2</v>
      </c>
      <c r="E37" s="554">
        <v>12</v>
      </c>
      <c r="F37" s="559">
        <f>('1-ABA-DE-CARREGAMENTO'!$C$92+'1-ABA-DE-CARREGAMENTO'!$D$92+'1-ABA-DE-CARREGAMENTO'!$E$92)</f>
        <v>6</v>
      </c>
      <c r="G37" s="554">
        <v>1</v>
      </c>
      <c r="H37" s="554">
        <v>12</v>
      </c>
      <c r="I37" s="559">
        <f>('1-ABA-DE-CARREGAMENTO'!$C$92+'1-ABA-DE-CARREGAMENTO'!$D$92+'1-ABA-DE-CARREGAMENTO'!$E$92)</f>
        <v>6</v>
      </c>
      <c r="J37" s="575">
        <v>0</v>
      </c>
      <c r="K37" s="575">
        <v>12</v>
      </c>
      <c r="L37" s="559">
        <f>'1-ABA-DE-CARREGAMENTO'!$C$92+'1-ABA-DE-CARREGAMENTO'!$D$92+'1-ABA-DE-CARREGAMENTO'!$E$92</f>
        <v>6</v>
      </c>
      <c r="M37" s="575">
        <v>0</v>
      </c>
      <c r="N37" s="575">
        <v>12</v>
      </c>
      <c r="O37" s="559">
        <f>'1-ABA-DE-CARREGAMENTO'!$C$92+'1-ABA-DE-CARREGAMENTO'!$D$92+'1-ABA-DE-CARREGAMENTO'!$E$92</f>
        <v>6</v>
      </c>
      <c r="P37" s="575">
        <v>0</v>
      </c>
      <c r="Q37" s="575">
        <v>12</v>
      </c>
      <c r="R37" s="559">
        <f>'1-ABA-DE-CARREGAMENTO'!$C$92+'1-ABA-DE-CARREGAMENTO'!$D$92+'1-ABA-DE-CARREGAMENTO'!$E$92</f>
        <v>6</v>
      </c>
      <c r="S37" s="575">
        <v>0</v>
      </c>
      <c r="T37" s="575">
        <v>12</v>
      </c>
      <c r="U37" s="559">
        <f>'1-ABA-DE-CARREGAMENTO'!$C$92+'1-ABA-DE-CARREGAMENTO'!$D$92+'1-ABA-DE-CARREGAMENTO'!$E$92</f>
        <v>6</v>
      </c>
      <c r="V37" s="553">
        <v>2</v>
      </c>
      <c r="W37" s="553">
        <v>12</v>
      </c>
      <c r="X37" s="560">
        <f>'1-ABA-DE-CARREGAMENTO'!$C$92+'1-ABA-DE-CARREGAMENTO'!$D$92+'1-ABA-DE-CARREGAMENTO'!$E$92</f>
        <v>6</v>
      </c>
      <c r="Y37" s="575">
        <v>0</v>
      </c>
      <c r="Z37" s="576">
        <v>12</v>
      </c>
      <c r="AA37" s="561">
        <f>'1-ABA-DE-CARREGAMENTO'!$C$92+'1-ABA-DE-CARREGAMENTO'!$D$92+'1-ABA-DE-CARREGAMENTO'!$E$92</f>
        <v>6</v>
      </c>
      <c r="AB37" s="548">
        <v>0</v>
      </c>
      <c r="AC37" s="548">
        <v>12</v>
      </c>
      <c r="AD37" s="548">
        <v>1</v>
      </c>
      <c r="AE37" s="548">
        <v>0</v>
      </c>
      <c r="AF37" s="548">
        <v>12</v>
      </c>
      <c r="AG37" s="548">
        <v>1</v>
      </c>
      <c r="AH37" s="548">
        <v>0</v>
      </c>
      <c r="AI37" s="548">
        <v>12</v>
      </c>
      <c r="AJ37" s="548">
        <v>1</v>
      </c>
      <c r="AK37" s="548">
        <v>0</v>
      </c>
      <c r="AL37" s="548">
        <v>12</v>
      </c>
      <c r="AM37" s="548">
        <v>1</v>
      </c>
    </row>
    <row r="38" spans="1:39">
      <c r="A38" s="562">
        <v>36</v>
      </c>
      <c r="B38" s="563" t="s">
        <v>381</v>
      </c>
      <c r="C38" s="558" t="s">
        <v>382</v>
      </c>
      <c r="D38" s="551">
        <v>2</v>
      </c>
      <c r="E38" s="551">
        <v>12</v>
      </c>
      <c r="F38" s="559">
        <f>('1-ABA-DE-CARREGAMENTO'!$C$92+'1-ABA-DE-CARREGAMENTO'!$D$92+'1-ABA-DE-CARREGAMENTO'!$E$92)</f>
        <v>6</v>
      </c>
      <c r="G38" s="551">
        <v>0</v>
      </c>
      <c r="H38" s="551">
        <v>12</v>
      </c>
      <c r="I38" s="559">
        <f>('1-ABA-DE-CARREGAMENTO'!$C$92+'1-ABA-DE-CARREGAMENTO'!$D$92+'1-ABA-DE-CARREGAMENTO'!$E$92)</f>
        <v>6</v>
      </c>
      <c r="J38" s="551">
        <v>2</v>
      </c>
      <c r="K38" s="551">
        <v>12</v>
      </c>
      <c r="L38" s="551">
        <v>4</v>
      </c>
      <c r="M38" s="577">
        <v>0</v>
      </c>
      <c r="N38" s="577">
        <v>12</v>
      </c>
      <c r="O38" s="559">
        <f>'1-ABA-DE-CARREGAMENTO'!$C$92+'1-ABA-DE-CARREGAMENTO'!$D$92+'1-ABA-DE-CARREGAMENTO'!$E$92</f>
        <v>6</v>
      </c>
      <c r="P38" s="551">
        <v>1</v>
      </c>
      <c r="Q38" s="551">
        <v>12</v>
      </c>
      <c r="R38" s="551">
        <v>1</v>
      </c>
      <c r="S38" s="551">
        <v>1</v>
      </c>
      <c r="T38" s="551">
        <v>12</v>
      </c>
      <c r="U38" s="551">
        <v>1</v>
      </c>
      <c r="V38" s="568">
        <v>0</v>
      </c>
      <c r="W38" s="568">
        <v>12</v>
      </c>
      <c r="X38" s="560">
        <f>'1-ABA-DE-CARREGAMENTO'!$C$92+'1-ABA-DE-CARREGAMENTO'!$D$92+'1-ABA-DE-CARREGAMENTO'!$E$92</f>
        <v>6</v>
      </c>
      <c r="Y38" s="565">
        <v>0</v>
      </c>
      <c r="Z38" s="566">
        <v>12</v>
      </c>
      <c r="AA38" s="561">
        <f>'1-ABA-DE-CARREGAMENTO'!$C$92+'1-ABA-DE-CARREGAMENTO'!$D$92+'1-ABA-DE-CARREGAMENTO'!$E$92</f>
        <v>6</v>
      </c>
      <c r="AB38" s="548">
        <v>0</v>
      </c>
      <c r="AC38" s="548">
        <v>12</v>
      </c>
      <c r="AD38" s="548">
        <v>1</v>
      </c>
      <c r="AE38" s="548">
        <v>0</v>
      </c>
      <c r="AF38" s="548">
        <v>12</v>
      </c>
      <c r="AG38" s="548">
        <v>1</v>
      </c>
      <c r="AH38" s="548">
        <v>0</v>
      </c>
      <c r="AI38" s="548">
        <v>12</v>
      </c>
      <c r="AJ38" s="548">
        <v>1</v>
      </c>
      <c r="AK38" s="548">
        <v>0</v>
      </c>
      <c r="AL38" s="548">
        <v>12</v>
      </c>
      <c r="AM38" s="548">
        <v>1</v>
      </c>
    </row>
    <row r="39" spans="1:39">
      <c r="A39" s="564">
        <v>37</v>
      </c>
      <c r="B39" s="563" t="s">
        <v>383</v>
      </c>
      <c r="C39" s="578" t="s">
        <v>446</v>
      </c>
      <c r="D39" s="567">
        <v>0</v>
      </c>
      <c r="E39" s="567">
        <v>12</v>
      </c>
      <c r="F39" s="559">
        <f>('1-ABA-DE-CARREGAMENTO'!$C$92+'1-ABA-DE-CARREGAMENTO'!$D$92+'1-ABA-DE-CARREGAMENTO'!$E$92)</f>
        <v>6</v>
      </c>
      <c r="G39" s="554">
        <v>1</v>
      </c>
      <c r="H39" s="554">
        <v>12</v>
      </c>
      <c r="I39" s="559">
        <f>('1-ABA-DE-CARREGAMENTO'!$C$92+'1-ABA-DE-CARREGAMENTO'!$D$92+'1-ABA-DE-CARREGAMENTO'!$E$92)</f>
        <v>6</v>
      </c>
      <c r="J39" s="567">
        <v>0</v>
      </c>
      <c r="K39" s="567">
        <v>12</v>
      </c>
      <c r="L39" s="559">
        <f>'1-ABA-DE-CARREGAMENTO'!$C$92+'1-ABA-DE-CARREGAMENTO'!$D$92+'1-ABA-DE-CARREGAMENTO'!$E$92</f>
        <v>6</v>
      </c>
      <c r="M39" s="567">
        <v>0</v>
      </c>
      <c r="N39" s="567">
        <v>12</v>
      </c>
      <c r="O39" s="559">
        <f>'1-ABA-DE-CARREGAMENTO'!$C$92+'1-ABA-DE-CARREGAMENTO'!$D$92+'1-ABA-DE-CARREGAMENTO'!$E$92</f>
        <v>6</v>
      </c>
      <c r="P39" s="567">
        <v>0</v>
      </c>
      <c r="Q39" s="567">
        <v>12</v>
      </c>
      <c r="R39" s="559">
        <f>'1-ABA-DE-CARREGAMENTO'!$C$92+'1-ABA-DE-CARREGAMENTO'!$D$92+'1-ABA-DE-CARREGAMENTO'!$E$92</f>
        <v>6</v>
      </c>
      <c r="S39" s="567">
        <v>0</v>
      </c>
      <c r="T39" s="567">
        <v>12</v>
      </c>
      <c r="U39" s="559">
        <f>'1-ABA-DE-CARREGAMENTO'!$C$92+'1-ABA-DE-CARREGAMENTO'!$D$92+'1-ABA-DE-CARREGAMENTO'!$E$92</f>
        <v>6</v>
      </c>
      <c r="V39" s="553">
        <v>1</v>
      </c>
      <c r="W39" s="553">
        <v>12</v>
      </c>
      <c r="X39" s="553">
        <v>5</v>
      </c>
      <c r="Y39" s="565">
        <v>0</v>
      </c>
      <c r="Z39" s="566">
        <v>12</v>
      </c>
      <c r="AA39" s="561">
        <f>'1-ABA-DE-CARREGAMENTO'!$C$92+'1-ABA-DE-CARREGAMENTO'!$D$92+'1-ABA-DE-CARREGAMENTO'!$E$92</f>
        <v>6</v>
      </c>
      <c r="AB39" s="548">
        <v>0</v>
      </c>
      <c r="AC39" s="548">
        <v>12</v>
      </c>
      <c r="AD39" s="548">
        <v>1</v>
      </c>
      <c r="AE39" s="548">
        <v>0</v>
      </c>
      <c r="AF39" s="548">
        <v>12</v>
      </c>
      <c r="AG39" s="548">
        <v>1</v>
      </c>
      <c r="AH39" s="548">
        <v>0</v>
      </c>
      <c r="AI39" s="548">
        <v>12</v>
      </c>
      <c r="AJ39" s="548">
        <v>1</v>
      </c>
      <c r="AK39" s="548">
        <v>0</v>
      </c>
      <c r="AL39" s="548">
        <v>12</v>
      </c>
      <c r="AM39" s="548">
        <v>1</v>
      </c>
    </row>
    <row r="40" spans="1:39">
      <c r="A40" s="562">
        <v>38</v>
      </c>
      <c r="B40" s="563" t="s">
        <v>384</v>
      </c>
      <c r="C40" s="558" t="s">
        <v>385</v>
      </c>
      <c r="D40" s="551">
        <v>2</v>
      </c>
      <c r="E40" s="551">
        <v>12</v>
      </c>
      <c r="F40" s="559">
        <f>('1-ABA-DE-CARREGAMENTO'!$C$92+'1-ABA-DE-CARREGAMENTO'!$D$92+'1-ABA-DE-CARREGAMENTO'!$E$92)</f>
        <v>6</v>
      </c>
      <c r="G40" s="551">
        <v>2</v>
      </c>
      <c r="H40" s="551">
        <v>12</v>
      </c>
      <c r="I40" s="559">
        <f>('1-ABA-DE-CARREGAMENTO'!$C$92+'1-ABA-DE-CARREGAMENTO'!$D$92+'1-ABA-DE-CARREGAMENTO'!$E$92)</f>
        <v>6</v>
      </c>
      <c r="J40" s="551">
        <v>3</v>
      </c>
      <c r="K40" s="551">
        <v>12</v>
      </c>
      <c r="L40" s="559">
        <f>'1-ABA-DE-CARREGAMENTO'!$C$92+'1-ABA-DE-CARREGAMENTO'!$D$92+'1-ABA-DE-CARREGAMENTO'!$E$92</f>
        <v>6</v>
      </c>
      <c r="M40" s="551">
        <v>1</v>
      </c>
      <c r="N40" s="551">
        <v>12</v>
      </c>
      <c r="O40" s="559">
        <f>'1-ABA-DE-CARREGAMENTO'!$C$92+'1-ABA-DE-CARREGAMENTO'!$D$92+'1-ABA-DE-CARREGAMENTO'!$E$92</f>
        <v>6</v>
      </c>
      <c r="P40" s="551">
        <v>2</v>
      </c>
      <c r="Q40" s="551">
        <v>12</v>
      </c>
      <c r="R40" s="559">
        <f>'1-ABA-DE-CARREGAMENTO'!$C$92+'1-ABA-DE-CARREGAMENTO'!$D$92+'1-ABA-DE-CARREGAMENTO'!$E$92</f>
        <v>6</v>
      </c>
      <c r="S40" s="551">
        <v>1</v>
      </c>
      <c r="T40" s="551">
        <v>12</v>
      </c>
      <c r="U40" s="559">
        <f>'1-ABA-DE-CARREGAMENTO'!$C$92+'1-ABA-DE-CARREGAMENTO'!$D$92+'1-ABA-DE-CARREGAMENTO'!$E$92</f>
        <v>6</v>
      </c>
      <c r="V40" s="553">
        <v>4</v>
      </c>
      <c r="W40" s="553">
        <v>12</v>
      </c>
      <c r="X40" s="560">
        <f>'1-ABA-DE-CARREGAMENTO'!$C$92+'1-ABA-DE-CARREGAMENTO'!$D$92+'1-ABA-DE-CARREGAMENTO'!$E$92</f>
        <v>6</v>
      </c>
      <c r="Y40" s="554">
        <v>1</v>
      </c>
      <c r="Z40" s="555">
        <v>6</v>
      </c>
      <c r="AA40" s="561">
        <f>'1-ABA-DE-CARREGAMENTO'!$C$92+'1-ABA-DE-CARREGAMENTO'!$D$92+'1-ABA-DE-CARREGAMENTO'!$E$92</f>
        <v>6</v>
      </c>
      <c r="AB40" s="548">
        <v>0</v>
      </c>
      <c r="AC40" s="548">
        <v>12</v>
      </c>
      <c r="AD40" s="548">
        <v>1</v>
      </c>
      <c r="AE40" s="548">
        <v>0</v>
      </c>
      <c r="AF40" s="548">
        <v>12</v>
      </c>
      <c r="AG40" s="548">
        <v>1</v>
      </c>
      <c r="AH40" s="548">
        <v>0</v>
      </c>
      <c r="AI40" s="548">
        <v>12</v>
      </c>
      <c r="AJ40" s="548">
        <v>1</v>
      </c>
      <c r="AK40" s="548">
        <v>0</v>
      </c>
      <c r="AL40" s="548">
        <v>12</v>
      </c>
      <c r="AM40" s="548">
        <v>1</v>
      </c>
    </row>
    <row r="41" spans="1:39">
      <c r="A41" s="564">
        <v>39</v>
      </c>
      <c r="B41" s="563" t="s">
        <v>386</v>
      </c>
      <c r="C41" s="558" t="s">
        <v>351</v>
      </c>
      <c r="D41" s="551">
        <v>0</v>
      </c>
      <c r="E41" s="551">
        <v>12</v>
      </c>
      <c r="F41" s="559">
        <f>('1-ABA-DE-CARREGAMENTO'!$C$92+'1-ABA-DE-CARREGAMENTO'!$D$92+'1-ABA-DE-CARREGAMENTO'!$E$92)</f>
        <v>6</v>
      </c>
      <c r="G41" s="551">
        <v>2</v>
      </c>
      <c r="H41" s="551">
        <v>12</v>
      </c>
      <c r="I41" s="559">
        <f>('1-ABA-DE-CARREGAMENTO'!$C$92+'1-ABA-DE-CARREGAMENTO'!$D$92+'1-ABA-DE-CARREGAMENTO'!$E$92)</f>
        <v>6</v>
      </c>
      <c r="J41" s="567">
        <v>0</v>
      </c>
      <c r="K41" s="567">
        <v>12</v>
      </c>
      <c r="L41" s="559">
        <f>'1-ABA-DE-CARREGAMENTO'!$C$92+'1-ABA-DE-CARREGAMENTO'!$D$92+'1-ABA-DE-CARREGAMENTO'!$E$92</f>
        <v>6</v>
      </c>
      <c r="M41" s="567">
        <v>0</v>
      </c>
      <c r="N41" s="567">
        <v>12</v>
      </c>
      <c r="O41" s="559">
        <f>'1-ABA-DE-CARREGAMENTO'!$C$92+'1-ABA-DE-CARREGAMENTO'!$D$92+'1-ABA-DE-CARREGAMENTO'!$E$92</f>
        <v>6</v>
      </c>
      <c r="P41" s="567">
        <v>0</v>
      </c>
      <c r="Q41" s="567">
        <v>12</v>
      </c>
      <c r="R41" s="559">
        <f>'1-ABA-DE-CARREGAMENTO'!$C$92+'1-ABA-DE-CARREGAMENTO'!$D$92+'1-ABA-DE-CARREGAMENTO'!$E$92</f>
        <v>6</v>
      </c>
      <c r="S41" s="567">
        <v>0</v>
      </c>
      <c r="T41" s="567">
        <v>12</v>
      </c>
      <c r="U41" s="559">
        <f>'1-ABA-DE-CARREGAMENTO'!$C$92+'1-ABA-DE-CARREGAMENTO'!$D$92+'1-ABA-DE-CARREGAMENTO'!$E$92</f>
        <v>6</v>
      </c>
      <c r="V41" s="553">
        <v>1</v>
      </c>
      <c r="W41" s="553">
        <v>12</v>
      </c>
      <c r="X41" s="560">
        <f>'1-ABA-DE-CARREGAMENTO'!$C$92+'1-ABA-DE-CARREGAMENTO'!$D$92+'1-ABA-DE-CARREGAMENTO'!$E$92</f>
        <v>6</v>
      </c>
      <c r="Y41" s="565">
        <v>0</v>
      </c>
      <c r="Z41" s="566">
        <v>12</v>
      </c>
      <c r="AA41" s="561">
        <f>'1-ABA-DE-CARREGAMENTO'!$C$92+'1-ABA-DE-CARREGAMENTO'!$D$92+'1-ABA-DE-CARREGAMENTO'!$E$92</f>
        <v>6</v>
      </c>
      <c r="AB41" s="548">
        <v>0</v>
      </c>
      <c r="AC41" s="548">
        <v>12</v>
      </c>
      <c r="AD41" s="548">
        <v>1</v>
      </c>
      <c r="AE41" s="548">
        <v>0</v>
      </c>
      <c r="AF41" s="548">
        <v>12</v>
      </c>
      <c r="AG41" s="548">
        <v>1</v>
      </c>
      <c r="AH41" s="548">
        <v>0</v>
      </c>
      <c r="AI41" s="548">
        <v>12</v>
      </c>
      <c r="AJ41" s="548">
        <v>1</v>
      </c>
      <c r="AK41" s="548">
        <v>0</v>
      </c>
      <c r="AL41" s="548">
        <v>12</v>
      </c>
      <c r="AM41" s="548">
        <v>1</v>
      </c>
    </row>
    <row r="42" spans="1:39">
      <c r="A42" s="562">
        <v>40</v>
      </c>
      <c r="B42" s="563" t="s">
        <v>387</v>
      </c>
      <c r="C42" s="558" t="s">
        <v>351</v>
      </c>
      <c r="D42" s="551">
        <v>24</v>
      </c>
      <c r="E42" s="551">
        <v>12</v>
      </c>
      <c r="F42" s="559">
        <f>('1-ABA-DE-CARREGAMENTO'!$C$92+'1-ABA-DE-CARREGAMENTO'!$D$92+'1-ABA-DE-CARREGAMENTO'!$E$92)</f>
        <v>6</v>
      </c>
      <c r="G42" s="551">
        <v>2</v>
      </c>
      <c r="H42" s="551">
        <v>12</v>
      </c>
      <c r="I42" s="559">
        <f>('1-ABA-DE-CARREGAMENTO'!$C$92+'1-ABA-DE-CARREGAMENTO'!$D$92+'1-ABA-DE-CARREGAMENTO'!$E$92)</f>
        <v>6</v>
      </c>
      <c r="J42" s="551">
        <v>0</v>
      </c>
      <c r="K42" s="551">
        <v>12</v>
      </c>
      <c r="L42" s="559">
        <f>'1-ABA-DE-CARREGAMENTO'!$C$92+'1-ABA-DE-CARREGAMENTO'!$D$92+'1-ABA-DE-CARREGAMENTO'!$E$92</f>
        <v>6</v>
      </c>
      <c r="M42" s="551">
        <v>0</v>
      </c>
      <c r="N42" s="551">
        <v>12</v>
      </c>
      <c r="O42" s="559">
        <f>'1-ABA-DE-CARREGAMENTO'!$C$92+'1-ABA-DE-CARREGAMENTO'!$D$92+'1-ABA-DE-CARREGAMENTO'!$E$92</f>
        <v>6</v>
      </c>
      <c r="P42" s="551">
        <v>0</v>
      </c>
      <c r="Q42" s="551">
        <v>12</v>
      </c>
      <c r="R42" s="559">
        <f>'1-ABA-DE-CARREGAMENTO'!$C$92+'1-ABA-DE-CARREGAMENTO'!$D$92+'1-ABA-DE-CARREGAMENTO'!$E$92</f>
        <v>6</v>
      </c>
      <c r="S42" s="551">
        <v>0</v>
      </c>
      <c r="T42" s="551">
        <v>12</v>
      </c>
      <c r="U42" s="559">
        <f>'1-ABA-DE-CARREGAMENTO'!$C$92+'1-ABA-DE-CARREGAMENTO'!$D$92+'1-ABA-DE-CARREGAMENTO'!$E$92</f>
        <v>6</v>
      </c>
      <c r="V42" s="568">
        <v>0</v>
      </c>
      <c r="W42" s="568">
        <v>12</v>
      </c>
      <c r="X42" s="560">
        <f>'1-ABA-DE-CARREGAMENTO'!$C$92+'1-ABA-DE-CARREGAMENTO'!$D$92+'1-ABA-DE-CARREGAMENTO'!$E$92</f>
        <v>6</v>
      </c>
      <c r="Y42" s="565">
        <v>0</v>
      </c>
      <c r="Z42" s="566">
        <v>12</v>
      </c>
      <c r="AA42" s="561">
        <f>'1-ABA-DE-CARREGAMENTO'!$C$92+'1-ABA-DE-CARREGAMENTO'!$D$92+'1-ABA-DE-CARREGAMENTO'!$E$92</f>
        <v>6</v>
      </c>
      <c r="AB42" s="548">
        <v>0</v>
      </c>
      <c r="AC42" s="548">
        <v>12</v>
      </c>
      <c r="AD42" s="548">
        <v>1</v>
      </c>
      <c r="AE42" s="548">
        <v>0</v>
      </c>
      <c r="AF42" s="548">
        <v>12</v>
      </c>
      <c r="AG42" s="548">
        <v>1</v>
      </c>
      <c r="AH42" s="548">
        <v>0</v>
      </c>
      <c r="AI42" s="548">
        <v>12</v>
      </c>
      <c r="AJ42" s="548">
        <v>1</v>
      </c>
      <c r="AK42" s="548">
        <v>0</v>
      </c>
      <c r="AL42" s="548">
        <v>12</v>
      </c>
      <c r="AM42" s="548">
        <v>1</v>
      </c>
    </row>
    <row r="43" spans="1:39">
      <c r="A43" s="564">
        <v>41</v>
      </c>
      <c r="B43" s="563" t="s">
        <v>388</v>
      </c>
      <c r="C43" s="558" t="s">
        <v>347</v>
      </c>
      <c r="D43" s="551">
        <v>0</v>
      </c>
      <c r="E43" s="551">
        <v>12</v>
      </c>
      <c r="F43" s="559">
        <f>('1-ABA-DE-CARREGAMENTO'!$C$92+'1-ABA-DE-CARREGAMENTO'!$D$92+'1-ABA-DE-CARREGAMENTO'!$E$92)</f>
        <v>6</v>
      </c>
      <c r="G43" s="551">
        <v>1</v>
      </c>
      <c r="H43" s="551">
        <v>12</v>
      </c>
      <c r="I43" s="559">
        <f>('1-ABA-DE-CARREGAMENTO'!$C$92+'1-ABA-DE-CARREGAMENTO'!$D$92+'1-ABA-DE-CARREGAMENTO'!$E$92)</f>
        <v>6</v>
      </c>
      <c r="J43" s="551">
        <v>1</v>
      </c>
      <c r="K43" s="551">
        <v>12</v>
      </c>
      <c r="L43" s="559">
        <f>'1-ABA-DE-CARREGAMENTO'!$C$92+'1-ABA-DE-CARREGAMENTO'!$D$92+'1-ABA-DE-CARREGAMENTO'!$E$92</f>
        <v>6</v>
      </c>
      <c r="M43" s="551">
        <v>1</v>
      </c>
      <c r="N43" s="551">
        <v>12</v>
      </c>
      <c r="O43" s="559">
        <f>'1-ABA-DE-CARREGAMENTO'!$C$92+'1-ABA-DE-CARREGAMENTO'!$D$92+'1-ABA-DE-CARREGAMENTO'!$E$92</f>
        <v>6</v>
      </c>
      <c r="P43" s="551">
        <v>1</v>
      </c>
      <c r="Q43" s="551">
        <v>12</v>
      </c>
      <c r="R43" s="559">
        <f>'1-ABA-DE-CARREGAMENTO'!$C$92+'1-ABA-DE-CARREGAMENTO'!$D$92+'1-ABA-DE-CARREGAMENTO'!$E$92</f>
        <v>6</v>
      </c>
      <c r="S43" s="551">
        <v>1</v>
      </c>
      <c r="T43" s="551">
        <v>12</v>
      </c>
      <c r="U43" s="559">
        <f>'1-ABA-DE-CARREGAMENTO'!$C$92+'1-ABA-DE-CARREGAMENTO'!$D$92+'1-ABA-DE-CARREGAMENTO'!$E$92</f>
        <v>6</v>
      </c>
      <c r="V43" s="553">
        <v>1</v>
      </c>
      <c r="W43" s="553">
        <v>12</v>
      </c>
      <c r="X43" s="560">
        <f>'1-ABA-DE-CARREGAMENTO'!$C$92+'1-ABA-DE-CARREGAMENTO'!$D$92+'1-ABA-DE-CARREGAMENTO'!$E$92</f>
        <v>6</v>
      </c>
      <c r="Y43" s="565">
        <v>0</v>
      </c>
      <c r="Z43" s="566">
        <v>12</v>
      </c>
      <c r="AA43" s="561">
        <f>'1-ABA-DE-CARREGAMENTO'!$C$92+'1-ABA-DE-CARREGAMENTO'!$D$92+'1-ABA-DE-CARREGAMENTO'!$E$92</f>
        <v>6</v>
      </c>
      <c r="AB43" s="548">
        <v>0</v>
      </c>
      <c r="AC43" s="548">
        <v>12</v>
      </c>
      <c r="AD43" s="548">
        <v>1</v>
      </c>
      <c r="AE43" s="548">
        <v>0</v>
      </c>
      <c r="AF43" s="548">
        <v>12</v>
      </c>
      <c r="AG43" s="548">
        <v>1</v>
      </c>
      <c r="AH43" s="548">
        <v>0</v>
      </c>
      <c r="AI43" s="548">
        <v>12</v>
      </c>
      <c r="AJ43" s="548">
        <v>1</v>
      </c>
      <c r="AK43" s="548">
        <v>0</v>
      </c>
      <c r="AL43" s="548">
        <v>12</v>
      </c>
      <c r="AM43" s="548">
        <v>1</v>
      </c>
    </row>
    <row r="44" spans="1:39">
      <c r="A44" s="562">
        <v>42</v>
      </c>
      <c r="B44" s="563" t="s">
        <v>389</v>
      </c>
      <c r="C44" s="579" t="s">
        <v>347</v>
      </c>
      <c r="D44" s="567">
        <v>0</v>
      </c>
      <c r="E44" s="567">
        <v>12</v>
      </c>
      <c r="F44" s="559">
        <f>('1-ABA-DE-CARREGAMENTO'!$C$92+'1-ABA-DE-CARREGAMENTO'!$D$92+'1-ABA-DE-CARREGAMENTO'!$E$92)</f>
        <v>6</v>
      </c>
      <c r="G44" s="551">
        <v>1</v>
      </c>
      <c r="H44" s="551">
        <v>12</v>
      </c>
      <c r="I44" s="559">
        <f>('1-ABA-DE-CARREGAMENTO'!$C$92+'1-ABA-DE-CARREGAMENTO'!$D$92+'1-ABA-DE-CARREGAMENTO'!$E$92)</f>
        <v>6</v>
      </c>
      <c r="J44" s="551">
        <v>1</v>
      </c>
      <c r="K44" s="551">
        <v>12</v>
      </c>
      <c r="L44" s="559">
        <f>'1-ABA-DE-CARREGAMENTO'!$C$92+'1-ABA-DE-CARREGAMENTO'!$D$92+'1-ABA-DE-CARREGAMENTO'!$E$92</f>
        <v>6</v>
      </c>
      <c r="M44" s="567">
        <v>0</v>
      </c>
      <c r="N44" s="567">
        <v>12</v>
      </c>
      <c r="O44" s="559">
        <f>'1-ABA-DE-CARREGAMENTO'!$C$92+'1-ABA-DE-CARREGAMENTO'!$D$92+'1-ABA-DE-CARREGAMENTO'!$E$92</f>
        <v>6</v>
      </c>
      <c r="P44" s="551">
        <v>1</v>
      </c>
      <c r="Q44" s="551">
        <v>12</v>
      </c>
      <c r="R44" s="559">
        <f>'1-ABA-DE-CARREGAMENTO'!$C$92+'1-ABA-DE-CARREGAMENTO'!$D$92+'1-ABA-DE-CARREGAMENTO'!$E$92</f>
        <v>6</v>
      </c>
      <c r="S44" s="551">
        <v>1</v>
      </c>
      <c r="T44" s="551">
        <v>12</v>
      </c>
      <c r="U44" s="559">
        <f>'1-ABA-DE-CARREGAMENTO'!$C$92+'1-ABA-DE-CARREGAMENTO'!$D$92+'1-ABA-DE-CARREGAMENTO'!$E$92</f>
        <v>6</v>
      </c>
      <c r="V44" s="553">
        <v>1</v>
      </c>
      <c r="W44" s="553">
        <v>12</v>
      </c>
      <c r="X44" s="553">
        <v>4</v>
      </c>
      <c r="Y44" s="565">
        <v>0</v>
      </c>
      <c r="Z44" s="566">
        <v>12</v>
      </c>
      <c r="AA44" s="561">
        <f>'1-ABA-DE-CARREGAMENTO'!$C$92+'1-ABA-DE-CARREGAMENTO'!$D$92+'1-ABA-DE-CARREGAMENTO'!$E$92</f>
        <v>6</v>
      </c>
      <c r="AB44" s="548">
        <v>0</v>
      </c>
      <c r="AC44" s="548">
        <v>12</v>
      </c>
      <c r="AD44" s="548">
        <v>1</v>
      </c>
      <c r="AE44" s="548">
        <v>0</v>
      </c>
      <c r="AF44" s="548">
        <v>12</v>
      </c>
      <c r="AG44" s="548">
        <v>1</v>
      </c>
      <c r="AH44" s="548">
        <v>0</v>
      </c>
      <c r="AI44" s="548">
        <v>12</v>
      </c>
      <c r="AJ44" s="548">
        <v>1</v>
      </c>
      <c r="AK44" s="548">
        <v>0</v>
      </c>
      <c r="AL44" s="548">
        <v>12</v>
      </c>
      <c r="AM44" s="548">
        <v>1</v>
      </c>
    </row>
    <row r="45" spans="1:39">
      <c r="A45" s="564">
        <v>43</v>
      </c>
      <c r="B45" s="563" t="s">
        <v>390</v>
      </c>
      <c r="C45" s="558" t="s">
        <v>351</v>
      </c>
      <c r="D45" s="551">
        <v>0</v>
      </c>
      <c r="E45" s="551">
        <v>12</v>
      </c>
      <c r="F45" s="559">
        <f>('1-ABA-DE-CARREGAMENTO'!$C$92+'1-ABA-DE-CARREGAMENTO'!$D$92+'1-ABA-DE-CARREGAMENTO'!$E$92)</f>
        <v>6</v>
      </c>
      <c r="G45" s="551">
        <v>1</v>
      </c>
      <c r="H45" s="551">
        <v>12</v>
      </c>
      <c r="I45" s="559">
        <f>('1-ABA-DE-CARREGAMENTO'!$C$92+'1-ABA-DE-CARREGAMENTO'!$D$92+'1-ABA-DE-CARREGAMENTO'!$E$92)</f>
        <v>6</v>
      </c>
      <c r="J45" s="551">
        <v>1</v>
      </c>
      <c r="K45" s="551">
        <v>12</v>
      </c>
      <c r="L45" s="559">
        <f>'1-ABA-DE-CARREGAMENTO'!$C$92+'1-ABA-DE-CARREGAMENTO'!$D$92+'1-ABA-DE-CARREGAMENTO'!$E$92</f>
        <v>6</v>
      </c>
      <c r="M45" s="577">
        <v>0</v>
      </c>
      <c r="N45" s="577">
        <v>12</v>
      </c>
      <c r="O45" s="559">
        <f>'1-ABA-DE-CARREGAMENTO'!$C$92+'1-ABA-DE-CARREGAMENTO'!$D$92+'1-ABA-DE-CARREGAMENTO'!$E$92</f>
        <v>6</v>
      </c>
      <c r="P45" s="551">
        <v>1</v>
      </c>
      <c r="Q45" s="551">
        <v>12</v>
      </c>
      <c r="R45" s="559">
        <f>'1-ABA-DE-CARREGAMENTO'!$C$92+'1-ABA-DE-CARREGAMENTO'!$D$92+'1-ABA-DE-CARREGAMENTO'!$E$92</f>
        <v>6</v>
      </c>
      <c r="S45" s="551">
        <v>1</v>
      </c>
      <c r="T45" s="551">
        <v>12</v>
      </c>
      <c r="U45" s="559">
        <f>'1-ABA-DE-CARREGAMENTO'!$C$92+'1-ABA-DE-CARREGAMENTO'!$D$92+'1-ABA-DE-CARREGAMENTO'!$E$92</f>
        <v>6</v>
      </c>
      <c r="V45" s="553">
        <v>4</v>
      </c>
      <c r="W45" s="553">
        <v>12</v>
      </c>
      <c r="X45" s="553">
        <v>4</v>
      </c>
      <c r="Y45" s="565">
        <v>0</v>
      </c>
      <c r="Z45" s="566">
        <v>12</v>
      </c>
      <c r="AA45" s="561">
        <f>'1-ABA-DE-CARREGAMENTO'!$C$92+'1-ABA-DE-CARREGAMENTO'!$D$92+'1-ABA-DE-CARREGAMENTO'!$E$92</f>
        <v>6</v>
      </c>
      <c r="AB45" s="548">
        <v>0</v>
      </c>
      <c r="AC45" s="548">
        <v>12</v>
      </c>
      <c r="AD45" s="548">
        <v>1</v>
      </c>
      <c r="AE45" s="548">
        <v>0</v>
      </c>
      <c r="AF45" s="548">
        <v>12</v>
      </c>
      <c r="AG45" s="548">
        <v>1</v>
      </c>
      <c r="AH45" s="548">
        <v>0</v>
      </c>
      <c r="AI45" s="548">
        <v>12</v>
      </c>
      <c r="AJ45" s="548">
        <v>1</v>
      </c>
      <c r="AK45" s="548">
        <v>0</v>
      </c>
      <c r="AL45" s="548">
        <v>12</v>
      </c>
      <c r="AM45" s="548">
        <v>1</v>
      </c>
    </row>
    <row r="46" spans="1:39">
      <c r="A46" s="562">
        <v>44</v>
      </c>
      <c r="B46" s="563" t="s">
        <v>447</v>
      </c>
      <c r="C46" s="558" t="s">
        <v>392</v>
      </c>
      <c r="D46" s="551">
        <v>1</v>
      </c>
      <c r="E46" s="551">
        <v>12</v>
      </c>
      <c r="F46" s="559">
        <f>('1-ABA-DE-CARREGAMENTO'!$C$92+'1-ABA-DE-CARREGAMENTO'!$D$92+'1-ABA-DE-CARREGAMENTO'!$E$92)</f>
        <v>6</v>
      </c>
      <c r="G46" s="551">
        <v>1</v>
      </c>
      <c r="H46" s="551">
        <v>12</v>
      </c>
      <c r="I46" s="559">
        <f>('1-ABA-DE-CARREGAMENTO'!$C$92+'1-ABA-DE-CARREGAMENTO'!$D$92+'1-ABA-DE-CARREGAMENTO'!$E$92)</f>
        <v>6</v>
      </c>
      <c r="J46" s="551">
        <v>0</v>
      </c>
      <c r="K46" s="551">
        <v>12</v>
      </c>
      <c r="L46" s="559">
        <f>'1-ABA-DE-CARREGAMENTO'!$C$92+'1-ABA-DE-CARREGAMENTO'!$D$92+'1-ABA-DE-CARREGAMENTO'!$E$92</f>
        <v>6</v>
      </c>
      <c r="M46" s="577">
        <v>0</v>
      </c>
      <c r="N46" s="577">
        <v>12</v>
      </c>
      <c r="O46" s="559">
        <f>'1-ABA-DE-CARREGAMENTO'!$C$92+'1-ABA-DE-CARREGAMENTO'!$D$92+'1-ABA-DE-CARREGAMENTO'!$E$92</f>
        <v>6</v>
      </c>
      <c r="P46" s="551">
        <v>1</v>
      </c>
      <c r="Q46" s="551">
        <v>12</v>
      </c>
      <c r="R46" s="559">
        <f>'1-ABA-DE-CARREGAMENTO'!$C$92+'1-ABA-DE-CARREGAMENTO'!$D$92+'1-ABA-DE-CARREGAMENTO'!$E$92</f>
        <v>6</v>
      </c>
      <c r="S46" s="551">
        <v>0</v>
      </c>
      <c r="T46" s="551">
        <v>12</v>
      </c>
      <c r="U46" s="559">
        <f>'1-ABA-DE-CARREGAMENTO'!$C$92+'1-ABA-DE-CARREGAMENTO'!$D$92+'1-ABA-DE-CARREGAMENTO'!$E$92</f>
        <v>6</v>
      </c>
      <c r="V46" s="553">
        <v>1</v>
      </c>
      <c r="W46" s="553">
        <v>12</v>
      </c>
      <c r="X46" s="560">
        <f>'1-ABA-DE-CARREGAMENTO'!$C$92+'1-ABA-DE-CARREGAMENTO'!$D$92+'1-ABA-DE-CARREGAMENTO'!$E$92</f>
        <v>6</v>
      </c>
      <c r="Y46" s="554">
        <v>1</v>
      </c>
      <c r="Z46" s="555">
        <v>6</v>
      </c>
      <c r="AA46" s="561">
        <f>'1-ABA-DE-CARREGAMENTO'!$C$92+'1-ABA-DE-CARREGAMENTO'!$D$92+'1-ABA-DE-CARREGAMENTO'!$E$92</f>
        <v>6</v>
      </c>
      <c r="AB46" s="548">
        <v>0</v>
      </c>
      <c r="AC46" s="548">
        <v>12</v>
      </c>
      <c r="AD46" s="548">
        <v>1</v>
      </c>
      <c r="AE46" s="548">
        <v>0</v>
      </c>
      <c r="AF46" s="548">
        <v>12</v>
      </c>
      <c r="AG46" s="548">
        <v>1</v>
      </c>
      <c r="AH46" s="548">
        <v>0</v>
      </c>
      <c r="AI46" s="548">
        <v>12</v>
      </c>
      <c r="AJ46" s="548">
        <v>1</v>
      </c>
      <c r="AK46" s="548">
        <v>0</v>
      </c>
      <c r="AL46" s="548">
        <v>12</v>
      </c>
      <c r="AM46" s="548">
        <v>1</v>
      </c>
    </row>
    <row r="47" spans="1:39">
      <c r="A47" s="564">
        <v>45</v>
      </c>
      <c r="B47" s="563" t="s">
        <v>393</v>
      </c>
      <c r="C47" s="558" t="s">
        <v>342</v>
      </c>
      <c r="D47" s="551">
        <v>2</v>
      </c>
      <c r="E47" s="551">
        <v>12</v>
      </c>
      <c r="F47" s="559">
        <f>('1-ABA-DE-CARREGAMENTO'!$C$92+'1-ABA-DE-CARREGAMENTO'!$D$92+'1-ABA-DE-CARREGAMENTO'!$E$92)</f>
        <v>6</v>
      </c>
      <c r="G47" s="551">
        <v>2</v>
      </c>
      <c r="H47" s="551">
        <v>12</v>
      </c>
      <c r="I47" s="559">
        <f>('1-ABA-DE-CARREGAMENTO'!$C$92+'1-ABA-DE-CARREGAMENTO'!$D$92+'1-ABA-DE-CARREGAMENTO'!$E$92)</f>
        <v>6</v>
      </c>
      <c r="J47" s="567">
        <v>0</v>
      </c>
      <c r="K47" s="567">
        <v>12</v>
      </c>
      <c r="L47" s="559">
        <f>'1-ABA-DE-CARREGAMENTO'!$C$92+'1-ABA-DE-CARREGAMENTO'!$D$92+'1-ABA-DE-CARREGAMENTO'!$E$92</f>
        <v>6</v>
      </c>
      <c r="M47" s="551">
        <v>0</v>
      </c>
      <c r="N47" s="551">
        <v>12</v>
      </c>
      <c r="O47" s="559">
        <f>'1-ABA-DE-CARREGAMENTO'!$C$92+'1-ABA-DE-CARREGAMENTO'!$D$92+'1-ABA-DE-CARREGAMENTO'!$E$92</f>
        <v>6</v>
      </c>
      <c r="P47" s="551">
        <v>0</v>
      </c>
      <c r="Q47" s="551">
        <v>12</v>
      </c>
      <c r="R47" s="559">
        <f>'1-ABA-DE-CARREGAMENTO'!$C$92+'1-ABA-DE-CARREGAMENTO'!$D$92+'1-ABA-DE-CARREGAMENTO'!$E$92</f>
        <v>6</v>
      </c>
      <c r="S47" s="551">
        <v>2</v>
      </c>
      <c r="T47" s="551">
        <v>12</v>
      </c>
      <c r="U47" s="559">
        <f>'1-ABA-DE-CARREGAMENTO'!$C$92+'1-ABA-DE-CARREGAMENTO'!$D$92+'1-ABA-DE-CARREGAMENTO'!$E$92</f>
        <v>6</v>
      </c>
      <c r="V47" s="553">
        <v>1</v>
      </c>
      <c r="W47" s="553">
        <v>12</v>
      </c>
      <c r="X47" s="560">
        <f>'1-ABA-DE-CARREGAMENTO'!$C$92+'1-ABA-DE-CARREGAMENTO'!$D$92+'1-ABA-DE-CARREGAMENTO'!$E$92</f>
        <v>6</v>
      </c>
      <c r="Y47" s="554">
        <v>1</v>
      </c>
      <c r="Z47" s="555">
        <v>6</v>
      </c>
      <c r="AA47" s="561">
        <f>'1-ABA-DE-CARREGAMENTO'!$C$92+'1-ABA-DE-CARREGAMENTO'!$D$92+'1-ABA-DE-CARREGAMENTO'!$E$92</f>
        <v>6</v>
      </c>
      <c r="AB47" s="548">
        <v>0</v>
      </c>
      <c r="AC47" s="548">
        <v>12</v>
      </c>
      <c r="AD47" s="548">
        <v>1</v>
      </c>
      <c r="AE47" s="548">
        <v>0</v>
      </c>
      <c r="AF47" s="548">
        <v>12</v>
      </c>
      <c r="AG47" s="548">
        <v>1</v>
      </c>
      <c r="AH47" s="548">
        <v>0</v>
      </c>
      <c r="AI47" s="548">
        <v>12</v>
      </c>
      <c r="AJ47" s="548">
        <v>1</v>
      </c>
      <c r="AK47" s="548">
        <v>0</v>
      </c>
      <c r="AL47" s="548">
        <v>12</v>
      </c>
      <c r="AM47" s="548">
        <v>1</v>
      </c>
    </row>
    <row r="48" spans="1:39">
      <c r="A48" s="562">
        <v>46</v>
      </c>
      <c r="B48" s="563" t="s">
        <v>448</v>
      </c>
      <c r="C48" s="558" t="s">
        <v>339</v>
      </c>
      <c r="D48" s="551">
        <v>2</v>
      </c>
      <c r="E48" s="551">
        <v>12</v>
      </c>
      <c r="F48" s="559">
        <f>('1-ABA-DE-CARREGAMENTO'!$C$92+'1-ABA-DE-CARREGAMENTO'!$D$92+'1-ABA-DE-CARREGAMENTO'!$E$92)</f>
        <v>6</v>
      </c>
      <c r="G48" s="551">
        <v>2</v>
      </c>
      <c r="H48" s="551">
        <v>12</v>
      </c>
      <c r="I48" s="559">
        <f>('1-ABA-DE-CARREGAMENTO'!$C$92+'1-ABA-DE-CARREGAMENTO'!$D$92+'1-ABA-DE-CARREGAMENTO'!$E$92)</f>
        <v>6</v>
      </c>
      <c r="J48" s="551">
        <v>2</v>
      </c>
      <c r="K48" s="551">
        <v>12</v>
      </c>
      <c r="L48" s="559">
        <f>'1-ABA-DE-CARREGAMENTO'!$C$92+'1-ABA-DE-CARREGAMENTO'!$D$92+'1-ABA-DE-CARREGAMENTO'!$E$92</f>
        <v>6</v>
      </c>
      <c r="M48" s="551">
        <v>2</v>
      </c>
      <c r="N48" s="551">
        <v>12</v>
      </c>
      <c r="O48" s="559">
        <f>'1-ABA-DE-CARREGAMENTO'!$C$92+'1-ABA-DE-CARREGAMENTO'!$D$92+'1-ABA-DE-CARREGAMENTO'!$E$92</f>
        <v>6</v>
      </c>
      <c r="P48" s="551">
        <v>2</v>
      </c>
      <c r="Q48" s="551">
        <v>12</v>
      </c>
      <c r="R48" s="559">
        <f>'1-ABA-DE-CARREGAMENTO'!$C$92+'1-ABA-DE-CARREGAMENTO'!$D$92+'1-ABA-DE-CARREGAMENTO'!$E$92</f>
        <v>6</v>
      </c>
      <c r="S48" s="551">
        <v>2</v>
      </c>
      <c r="T48" s="551">
        <v>12</v>
      </c>
      <c r="U48" s="559">
        <f>'1-ABA-DE-CARREGAMENTO'!$C$92+'1-ABA-DE-CARREGAMENTO'!$D$92+'1-ABA-DE-CARREGAMENTO'!$E$92</f>
        <v>6</v>
      </c>
      <c r="V48" s="553">
        <v>1</v>
      </c>
      <c r="W48" s="553">
        <v>12</v>
      </c>
      <c r="X48" s="560">
        <f>'1-ABA-DE-CARREGAMENTO'!$C$92+'1-ABA-DE-CARREGAMENTO'!$D$92+'1-ABA-DE-CARREGAMENTO'!$E$92</f>
        <v>6</v>
      </c>
      <c r="Y48" s="570">
        <v>0</v>
      </c>
      <c r="Z48" s="571">
        <v>12</v>
      </c>
      <c r="AA48" s="561">
        <f>'1-ABA-DE-CARREGAMENTO'!$C$92+'1-ABA-DE-CARREGAMENTO'!$D$92+'1-ABA-DE-CARREGAMENTO'!$E$92</f>
        <v>6</v>
      </c>
      <c r="AB48" s="548">
        <v>0</v>
      </c>
      <c r="AC48" s="548">
        <v>12</v>
      </c>
      <c r="AD48" s="548">
        <v>1</v>
      </c>
      <c r="AE48" s="548">
        <v>0</v>
      </c>
      <c r="AF48" s="548">
        <v>12</v>
      </c>
      <c r="AG48" s="548">
        <v>1</v>
      </c>
      <c r="AH48" s="548">
        <v>0</v>
      </c>
      <c r="AI48" s="548">
        <v>12</v>
      </c>
      <c r="AJ48" s="548">
        <v>1</v>
      </c>
      <c r="AK48" s="548">
        <v>0</v>
      </c>
      <c r="AL48" s="548">
        <v>12</v>
      </c>
      <c r="AM48" s="548">
        <v>1</v>
      </c>
    </row>
    <row r="49" spans="1:39">
      <c r="A49" s="564">
        <v>47</v>
      </c>
      <c r="B49" s="563" t="s">
        <v>449</v>
      </c>
      <c r="C49" s="558" t="s">
        <v>351</v>
      </c>
      <c r="D49" s="551">
        <v>1</v>
      </c>
      <c r="E49" s="551">
        <v>12</v>
      </c>
      <c r="F49" s="559">
        <f>('1-ABA-DE-CARREGAMENTO'!$C$92+'1-ABA-DE-CARREGAMENTO'!$D$92+'1-ABA-DE-CARREGAMENTO'!$E$92)</f>
        <v>6</v>
      </c>
      <c r="G49" s="551">
        <v>1</v>
      </c>
      <c r="H49" s="551">
        <v>12</v>
      </c>
      <c r="I49" s="559">
        <f>('1-ABA-DE-CARREGAMENTO'!$C$92+'1-ABA-DE-CARREGAMENTO'!$D$92+'1-ABA-DE-CARREGAMENTO'!$E$92)</f>
        <v>6</v>
      </c>
      <c r="J49" s="551">
        <v>1</v>
      </c>
      <c r="K49" s="551">
        <v>12</v>
      </c>
      <c r="L49" s="559">
        <f>'1-ABA-DE-CARREGAMENTO'!$C$92+'1-ABA-DE-CARREGAMENTO'!$D$92+'1-ABA-DE-CARREGAMENTO'!$E$92</f>
        <v>6</v>
      </c>
      <c r="M49" s="551">
        <v>1</v>
      </c>
      <c r="N49" s="551">
        <v>12</v>
      </c>
      <c r="O49" s="559">
        <f>'1-ABA-DE-CARREGAMENTO'!$C$92+'1-ABA-DE-CARREGAMENTO'!$D$92+'1-ABA-DE-CARREGAMENTO'!$E$92</f>
        <v>6</v>
      </c>
      <c r="P49" s="551">
        <v>1</v>
      </c>
      <c r="Q49" s="551">
        <v>12</v>
      </c>
      <c r="R49" s="559">
        <f>'1-ABA-DE-CARREGAMENTO'!$C$92+'1-ABA-DE-CARREGAMENTO'!$D$92+'1-ABA-DE-CARREGAMENTO'!$E$92</f>
        <v>6</v>
      </c>
      <c r="S49" s="551">
        <v>1</v>
      </c>
      <c r="T49" s="551">
        <v>12</v>
      </c>
      <c r="U49" s="559">
        <f>'1-ABA-DE-CARREGAMENTO'!$C$92+'1-ABA-DE-CARREGAMENTO'!$D$92+'1-ABA-DE-CARREGAMENTO'!$E$92</f>
        <v>6</v>
      </c>
      <c r="V49" s="553">
        <v>2</v>
      </c>
      <c r="W49" s="553">
        <v>12</v>
      </c>
      <c r="X49" s="560">
        <f>'1-ABA-DE-CARREGAMENTO'!$C$92+'1-ABA-DE-CARREGAMENTO'!$D$92+'1-ABA-DE-CARREGAMENTO'!$E$92</f>
        <v>6</v>
      </c>
      <c r="Y49" s="570">
        <v>0</v>
      </c>
      <c r="Z49" s="571">
        <v>12</v>
      </c>
      <c r="AA49" s="561">
        <f>'1-ABA-DE-CARREGAMENTO'!$C$92+'1-ABA-DE-CARREGAMENTO'!$D$92+'1-ABA-DE-CARREGAMENTO'!$E$92</f>
        <v>6</v>
      </c>
      <c r="AB49" s="548">
        <v>0</v>
      </c>
      <c r="AC49" s="548">
        <v>12</v>
      </c>
      <c r="AD49" s="548">
        <v>1</v>
      </c>
      <c r="AE49" s="548">
        <v>0</v>
      </c>
      <c r="AF49" s="548">
        <v>12</v>
      </c>
      <c r="AG49" s="548">
        <v>1</v>
      </c>
      <c r="AH49" s="548">
        <v>0</v>
      </c>
      <c r="AI49" s="548">
        <v>12</v>
      </c>
      <c r="AJ49" s="548">
        <v>1</v>
      </c>
      <c r="AK49" s="548">
        <v>0</v>
      </c>
      <c r="AL49" s="548">
        <v>12</v>
      </c>
      <c r="AM49" s="548">
        <v>1</v>
      </c>
    </row>
    <row r="50" spans="1:39">
      <c r="A50" s="562">
        <v>48</v>
      </c>
      <c r="B50" s="563" t="s">
        <v>396</v>
      </c>
      <c r="C50" s="558" t="s">
        <v>342</v>
      </c>
      <c r="D50" s="580">
        <v>2</v>
      </c>
      <c r="E50" s="577">
        <v>12</v>
      </c>
      <c r="F50" s="559">
        <f>('1-ABA-DE-CARREGAMENTO'!$C$92+'1-ABA-DE-CARREGAMENTO'!$D$92+'1-ABA-DE-CARREGAMENTO'!$E$92)</f>
        <v>6</v>
      </c>
      <c r="G50" s="551">
        <v>0</v>
      </c>
      <c r="H50" s="551">
        <v>12</v>
      </c>
      <c r="I50" s="559">
        <f>('1-ABA-DE-CARREGAMENTO'!$C$92+'1-ABA-DE-CARREGAMENTO'!$D$92+'1-ABA-DE-CARREGAMENTO'!$E$92)</f>
        <v>6</v>
      </c>
      <c r="J50" s="551">
        <v>10</v>
      </c>
      <c r="K50" s="551">
        <v>12</v>
      </c>
      <c r="L50" s="559">
        <f>'1-ABA-DE-CARREGAMENTO'!$C$92+'1-ABA-DE-CARREGAMENTO'!$D$92+'1-ABA-DE-CARREGAMENTO'!$E$92</f>
        <v>6</v>
      </c>
      <c r="M50" s="551">
        <v>4</v>
      </c>
      <c r="N50" s="551">
        <v>12</v>
      </c>
      <c r="O50" s="559">
        <f>'1-ABA-DE-CARREGAMENTO'!$C$92+'1-ABA-DE-CARREGAMENTO'!$D$92+'1-ABA-DE-CARREGAMENTO'!$E$92</f>
        <v>6</v>
      </c>
      <c r="P50" s="551">
        <v>2</v>
      </c>
      <c r="Q50" s="551">
        <v>12</v>
      </c>
      <c r="R50" s="559">
        <f>'1-ABA-DE-CARREGAMENTO'!$C$92+'1-ABA-DE-CARREGAMENTO'!$D$92+'1-ABA-DE-CARREGAMENTO'!$E$92</f>
        <v>6</v>
      </c>
      <c r="S50" s="551">
        <v>4</v>
      </c>
      <c r="T50" s="551">
        <v>12</v>
      </c>
      <c r="U50" s="559">
        <f>'1-ABA-DE-CARREGAMENTO'!$C$92+'1-ABA-DE-CARREGAMENTO'!$D$92+'1-ABA-DE-CARREGAMENTO'!$E$92</f>
        <v>6</v>
      </c>
      <c r="V50" s="553">
        <v>6</v>
      </c>
      <c r="W50" s="553">
        <v>12</v>
      </c>
      <c r="X50" s="560">
        <f>'1-ABA-DE-CARREGAMENTO'!$C$92+'1-ABA-DE-CARREGAMENTO'!$D$92+'1-ABA-DE-CARREGAMENTO'!$E$92</f>
        <v>6</v>
      </c>
      <c r="Y50" s="565">
        <v>0</v>
      </c>
      <c r="Z50" s="566">
        <v>12</v>
      </c>
      <c r="AA50" s="561">
        <f>'1-ABA-DE-CARREGAMENTO'!$C$92+'1-ABA-DE-CARREGAMENTO'!$D$92+'1-ABA-DE-CARREGAMENTO'!$E$92</f>
        <v>6</v>
      </c>
      <c r="AB50" s="548">
        <v>0</v>
      </c>
      <c r="AC50" s="548">
        <v>12</v>
      </c>
      <c r="AD50" s="548">
        <v>1</v>
      </c>
      <c r="AE50" s="548">
        <v>0</v>
      </c>
      <c r="AF50" s="548">
        <v>12</v>
      </c>
      <c r="AG50" s="548">
        <v>1</v>
      </c>
      <c r="AH50" s="548">
        <v>0</v>
      </c>
      <c r="AI50" s="548">
        <v>12</v>
      </c>
      <c r="AJ50" s="548">
        <v>1</v>
      </c>
      <c r="AK50" s="548">
        <v>0</v>
      </c>
      <c r="AL50" s="548">
        <v>12</v>
      </c>
      <c r="AM50" s="548">
        <v>1</v>
      </c>
    </row>
    <row r="51" spans="1:39">
      <c r="A51" s="564">
        <v>49</v>
      </c>
      <c r="B51" s="563" t="s">
        <v>450</v>
      </c>
      <c r="C51" s="558" t="s">
        <v>342</v>
      </c>
      <c r="D51" s="551">
        <v>1</v>
      </c>
      <c r="E51" s="551">
        <v>12</v>
      </c>
      <c r="F51" s="559">
        <f>('1-ABA-DE-CARREGAMENTO'!$C$92+'1-ABA-DE-CARREGAMENTO'!$D$92+'1-ABA-DE-CARREGAMENTO'!$E$92)</f>
        <v>6</v>
      </c>
      <c r="G51" s="567">
        <v>0</v>
      </c>
      <c r="H51" s="567">
        <v>12</v>
      </c>
      <c r="I51" s="559">
        <f>('1-ABA-DE-CARREGAMENTO'!$C$92+'1-ABA-DE-CARREGAMENTO'!$D$92+'1-ABA-DE-CARREGAMENTO'!$E$92)</f>
        <v>6</v>
      </c>
      <c r="J51" s="551">
        <v>1</v>
      </c>
      <c r="K51" s="551">
        <v>12</v>
      </c>
      <c r="L51" s="551">
        <v>4</v>
      </c>
      <c r="M51" s="567">
        <v>0</v>
      </c>
      <c r="N51" s="567">
        <v>12</v>
      </c>
      <c r="O51" s="559">
        <f>'1-ABA-DE-CARREGAMENTO'!$C$92+'1-ABA-DE-CARREGAMENTO'!$D$92+'1-ABA-DE-CARREGAMENTO'!$E$92</f>
        <v>6</v>
      </c>
      <c r="P51" s="551">
        <v>1</v>
      </c>
      <c r="Q51" s="551">
        <v>12</v>
      </c>
      <c r="R51" s="559">
        <f>'1-ABA-DE-CARREGAMENTO'!$C$92+'1-ABA-DE-CARREGAMENTO'!$D$92+'1-ABA-DE-CARREGAMENTO'!$E$92</f>
        <v>6</v>
      </c>
      <c r="S51" s="567">
        <v>0</v>
      </c>
      <c r="T51" s="567">
        <v>12</v>
      </c>
      <c r="U51" s="559">
        <f>'1-ABA-DE-CARREGAMENTO'!$C$92+'1-ABA-DE-CARREGAMENTO'!$D$92+'1-ABA-DE-CARREGAMENTO'!$E$92</f>
        <v>6</v>
      </c>
      <c r="V51" s="553">
        <v>1</v>
      </c>
      <c r="W51" s="553">
        <v>12</v>
      </c>
      <c r="X51" s="560">
        <f>'1-ABA-DE-CARREGAMENTO'!$C$92+'1-ABA-DE-CARREGAMENTO'!$D$92+'1-ABA-DE-CARREGAMENTO'!$E$92</f>
        <v>6</v>
      </c>
      <c r="Y51" s="565">
        <v>0</v>
      </c>
      <c r="Z51" s="566">
        <v>12</v>
      </c>
      <c r="AA51" s="561">
        <f>'1-ABA-DE-CARREGAMENTO'!$C$92+'1-ABA-DE-CARREGAMENTO'!$D$92+'1-ABA-DE-CARREGAMENTO'!$E$92</f>
        <v>6</v>
      </c>
      <c r="AB51" s="548">
        <v>0</v>
      </c>
      <c r="AC51" s="548">
        <v>12</v>
      </c>
      <c r="AD51" s="548">
        <v>1</v>
      </c>
      <c r="AE51" s="548">
        <v>0</v>
      </c>
      <c r="AF51" s="548">
        <v>12</v>
      </c>
      <c r="AG51" s="548">
        <v>1</v>
      </c>
      <c r="AH51" s="548">
        <v>0</v>
      </c>
      <c r="AI51" s="548">
        <v>12</v>
      </c>
      <c r="AJ51" s="548">
        <v>1</v>
      </c>
      <c r="AK51" s="548">
        <v>0</v>
      </c>
      <c r="AL51" s="548">
        <v>12</v>
      </c>
      <c r="AM51" s="548">
        <v>1</v>
      </c>
    </row>
    <row r="52" spans="1:39">
      <c r="A52" s="562">
        <v>50</v>
      </c>
      <c r="B52" s="563" t="s">
        <v>398</v>
      </c>
      <c r="C52" s="558" t="s">
        <v>399</v>
      </c>
      <c r="D52" s="551">
        <v>2</v>
      </c>
      <c r="E52" s="551">
        <v>12</v>
      </c>
      <c r="F52" s="559">
        <f>('1-ABA-DE-CARREGAMENTO'!$C$92+'1-ABA-DE-CARREGAMENTO'!$D$92+'1-ABA-DE-CARREGAMENTO'!$E$92)</f>
        <v>6</v>
      </c>
      <c r="G52" s="551">
        <v>2</v>
      </c>
      <c r="H52" s="551">
        <v>12</v>
      </c>
      <c r="I52" s="559">
        <f>('1-ABA-DE-CARREGAMENTO'!$C$92+'1-ABA-DE-CARREGAMENTO'!$D$92+'1-ABA-DE-CARREGAMENTO'!$E$92)</f>
        <v>6</v>
      </c>
      <c r="J52" s="567">
        <v>0</v>
      </c>
      <c r="K52" s="567">
        <v>12</v>
      </c>
      <c r="L52" s="559">
        <f>'1-ABA-DE-CARREGAMENTO'!$C$92+'1-ABA-DE-CARREGAMENTO'!$D$92+'1-ABA-DE-CARREGAMENTO'!$E$92</f>
        <v>6</v>
      </c>
      <c r="M52" s="551">
        <v>6</v>
      </c>
      <c r="N52" s="551">
        <v>12</v>
      </c>
      <c r="O52" s="559">
        <f>'1-ABA-DE-CARREGAMENTO'!$C$92+'1-ABA-DE-CARREGAMENTO'!$D$92+'1-ABA-DE-CARREGAMENTO'!$E$92</f>
        <v>6</v>
      </c>
      <c r="P52" s="567">
        <v>0</v>
      </c>
      <c r="Q52" s="567">
        <v>12</v>
      </c>
      <c r="R52" s="559">
        <f>'1-ABA-DE-CARREGAMENTO'!$C$92+'1-ABA-DE-CARREGAMENTO'!$D$92+'1-ABA-DE-CARREGAMENTO'!$E$92</f>
        <v>6</v>
      </c>
      <c r="S52" s="551">
        <v>4</v>
      </c>
      <c r="T52" s="551">
        <v>12</v>
      </c>
      <c r="U52" s="559">
        <f>'1-ABA-DE-CARREGAMENTO'!$C$92+'1-ABA-DE-CARREGAMENTO'!$D$92+'1-ABA-DE-CARREGAMENTO'!$E$92</f>
        <v>6</v>
      </c>
      <c r="V52" s="568">
        <v>0</v>
      </c>
      <c r="W52" s="568">
        <v>12</v>
      </c>
      <c r="X52" s="560">
        <f>'1-ABA-DE-CARREGAMENTO'!$C$92+'1-ABA-DE-CARREGAMENTO'!$D$92+'1-ABA-DE-CARREGAMENTO'!$E$92</f>
        <v>6</v>
      </c>
      <c r="Y52" s="554">
        <v>1</v>
      </c>
      <c r="Z52" s="555">
        <v>6</v>
      </c>
      <c r="AA52" s="561">
        <f>'1-ABA-DE-CARREGAMENTO'!$C$92+'1-ABA-DE-CARREGAMENTO'!$D$92+'1-ABA-DE-CARREGAMENTO'!$E$92</f>
        <v>6</v>
      </c>
      <c r="AB52" s="548">
        <v>0</v>
      </c>
      <c r="AC52" s="548">
        <v>12</v>
      </c>
      <c r="AD52" s="548">
        <v>1</v>
      </c>
      <c r="AE52" s="548">
        <v>0</v>
      </c>
      <c r="AF52" s="548">
        <v>12</v>
      </c>
      <c r="AG52" s="548">
        <v>1</v>
      </c>
      <c r="AH52" s="548">
        <v>0</v>
      </c>
      <c r="AI52" s="548">
        <v>12</v>
      </c>
      <c r="AJ52" s="548">
        <v>1</v>
      </c>
      <c r="AK52" s="548">
        <v>0</v>
      </c>
      <c r="AL52" s="548">
        <v>12</v>
      </c>
      <c r="AM52" s="548">
        <v>1</v>
      </c>
    </row>
    <row r="53" spans="1:39">
      <c r="A53" s="564">
        <v>51</v>
      </c>
      <c r="B53" s="563" t="s">
        <v>400</v>
      </c>
      <c r="C53" s="558" t="s">
        <v>382</v>
      </c>
      <c r="D53" s="567">
        <v>0</v>
      </c>
      <c r="E53" s="567">
        <v>12</v>
      </c>
      <c r="F53" s="559">
        <f>('1-ABA-DE-CARREGAMENTO'!$C$92+'1-ABA-DE-CARREGAMENTO'!$D$92+'1-ABA-DE-CARREGAMENTO'!$E$92)</f>
        <v>6</v>
      </c>
      <c r="G53" s="551">
        <v>1</v>
      </c>
      <c r="H53" s="551">
        <v>12</v>
      </c>
      <c r="I53" s="559">
        <f>('1-ABA-DE-CARREGAMENTO'!$C$92+'1-ABA-DE-CARREGAMENTO'!$D$92+'1-ABA-DE-CARREGAMENTO'!$E$92)</f>
        <v>6</v>
      </c>
      <c r="J53" s="567">
        <v>0</v>
      </c>
      <c r="K53" s="567">
        <v>12</v>
      </c>
      <c r="L53" s="559">
        <f>'1-ABA-DE-CARREGAMENTO'!$C$92+'1-ABA-DE-CARREGAMENTO'!$D$92+'1-ABA-DE-CARREGAMENTO'!$E$92</f>
        <v>6</v>
      </c>
      <c r="M53" s="567">
        <v>0</v>
      </c>
      <c r="N53" s="567">
        <v>12</v>
      </c>
      <c r="O53" s="559">
        <f>'1-ABA-DE-CARREGAMENTO'!$C$92+'1-ABA-DE-CARREGAMENTO'!$D$92+'1-ABA-DE-CARREGAMENTO'!$E$92</f>
        <v>6</v>
      </c>
      <c r="P53" s="567">
        <v>0</v>
      </c>
      <c r="Q53" s="567">
        <v>12</v>
      </c>
      <c r="R53" s="559">
        <f>'1-ABA-DE-CARREGAMENTO'!$C$92+'1-ABA-DE-CARREGAMENTO'!$D$92+'1-ABA-DE-CARREGAMENTO'!$E$92</f>
        <v>6</v>
      </c>
      <c r="S53" s="567">
        <v>0</v>
      </c>
      <c r="T53" s="567">
        <v>12</v>
      </c>
      <c r="U53" s="559">
        <f>'1-ABA-DE-CARREGAMENTO'!$C$92+'1-ABA-DE-CARREGAMENTO'!$D$92+'1-ABA-DE-CARREGAMENTO'!$E$92</f>
        <v>6</v>
      </c>
      <c r="V53" s="553">
        <v>1</v>
      </c>
      <c r="W53" s="553">
        <v>12</v>
      </c>
      <c r="X53" s="553">
        <v>4</v>
      </c>
      <c r="Y53" s="565">
        <v>0</v>
      </c>
      <c r="Z53" s="566">
        <v>12</v>
      </c>
      <c r="AA53" s="561">
        <f>'1-ABA-DE-CARREGAMENTO'!$C$92+'1-ABA-DE-CARREGAMENTO'!$D$92+'1-ABA-DE-CARREGAMENTO'!$E$92</f>
        <v>6</v>
      </c>
      <c r="AB53" s="548">
        <v>0</v>
      </c>
      <c r="AC53" s="548">
        <v>12</v>
      </c>
      <c r="AD53" s="548">
        <v>1</v>
      </c>
      <c r="AE53" s="548">
        <v>0</v>
      </c>
      <c r="AF53" s="548">
        <v>12</v>
      </c>
      <c r="AG53" s="548">
        <v>1</v>
      </c>
      <c r="AH53" s="548">
        <v>0</v>
      </c>
      <c r="AI53" s="548">
        <v>12</v>
      </c>
      <c r="AJ53" s="548">
        <v>1</v>
      </c>
      <c r="AK53" s="548">
        <v>0</v>
      </c>
      <c r="AL53" s="548">
        <v>12</v>
      </c>
      <c r="AM53" s="548">
        <v>1</v>
      </c>
    </row>
    <row r="54" spans="1:39">
      <c r="A54" s="562">
        <v>52</v>
      </c>
      <c r="B54" s="581" t="s">
        <v>401</v>
      </c>
      <c r="C54" s="582" t="s">
        <v>342</v>
      </c>
      <c r="D54" s="583">
        <v>0</v>
      </c>
      <c r="E54" s="583">
        <v>12</v>
      </c>
      <c r="F54" s="559">
        <f>('1-ABA-DE-CARREGAMENTO'!$C$92+'1-ABA-DE-CARREGAMENTO'!$D$92+'1-ABA-DE-CARREGAMENTO'!$E$92)</f>
        <v>6</v>
      </c>
      <c r="G54" s="583">
        <v>0</v>
      </c>
      <c r="H54" s="583">
        <v>12</v>
      </c>
      <c r="I54" s="559">
        <f>('1-ABA-DE-CARREGAMENTO'!$C$92+'1-ABA-DE-CARREGAMENTO'!$D$92+'1-ABA-DE-CARREGAMENTO'!$E$92)</f>
        <v>6</v>
      </c>
      <c r="J54" s="551">
        <v>10</v>
      </c>
      <c r="K54" s="551">
        <v>12</v>
      </c>
      <c r="L54" s="559">
        <f>'1-ABA-DE-CARREGAMENTO'!$C$92+'1-ABA-DE-CARREGAMENTO'!$D$92+'1-ABA-DE-CARREGAMENTO'!$E$92</f>
        <v>6</v>
      </c>
      <c r="M54" s="583">
        <v>0</v>
      </c>
      <c r="N54" s="583">
        <v>12</v>
      </c>
      <c r="O54" s="559">
        <f>'1-ABA-DE-CARREGAMENTO'!$C$92+'1-ABA-DE-CARREGAMENTO'!$D$92+'1-ABA-DE-CARREGAMENTO'!$E$92</f>
        <v>6</v>
      </c>
      <c r="P54" s="583">
        <v>0</v>
      </c>
      <c r="Q54" s="583">
        <v>12</v>
      </c>
      <c r="R54" s="559">
        <f>'1-ABA-DE-CARREGAMENTO'!$C$92+'1-ABA-DE-CARREGAMENTO'!$D$92+'1-ABA-DE-CARREGAMENTO'!$E$92</f>
        <v>6</v>
      </c>
      <c r="S54" s="583">
        <v>0</v>
      </c>
      <c r="T54" s="583">
        <v>12</v>
      </c>
      <c r="U54" s="559">
        <f>'1-ABA-DE-CARREGAMENTO'!$C$92+'1-ABA-DE-CARREGAMENTO'!$D$92+'1-ABA-DE-CARREGAMENTO'!$E$92</f>
        <v>6</v>
      </c>
      <c r="V54" s="568">
        <v>0</v>
      </c>
      <c r="W54" s="568">
        <v>12</v>
      </c>
      <c r="X54" s="560">
        <f>'1-ABA-DE-CARREGAMENTO'!$C$92+'1-ABA-DE-CARREGAMENTO'!$D$92+'1-ABA-DE-CARREGAMENTO'!$E$92</f>
        <v>6</v>
      </c>
      <c r="Y54" s="583">
        <v>0</v>
      </c>
      <c r="Z54" s="584">
        <v>12</v>
      </c>
      <c r="AA54" s="561">
        <f>'1-ABA-DE-CARREGAMENTO'!$C$92+'1-ABA-DE-CARREGAMENTO'!$D$92+'1-ABA-DE-CARREGAMENTO'!$E$92</f>
        <v>6</v>
      </c>
      <c r="AB54" s="548">
        <v>0</v>
      </c>
      <c r="AC54" s="548">
        <v>12</v>
      </c>
      <c r="AD54" s="548">
        <v>1</v>
      </c>
      <c r="AE54" s="548">
        <v>0</v>
      </c>
      <c r="AF54" s="548">
        <v>12</v>
      </c>
      <c r="AG54" s="548">
        <v>1</v>
      </c>
      <c r="AH54" s="548">
        <v>0</v>
      </c>
      <c r="AI54" s="548">
        <v>12</v>
      </c>
      <c r="AJ54" s="548">
        <v>1</v>
      </c>
      <c r="AK54" s="548">
        <v>0</v>
      </c>
      <c r="AL54" s="548">
        <v>12</v>
      </c>
      <c r="AM54" s="548">
        <v>1</v>
      </c>
    </row>
    <row r="55" spans="1:39">
      <c r="A55" s="564">
        <v>53</v>
      </c>
      <c r="B55" s="563" t="s">
        <v>402</v>
      </c>
      <c r="C55" s="582" t="s">
        <v>342</v>
      </c>
      <c r="D55" s="583">
        <v>0</v>
      </c>
      <c r="E55" s="583">
        <v>12</v>
      </c>
      <c r="F55" s="559">
        <f>('1-ABA-DE-CARREGAMENTO'!$C$92+'1-ABA-DE-CARREGAMENTO'!$D$92+'1-ABA-DE-CARREGAMENTO'!$E$92)</f>
        <v>6</v>
      </c>
      <c r="G55" s="551">
        <v>1</v>
      </c>
      <c r="H55" s="551">
        <v>12</v>
      </c>
      <c r="I55" s="551">
        <v>3</v>
      </c>
      <c r="J55" s="551">
        <v>2</v>
      </c>
      <c r="K55" s="551">
        <v>12</v>
      </c>
      <c r="L55" s="551">
        <v>2</v>
      </c>
      <c r="M55" s="583">
        <v>0</v>
      </c>
      <c r="N55" s="583">
        <v>12</v>
      </c>
      <c r="O55" s="559">
        <f>'1-ABA-DE-CARREGAMENTO'!$C$92+'1-ABA-DE-CARREGAMENTO'!$D$92+'1-ABA-DE-CARREGAMENTO'!$E$92</f>
        <v>6</v>
      </c>
      <c r="P55" s="583">
        <v>0</v>
      </c>
      <c r="Q55" s="583">
        <v>12</v>
      </c>
      <c r="R55" s="559">
        <f>'1-ABA-DE-CARREGAMENTO'!$C$92+'1-ABA-DE-CARREGAMENTO'!$D$92+'1-ABA-DE-CARREGAMENTO'!$E$92</f>
        <v>6</v>
      </c>
      <c r="S55" s="583">
        <v>0</v>
      </c>
      <c r="T55" s="583">
        <v>12</v>
      </c>
      <c r="U55" s="559">
        <f>'1-ABA-DE-CARREGAMENTO'!$C$92+'1-ABA-DE-CARREGAMENTO'!$D$92+'1-ABA-DE-CARREGAMENTO'!$E$92</f>
        <v>6</v>
      </c>
      <c r="V55" s="553">
        <v>2</v>
      </c>
      <c r="W55" s="553">
        <v>12</v>
      </c>
      <c r="X55" s="553">
        <v>2</v>
      </c>
      <c r="Y55" s="583">
        <v>0</v>
      </c>
      <c r="Z55" s="584">
        <v>12</v>
      </c>
      <c r="AA55" s="561">
        <f>'1-ABA-DE-CARREGAMENTO'!$C$92+'1-ABA-DE-CARREGAMENTO'!$D$92+'1-ABA-DE-CARREGAMENTO'!$E$92</f>
        <v>6</v>
      </c>
      <c r="AB55" s="548">
        <v>0</v>
      </c>
      <c r="AC55" s="548">
        <v>12</v>
      </c>
      <c r="AD55" s="548">
        <v>1</v>
      </c>
      <c r="AE55" s="548">
        <v>0</v>
      </c>
      <c r="AF55" s="548">
        <v>12</v>
      </c>
      <c r="AG55" s="548">
        <v>1</v>
      </c>
      <c r="AH55" s="548">
        <v>0</v>
      </c>
      <c r="AI55" s="548">
        <v>12</v>
      </c>
      <c r="AJ55" s="548">
        <v>1</v>
      </c>
      <c r="AK55" s="548">
        <v>0</v>
      </c>
      <c r="AL55" s="548">
        <v>12</v>
      </c>
      <c r="AM55" s="548">
        <v>1</v>
      </c>
    </row>
    <row r="56" spans="1:39">
      <c r="A56" s="562">
        <v>54</v>
      </c>
      <c r="B56" s="557" t="s">
        <v>403</v>
      </c>
      <c r="C56" s="585" t="s">
        <v>339</v>
      </c>
      <c r="D56" s="583">
        <v>0</v>
      </c>
      <c r="E56" s="583">
        <v>12</v>
      </c>
      <c r="F56" s="559">
        <f>('1-ABA-DE-CARREGAMENTO'!$C$92+'1-ABA-DE-CARREGAMENTO'!$D$92+'1-ABA-DE-CARREGAMENTO'!$E$92)</f>
        <v>6</v>
      </c>
      <c r="G56" s="551">
        <v>2</v>
      </c>
      <c r="H56" s="552">
        <v>12</v>
      </c>
      <c r="I56" s="559">
        <f>('1-ABA-DE-CARREGAMENTO'!$C$92+'1-ABA-DE-CARREGAMENTO'!$D$92+'1-ABA-DE-CARREGAMENTO'!$E$92)</f>
        <v>6</v>
      </c>
      <c r="J56" s="584">
        <v>0</v>
      </c>
      <c r="K56" s="584">
        <v>12</v>
      </c>
      <c r="L56" s="559">
        <f>'1-ABA-DE-CARREGAMENTO'!$C$92+'1-ABA-DE-CARREGAMENTO'!$D$92+'1-ABA-DE-CARREGAMENTO'!$E$92</f>
        <v>6</v>
      </c>
      <c r="M56" s="584">
        <v>0</v>
      </c>
      <c r="N56" s="584">
        <v>12</v>
      </c>
      <c r="O56" s="559">
        <f>'1-ABA-DE-CARREGAMENTO'!$C$92+'1-ABA-DE-CARREGAMENTO'!$D$92+'1-ABA-DE-CARREGAMENTO'!$E$92</f>
        <v>6</v>
      </c>
      <c r="P56" s="584">
        <v>0</v>
      </c>
      <c r="Q56" s="584">
        <v>12</v>
      </c>
      <c r="R56" s="559">
        <f>'1-ABA-DE-CARREGAMENTO'!$C$92+'1-ABA-DE-CARREGAMENTO'!$D$92+'1-ABA-DE-CARREGAMENTO'!$E$92</f>
        <v>6</v>
      </c>
      <c r="S56" s="584">
        <v>0</v>
      </c>
      <c r="T56" s="584">
        <v>12</v>
      </c>
      <c r="U56" s="559">
        <f>'1-ABA-DE-CARREGAMENTO'!$C$92+'1-ABA-DE-CARREGAMENTO'!$D$92+'1-ABA-DE-CARREGAMENTO'!$E$92</f>
        <v>6</v>
      </c>
      <c r="V56" s="586">
        <v>0</v>
      </c>
      <c r="W56" s="586">
        <v>12</v>
      </c>
      <c r="X56" s="560">
        <f>'1-ABA-DE-CARREGAMENTO'!$C$92+'1-ABA-DE-CARREGAMENTO'!$D$92+'1-ABA-DE-CARREGAMENTO'!$E$92</f>
        <v>6</v>
      </c>
      <c r="Y56" s="584">
        <v>0</v>
      </c>
      <c r="Z56" s="584">
        <v>12</v>
      </c>
      <c r="AA56" s="561">
        <f>'1-ABA-DE-CARREGAMENTO'!$C$92+'1-ABA-DE-CARREGAMENTO'!$D$92+'1-ABA-DE-CARREGAMENTO'!$E$92</f>
        <v>6</v>
      </c>
      <c r="AB56" s="548">
        <v>0</v>
      </c>
      <c r="AC56" s="548">
        <v>12</v>
      </c>
      <c r="AD56" s="548">
        <v>1</v>
      </c>
      <c r="AE56" s="548">
        <v>0</v>
      </c>
      <c r="AF56" s="548">
        <v>12</v>
      </c>
      <c r="AG56" s="548">
        <v>1</v>
      </c>
      <c r="AH56" s="548">
        <v>0</v>
      </c>
      <c r="AI56" s="548">
        <v>12</v>
      </c>
      <c r="AJ56" s="548">
        <v>1</v>
      </c>
      <c r="AK56" s="548">
        <v>0</v>
      </c>
      <c r="AL56" s="548">
        <v>12</v>
      </c>
      <c r="AM56" s="548">
        <v>1</v>
      </c>
    </row>
    <row r="62" spans="1:39">
      <c r="B62" s="587" t="s">
        <v>451</v>
      </c>
      <c r="C62" s="546" t="s">
        <v>332</v>
      </c>
      <c r="D62" s="946" t="s">
        <v>452</v>
      </c>
      <c r="E62" s="884"/>
      <c r="F62" s="884"/>
      <c r="G62" s="885"/>
      <c r="H62" s="588" t="s">
        <v>81</v>
      </c>
      <c r="I62" s="588" t="s">
        <v>49</v>
      </c>
      <c r="J62" s="588" t="s">
        <v>38</v>
      </c>
      <c r="K62" s="588" t="s">
        <v>32</v>
      </c>
      <c r="L62" s="588" t="s">
        <v>65</v>
      </c>
      <c r="M62" s="588" t="s">
        <v>43</v>
      </c>
      <c r="N62" s="588" t="s">
        <v>71</v>
      </c>
      <c r="O62" s="588" t="s">
        <v>196</v>
      </c>
      <c r="P62" s="548" t="s">
        <v>54</v>
      </c>
      <c r="Q62" s="547" t="s">
        <v>60</v>
      </c>
      <c r="R62" s="548" t="s">
        <v>76</v>
      </c>
      <c r="S62" s="548" t="s">
        <v>86</v>
      </c>
    </row>
    <row r="63" spans="1:39">
      <c r="A63" s="548">
        <v>1</v>
      </c>
      <c r="B63" s="589">
        <v>2</v>
      </c>
      <c r="C63" s="590">
        <v>3</v>
      </c>
      <c r="D63" s="591">
        <v>4</v>
      </c>
      <c r="E63" s="592">
        <v>5</v>
      </c>
      <c r="F63" s="591">
        <v>6</v>
      </c>
      <c r="G63" s="592">
        <v>7</v>
      </c>
      <c r="H63" s="591">
        <v>8</v>
      </c>
      <c r="I63" s="591">
        <v>9</v>
      </c>
      <c r="J63" s="591">
        <v>10</v>
      </c>
      <c r="K63" s="592">
        <v>11</v>
      </c>
      <c r="L63" s="592">
        <v>12</v>
      </c>
      <c r="M63" s="592">
        <v>13</v>
      </c>
      <c r="N63" s="592">
        <v>14</v>
      </c>
      <c r="O63" s="592">
        <v>15</v>
      </c>
      <c r="P63" s="548">
        <v>16</v>
      </c>
      <c r="Q63" s="548">
        <v>17</v>
      </c>
      <c r="R63" s="548">
        <v>18</v>
      </c>
      <c r="S63" s="548">
        <v>19</v>
      </c>
      <c r="T63" s="548">
        <v>20</v>
      </c>
      <c r="U63" s="548">
        <v>21</v>
      </c>
    </row>
    <row r="64" spans="1:39">
      <c r="A64" s="548">
        <v>1</v>
      </c>
      <c r="B64" s="593" t="s">
        <v>453</v>
      </c>
      <c r="C64" s="594" t="s">
        <v>339</v>
      </c>
      <c r="D64" s="595">
        <v>1</v>
      </c>
      <c r="E64" s="596" t="s">
        <v>342</v>
      </c>
      <c r="F64" s="595">
        <v>60</v>
      </c>
      <c r="G64" s="596" t="s">
        <v>409</v>
      </c>
      <c r="H64" s="595">
        <v>1</v>
      </c>
      <c r="I64" s="595">
        <v>1</v>
      </c>
      <c r="J64" s="595">
        <v>1</v>
      </c>
      <c r="K64" s="592">
        <v>0</v>
      </c>
      <c r="L64" s="592">
        <v>0</v>
      </c>
      <c r="M64" s="592">
        <v>0</v>
      </c>
      <c r="N64" s="592">
        <v>0</v>
      </c>
      <c r="O64" s="592">
        <v>0</v>
      </c>
    </row>
    <row r="65" spans="1:15">
      <c r="A65" s="548">
        <v>2</v>
      </c>
      <c r="B65" s="593" t="s">
        <v>454</v>
      </c>
      <c r="C65" s="594" t="s">
        <v>411</v>
      </c>
      <c r="D65" s="595">
        <v>5</v>
      </c>
      <c r="E65" s="596" t="s">
        <v>342</v>
      </c>
      <c r="F65" s="595">
        <v>60</v>
      </c>
      <c r="G65" s="596" t="s">
        <v>409</v>
      </c>
      <c r="H65" s="595">
        <v>2</v>
      </c>
      <c r="I65" s="595">
        <v>2</v>
      </c>
      <c r="J65" s="595">
        <v>2</v>
      </c>
      <c r="K65" s="595">
        <v>2</v>
      </c>
      <c r="L65" s="592">
        <v>0</v>
      </c>
      <c r="M65" s="592">
        <v>0</v>
      </c>
      <c r="N65" s="592">
        <v>0</v>
      </c>
      <c r="O65" s="592">
        <v>0</v>
      </c>
    </row>
    <row r="66" spans="1:15">
      <c r="A66" s="548">
        <v>3</v>
      </c>
      <c r="B66" s="597" t="s">
        <v>412</v>
      </c>
      <c r="C66" s="594" t="s">
        <v>339</v>
      </c>
      <c r="D66" s="595">
        <v>1</v>
      </c>
      <c r="E66" s="596" t="s">
        <v>342</v>
      </c>
      <c r="F66" s="595">
        <v>60</v>
      </c>
      <c r="G66" s="596" t="s">
        <v>409</v>
      </c>
      <c r="H66" s="592">
        <v>0</v>
      </c>
      <c r="I66" s="592">
        <v>0</v>
      </c>
      <c r="J66" s="592">
        <v>0</v>
      </c>
      <c r="K66" s="592">
        <v>0</v>
      </c>
      <c r="L66" s="592">
        <v>0</v>
      </c>
      <c r="M66" s="592">
        <v>0</v>
      </c>
      <c r="N66" s="592">
        <v>0</v>
      </c>
      <c r="O66" s="592">
        <v>0</v>
      </c>
    </row>
    <row r="67" spans="1:15">
      <c r="A67" s="548">
        <v>4</v>
      </c>
      <c r="B67" s="598" t="s">
        <v>413</v>
      </c>
      <c r="C67" s="594" t="s">
        <v>339</v>
      </c>
      <c r="D67" s="595">
        <v>1</v>
      </c>
      <c r="E67" s="596" t="s">
        <v>342</v>
      </c>
      <c r="F67" s="595">
        <v>60</v>
      </c>
      <c r="G67" s="596" t="s">
        <v>409</v>
      </c>
      <c r="H67" s="592">
        <v>0</v>
      </c>
      <c r="I67" s="592">
        <v>0</v>
      </c>
      <c r="J67" s="595">
        <v>1</v>
      </c>
      <c r="K67" s="595">
        <v>1</v>
      </c>
      <c r="L67" s="592">
        <v>0</v>
      </c>
      <c r="M67" s="592">
        <v>0</v>
      </c>
      <c r="N67" s="592">
        <v>0</v>
      </c>
      <c r="O67" s="592">
        <v>0</v>
      </c>
    </row>
    <row r="68" spans="1:15">
      <c r="A68" s="548">
        <v>5</v>
      </c>
      <c r="B68" s="599" t="s">
        <v>455</v>
      </c>
      <c r="C68" s="594" t="s">
        <v>339</v>
      </c>
      <c r="D68" s="595">
        <v>1</v>
      </c>
      <c r="E68" s="596" t="s">
        <v>342</v>
      </c>
      <c r="F68" s="595">
        <v>60</v>
      </c>
      <c r="G68" s="596" t="s">
        <v>409</v>
      </c>
      <c r="H68" s="592">
        <v>0</v>
      </c>
      <c r="I68" s="595">
        <v>1</v>
      </c>
      <c r="J68" s="595">
        <v>1</v>
      </c>
      <c r="K68" s="595">
        <v>1</v>
      </c>
      <c r="L68" s="592">
        <v>0</v>
      </c>
      <c r="M68" s="592">
        <v>0</v>
      </c>
      <c r="N68" s="592">
        <v>0</v>
      </c>
      <c r="O68" s="592">
        <v>0</v>
      </c>
    </row>
    <row r="69" spans="1:15">
      <c r="A69" s="548">
        <v>6</v>
      </c>
      <c r="B69" s="597" t="s">
        <v>415</v>
      </c>
      <c r="C69" s="594" t="s">
        <v>339</v>
      </c>
      <c r="D69" s="595">
        <v>6</v>
      </c>
      <c r="E69" s="596" t="s">
        <v>342</v>
      </c>
      <c r="F69" s="595">
        <v>60</v>
      </c>
      <c r="G69" s="596" t="s">
        <v>409</v>
      </c>
      <c r="H69" s="592">
        <v>0</v>
      </c>
      <c r="I69" s="592">
        <v>0</v>
      </c>
      <c r="J69" s="592">
        <v>0</v>
      </c>
      <c r="K69" s="592">
        <v>0</v>
      </c>
      <c r="L69" s="592">
        <v>0</v>
      </c>
      <c r="M69" s="592">
        <v>0</v>
      </c>
      <c r="N69" s="592">
        <v>0</v>
      </c>
      <c r="O69" s="592">
        <v>0</v>
      </c>
    </row>
    <row r="70" spans="1:15">
      <c r="A70" s="548">
        <v>7</v>
      </c>
      <c r="B70" s="597" t="s">
        <v>416</v>
      </c>
      <c r="C70" s="594" t="s">
        <v>385</v>
      </c>
      <c r="D70" s="595">
        <v>6</v>
      </c>
      <c r="E70" s="596" t="s">
        <v>342</v>
      </c>
      <c r="F70" s="595">
        <v>60</v>
      </c>
      <c r="G70" s="596" t="s">
        <v>409</v>
      </c>
      <c r="H70" s="592">
        <v>0</v>
      </c>
      <c r="I70" s="592">
        <v>0</v>
      </c>
      <c r="J70" s="595">
        <v>30</v>
      </c>
      <c r="K70" s="595">
        <v>5</v>
      </c>
      <c r="L70" s="592">
        <v>0</v>
      </c>
      <c r="M70" s="592">
        <v>0</v>
      </c>
      <c r="N70" s="592">
        <v>0</v>
      </c>
      <c r="O70" s="592">
        <v>0</v>
      </c>
    </row>
    <row r="71" spans="1:15">
      <c r="A71" s="548">
        <v>8</v>
      </c>
      <c r="B71" s="600" t="s">
        <v>417</v>
      </c>
      <c r="C71" s="594" t="s">
        <v>339</v>
      </c>
      <c r="D71" s="595">
        <v>1</v>
      </c>
      <c r="E71" s="596" t="s">
        <v>342</v>
      </c>
      <c r="F71" s="595">
        <v>60</v>
      </c>
      <c r="G71" s="596" t="s">
        <v>409</v>
      </c>
      <c r="H71" s="592">
        <v>0</v>
      </c>
      <c r="I71" s="595">
        <v>200</v>
      </c>
      <c r="J71" s="595">
        <v>30</v>
      </c>
      <c r="K71" s="592">
        <v>0</v>
      </c>
      <c r="L71" s="592">
        <v>0</v>
      </c>
      <c r="M71" s="592">
        <v>0</v>
      </c>
      <c r="N71" s="592">
        <v>0</v>
      </c>
      <c r="O71" s="592">
        <v>0</v>
      </c>
    </row>
    <row r="72" spans="1:15">
      <c r="A72" s="548">
        <v>9</v>
      </c>
      <c r="B72" s="600" t="s">
        <v>418</v>
      </c>
      <c r="C72" s="594" t="s">
        <v>339</v>
      </c>
      <c r="D72" s="595">
        <v>30</v>
      </c>
      <c r="E72" s="596" t="s">
        <v>342</v>
      </c>
      <c r="F72" s="595">
        <v>60</v>
      </c>
      <c r="G72" s="596" t="s">
        <v>409</v>
      </c>
      <c r="H72" s="592">
        <v>0</v>
      </c>
      <c r="I72" s="595">
        <v>30</v>
      </c>
      <c r="J72" s="595">
        <v>10</v>
      </c>
      <c r="K72" s="592">
        <v>0</v>
      </c>
      <c r="L72" s="592">
        <v>0</v>
      </c>
      <c r="M72" s="592">
        <v>0</v>
      </c>
      <c r="N72" s="592">
        <v>0</v>
      </c>
      <c r="O72" s="592">
        <v>0</v>
      </c>
    </row>
    <row r="73" spans="1:15">
      <c r="A73" s="548">
        <v>10</v>
      </c>
      <c r="B73" s="597" t="s">
        <v>419</v>
      </c>
      <c r="C73" s="594" t="s">
        <v>339</v>
      </c>
      <c r="D73" s="595">
        <v>1</v>
      </c>
      <c r="E73" s="596" t="s">
        <v>342</v>
      </c>
      <c r="F73" s="595">
        <v>60</v>
      </c>
      <c r="G73" s="596" t="s">
        <v>409</v>
      </c>
      <c r="H73" s="592">
        <v>0</v>
      </c>
      <c r="I73" s="595">
        <v>1</v>
      </c>
      <c r="J73" s="595">
        <v>1</v>
      </c>
      <c r="K73" s="595">
        <v>1</v>
      </c>
      <c r="L73" s="595">
        <v>1</v>
      </c>
      <c r="M73" s="592">
        <v>0</v>
      </c>
      <c r="N73" s="595">
        <v>1</v>
      </c>
      <c r="O73" s="592">
        <v>0</v>
      </c>
    </row>
    <row r="74" spans="1:15">
      <c r="A74" s="548">
        <v>11</v>
      </c>
      <c r="B74" s="597" t="s">
        <v>420</v>
      </c>
      <c r="C74" s="594" t="s">
        <v>339</v>
      </c>
      <c r="D74" s="595">
        <v>1</v>
      </c>
      <c r="E74" s="596" t="s">
        <v>342</v>
      </c>
      <c r="F74" s="595">
        <v>60</v>
      </c>
      <c r="G74" s="596" t="s">
        <v>409</v>
      </c>
      <c r="H74" s="592">
        <v>0</v>
      </c>
      <c r="I74" s="592">
        <v>0</v>
      </c>
      <c r="J74" s="595">
        <v>1</v>
      </c>
      <c r="K74" s="592">
        <v>0</v>
      </c>
      <c r="L74" s="595">
        <v>1</v>
      </c>
      <c r="M74" s="592">
        <v>0</v>
      </c>
      <c r="N74" s="592">
        <v>0</v>
      </c>
      <c r="O74" s="592">
        <v>0</v>
      </c>
    </row>
    <row r="75" spans="1:15">
      <c r="A75" s="548">
        <v>12</v>
      </c>
      <c r="B75" s="601" t="s">
        <v>421</v>
      </c>
      <c r="C75" s="594" t="s">
        <v>339</v>
      </c>
      <c r="D75" s="595">
        <v>1</v>
      </c>
      <c r="E75" s="596" t="s">
        <v>342</v>
      </c>
      <c r="F75" s="595">
        <v>60</v>
      </c>
      <c r="G75" s="596" t="s">
        <v>409</v>
      </c>
      <c r="H75" s="595">
        <v>3</v>
      </c>
      <c r="I75" s="592">
        <v>0</v>
      </c>
      <c r="J75" s="592">
        <v>0</v>
      </c>
      <c r="K75" s="595">
        <v>1</v>
      </c>
      <c r="L75" s="592">
        <v>0</v>
      </c>
      <c r="M75" s="592">
        <v>0</v>
      </c>
      <c r="N75" s="592">
        <v>0</v>
      </c>
      <c r="O75" s="592">
        <v>0</v>
      </c>
    </row>
    <row r="76" spans="1:15">
      <c r="A76" s="548">
        <v>13</v>
      </c>
      <c r="B76" s="593" t="s">
        <v>456</v>
      </c>
      <c r="C76" s="594" t="s">
        <v>339</v>
      </c>
      <c r="D76" s="595">
        <v>1</v>
      </c>
      <c r="E76" s="596" t="s">
        <v>342</v>
      </c>
      <c r="F76" s="595">
        <v>60</v>
      </c>
      <c r="G76" s="596" t="s">
        <v>409</v>
      </c>
      <c r="H76" s="592">
        <v>0</v>
      </c>
      <c r="I76" s="595">
        <v>1</v>
      </c>
      <c r="J76" s="595">
        <v>1</v>
      </c>
      <c r="K76" s="595">
        <v>1</v>
      </c>
      <c r="L76" s="592">
        <v>0</v>
      </c>
      <c r="M76" s="592">
        <v>0</v>
      </c>
      <c r="N76" s="595">
        <v>1</v>
      </c>
      <c r="O76" s="592">
        <v>0</v>
      </c>
    </row>
    <row r="77" spans="1:15">
      <c r="A77" s="548">
        <v>14</v>
      </c>
      <c r="B77" s="597" t="s">
        <v>423</v>
      </c>
      <c r="C77" s="594" t="s">
        <v>339</v>
      </c>
      <c r="D77" s="595">
        <v>2</v>
      </c>
      <c r="E77" s="596" t="s">
        <v>342</v>
      </c>
      <c r="F77" s="595">
        <v>60</v>
      </c>
      <c r="G77" s="596" t="s">
        <v>409</v>
      </c>
      <c r="H77" s="592">
        <v>0</v>
      </c>
      <c r="I77" s="592">
        <v>0</v>
      </c>
      <c r="J77" s="592">
        <v>0</v>
      </c>
      <c r="K77" s="592">
        <v>0</v>
      </c>
      <c r="L77" s="592">
        <v>0</v>
      </c>
      <c r="M77" s="592">
        <v>0</v>
      </c>
      <c r="N77" s="592">
        <v>0</v>
      </c>
      <c r="O77" s="592">
        <v>0</v>
      </c>
    </row>
    <row r="78" spans="1:15">
      <c r="A78" s="548">
        <v>15</v>
      </c>
      <c r="B78" s="599" t="s">
        <v>457</v>
      </c>
      <c r="C78" s="594" t="s">
        <v>339</v>
      </c>
      <c r="D78" s="595">
        <v>1</v>
      </c>
      <c r="E78" s="596" t="s">
        <v>342</v>
      </c>
      <c r="F78" s="595">
        <v>60</v>
      </c>
      <c r="G78" s="596" t="s">
        <v>409</v>
      </c>
      <c r="H78" s="595">
        <v>6</v>
      </c>
      <c r="I78" s="592">
        <v>0</v>
      </c>
      <c r="J78" s="595">
        <v>4</v>
      </c>
      <c r="K78" s="595">
        <v>4</v>
      </c>
      <c r="L78" s="595">
        <v>2</v>
      </c>
      <c r="M78" s="592">
        <v>0</v>
      </c>
      <c r="N78" s="595">
        <v>1</v>
      </c>
      <c r="O78" s="592">
        <v>0</v>
      </c>
    </row>
    <row r="79" spans="1:15">
      <c r="A79" s="548">
        <v>16</v>
      </c>
      <c r="B79" s="593" t="s">
        <v>458</v>
      </c>
      <c r="C79" s="594" t="s">
        <v>339</v>
      </c>
      <c r="D79" s="595">
        <v>12</v>
      </c>
      <c r="E79" s="596" t="s">
        <v>342</v>
      </c>
      <c r="F79" s="595">
        <v>60</v>
      </c>
      <c r="G79" s="596" t="s">
        <v>409</v>
      </c>
      <c r="H79" s="595">
        <v>20</v>
      </c>
      <c r="I79" s="592">
        <v>0</v>
      </c>
      <c r="J79" s="595">
        <v>15</v>
      </c>
      <c r="K79" s="595">
        <v>20</v>
      </c>
      <c r="L79" s="595">
        <v>4</v>
      </c>
      <c r="M79" s="592">
        <v>0</v>
      </c>
      <c r="N79" s="592">
        <v>0</v>
      </c>
      <c r="O79" s="592">
        <v>0</v>
      </c>
    </row>
    <row r="80" spans="1:15">
      <c r="A80" s="548">
        <v>17</v>
      </c>
      <c r="B80" s="597" t="s">
        <v>426</v>
      </c>
      <c r="C80" s="594" t="s">
        <v>339</v>
      </c>
      <c r="D80" s="595">
        <v>1</v>
      </c>
      <c r="E80" s="596" t="s">
        <v>342</v>
      </c>
      <c r="F80" s="595">
        <v>60</v>
      </c>
      <c r="G80" s="596" t="s">
        <v>409</v>
      </c>
      <c r="H80" s="595">
        <v>2</v>
      </c>
      <c r="I80" s="592">
        <v>0</v>
      </c>
      <c r="J80" s="595">
        <v>1</v>
      </c>
      <c r="K80" s="592">
        <v>0</v>
      </c>
      <c r="L80" s="592">
        <v>0</v>
      </c>
      <c r="M80" s="592">
        <v>0</v>
      </c>
      <c r="N80" s="595">
        <v>1</v>
      </c>
      <c r="O80" s="592">
        <v>0</v>
      </c>
    </row>
    <row r="81" spans="1:15">
      <c r="A81" s="548">
        <v>18</v>
      </c>
      <c r="B81" s="593" t="s">
        <v>459</v>
      </c>
      <c r="C81" s="594" t="s">
        <v>339</v>
      </c>
      <c r="D81" s="595">
        <v>1</v>
      </c>
      <c r="E81" s="596" t="s">
        <v>342</v>
      </c>
      <c r="F81" s="595">
        <v>60</v>
      </c>
      <c r="G81" s="596" t="s">
        <v>409</v>
      </c>
      <c r="H81" s="595">
        <v>2</v>
      </c>
      <c r="I81" s="595">
        <v>1</v>
      </c>
      <c r="J81" s="595">
        <v>1</v>
      </c>
      <c r="K81" s="595">
        <v>1</v>
      </c>
      <c r="L81" s="592">
        <v>0</v>
      </c>
      <c r="M81" s="592">
        <v>0</v>
      </c>
      <c r="N81" s="595">
        <v>1</v>
      </c>
      <c r="O81" s="592">
        <v>0</v>
      </c>
    </row>
    <row r="82" spans="1:15">
      <c r="A82" s="548">
        <v>19</v>
      </c>
      <c r="B82" s="596" t="s">
        <v>428</v>
      </c>
      <c r="C82" s="594" t="s">
        <v>339</v>
      </c>
      <c r="D82" s="595">
        <v>1</v>
      </c>
      <c r="E82" s="596" t="s">
        <v>342</v>
      </c>
      <c r="F82" s="595">
        <v>60</v>
      </c>
      <c r="G82" s="596" t="s">
        <v>409</v>
      </c>
      <c r="H82" s="595">
        <v>2</v>
      </c>
      <c r="I82" s="592">
        <v>0</v>
      </c>
      <c r="J82" s="595">
        <v>1</v>
      </c>
      <c r="K82" s="595">
        <v>2</v>
      </c>
      <c r="L82" s="592">
        <v>0</v>
      </c>
      <c r="M82" s="592">
        <v>0</v>
      </c>
      <c r="N82" s="595">
        <v>1</v>
      </c>
      <c r="O82" s="595">
        <v>1</v>
      </c>
    </row>
    <row r="83" spans="1:15">
      <c r="A83" s="548">
        <v>20</v>
      </c>
      <c r="B83" s="601" t="s">
        <v>429</v>
      </c>
      <c r="C83" s="594" t="s">
        <v>339</v>
      </c>
      <c r="D83" s="595">
        <v>1</v>
      </c>
      <c r="E83" s="596" t="s">
        <v>342</v>
      </c>
      <c r="F83" s="595">
        <v>60</v>
      </c>
      <c r="G83" s="596" t="s">
        <v>409</v>
      </c>
      <c r="H83" s="595">
        <v>4</v>
      </c>
      <c r="I83" s="592">
        <v>0</v>
      </c>
      <c r="J83" s="592">
        <v>0</v>
      </c>
      <c r="K83" s="595">
        <v>2</v>
      </c>
      <c r="L83" s="592">
        <v>0</v>
      </c>
      <c r="M83" s="592">
        <v>0</v>
      </c>
      <c r="N83" s="592">
        <v>0</v>
      </c>
      <c r="O83" s="592">
        <v>0</v>
      </c>
    </row>
    <row r="84" spans="1:15">
      <c r="A84" s="548">
        <v>21</v>
      </c>
      <c r="B84" s="601" t="s">
        <v>430</v>
      </c>
      <c r="C84" s="594" t="s">
        <v>339</v>
      </c>
      <c r="D84" s="595">
        <v>1</v>
      </c>
      <c r="E84" s="596" t="s">
        <v>342</v>
      </c>
      <c r="F84" s="595">
        <v>60</v>
      </c>
      <c r="G84" s="596" t="s">
        <v>409</v>
      </c>
      <c r="H84" s="595">
        <v>2</v>
      </c>
      <c r="I84" s="592">
        <v>0</v>
      </c>
      <c r="J84" s="595">
        <v>1</v>
      </c>
      <c r="K84" s="595">
        <v>1</v>
      </c>
      <c r="L84" s="592">
        <v>0</v>
      </c>
      <c r="M84" s="592">
        <v>0</v>
      </c>
      <c r="N84" s="595">
        <v>1</v>
      </c>
      <c r="O84" s="592">
        <v>0</v>
      </c>
    </row>
    <row r="85" spans="1:15">
      <c r="A85" s="548">
        <v>22</v>
      </c>
      <c r="B85" s="601" t="s">
        <v>431</v>
      </c>
      <c r="C85" s="594" t="s">
        <v>339</v>
      </c>
      <c r="D85" s="595">
        <v>1</v>
      </c>
      <c r="E85" s="596" t="s">
        <v>342</v>
      </c>
      <c r="F85" s="595">
        <v>60</v>
      </c>
      <c r="G85" s="596" t="s">
        <v>409</v>
      </c>
      <c r="H85" s="595">
        <v>2</v>
      </c>
      <c r="I85" s="592">
        <v>0</v>
      </c>
      <c r="J85" s="595">
        <v>1</v>
      </c>
      <c r="K85" s="592">
        <v>0</v>
      </c>
      <c r="L85" s="592">
        <v>0</v>
      </c>
      <c r="M85" s="592">
        <v>0</v>
      </c>
      <c r="N85" s="592">
        <v>0</v>
      </c>
      <c r="O85" s="595">
        <v>1</v>
      </c>
    </row>
    <row r="86" spans="1:15">
      <c r="A86" s="548">
        <v>23</v>
      </c>
      <c r="B86" s="602" t="s">
        <v>432</v>
      </c>
      <c r="C86" s="594" t="s">
        <v>339</v>
      </c>
      <c r="D86" s="595">
        <v>1</v>
      </c>
      <c r="E86" s="596" t="s">
        <v>342</v>
      </c>
      <c r="F86" s="595">
        <v>60</v>
      </c>
      <c r="G86" s="596" t="s">
        <v>409</v>
      </c>
      <c r="H86" s="595">
        <v>1</v>
      </c>
      <c r="I86" s="592">
        <v>0</v>
      </c>
      <c r="J86" s="596"/>
      <c r="K86" s="595">
        <v>1</v>
      </c>
      <c r="L86" s="592">
        <v>0</v>
      </c>
      <c r="M86" s="592">
        <v>0</v>
      </c>
      <c r="N86" s="592">
        <v>0</v>
      </c>
      <c r="O86" s="592">
        <v>0</v>
      </c>
    </row>
    <row r="87" spans="1:15">
      <c r="A87" s="548">
        <v>24</v>
      </c>
      <c r="B87" s="596" t="s">
        <v>433</v>
      </c>
      <c r="C87" s="596" t="s">
        <v>434</v>
      </c>
      <c r="D87" s="595">
        <v>1</v>
      </c>
      <c r="E87" s="596" t="s">
        <v>342</v>
      </c>
      <c r="F87" s="595">
        <v>60</v>
      </c>
      <c r="G87" s="596" t="s">
        <v>409</v>
      </c>
      <c r="H87" s="595">
        <v>2</v>
      </c>
      <c r="I87" s="592">
        <v>0</v>
      </c>
      <c r="J87" s="595">
        <v>1</v>
      </c>
      <c r="K87" s="595">
        <v>2</v>
      </c>
      <c r="L87" s="592">
        <v>0</v>
      </c>
      <c r="M87" s="592">
        <v>0</v>
      </c>
      <c r="N87" s="592">
        <v>0</v>
      </c>
      <c r="O87" s="592">
        <v>0</v>
      </c>
    </row>
    <row r="88" spans="1:15">
      <c r="A88" s="548">
        <v>25</v>
      </c>
      <c r="B88" s="596" t="s">
        <v>435</v>
      </c>
      <c r="C88" s="596" t="s">
        <v>434</v>
      </c>
      <c r="D88" s="595">
        <v>1</v>
      </c>
      <c r="E88" s="596" t="s">
        <v>342</v>
      </c>
      <c r="F88" s="595">
        <v>60</v>
      </c>
      <c r="G88" s="596" t="s">
        <v>409</v>
      </c>
      <c r="H88" s="595">
        <v>1</v>
      </c>
      <c r="I88" s="592">
        <v>0</v>
      </c>
      <c r="J88" s="592">
        <v>0</v>
      </c>
      <c r="K88" s="595">
        <v>1</v>
      </c>
      <c r="L88" s="595">
        <v>1</v>
      </c>
      <c r="M88" s="592">
        <v>0</v>
      </c>
      <c r="N88" s="592">
        <v>0</v>
      </c>
      <c r="O88" s="592">
        <v>0</v>
      </c>
    </row>
  </sheetData>
  <mergeCells count="9">
    <mergeCell ref="S1:U1"/>
    <mergeCell ref="V1:X1"/>
    <mergeCell ref="Y1:AA1"/>
    <mergeCell ref="D1:F1"/>
    <mergeCell ref="D62:G62"/>
    <mergeCell ref="G1:I1"/>
    <mergeCell ref="J1:L1"/>
    <mergeCell ref="M1:O1"/>
    <mergeCell ref="P1:R1"/>
  </mergeCells>
  <conditionalFormatting sqref="D1:F1">
    <cfRule type="notContainsBlanks" dxfId="94" priority="1">
      <formula>LEN(TRIM(D1))&gt;0</formula>
    </cfRule>
  </conditionalFormatting>
  <hyperlinks>
    <hyperlink ref="C39" r:id="rId1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7"/>
  <sheetViews>
    <sheetView topLeftCell="A106" zoomScaleNormal="100" workbookViewId="0">
      <selection activeCell="B26" sqref="B26:J26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7.140625" customWidth="1"/>
    <col min="8" max="8" width="14.42578125" customWidth="1"/>
    <col min="9" max="9" width="11.28515625" customWidth="1"/>
    <col min="10" max="10" width="22.28515625" customWidth="1"/>
    <col min="11" max="11" width="13.28515625" customWidth="1"/>
  </cols>
  <sheetData>
    <row r="1" spans="1:11" ht="8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8.7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22.5" customHeight="1">
      <c r="A3" s="603"/>
      <c r="B3" s="995" t="str">
        <f>'1-ABA-DE-CARREGAMENTO'!C33</f>
        <v>6210-05_CAPATAZ-Encarreg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20.2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9.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9.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2.7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VLOOKUP('1-ABA-DE-CARREGAMENTO'!D35,'DADOS-CADASTRAIS'!C6:O60,1,0)</f>
        <v>RS002758/2022</v>
      </c>
      <c r="J10" s="885"/>
      <c r="K10" s="607"/>
    </row>
    <row r="11" spans="1:11" ht="12.7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'1-ABA-DE-CARREGAMENTO'!C94</f>
        <v>20</v>
      </c>
      <c r="J11" s="885"/>
      <c r="K11" s="607"/>
    </row>
    <row r="12" spans="1:11" ht="13.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72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2.7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2.7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2.7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2.75" customHeight="1" collapsed="1">
      <c r="A17" s="603"/>
      <c r="B17" s="986" t="str">
        <f>B3</f>
        <v>6210-05_CAPATAZ-Encarreg</v>
      </c>
      <c r="C17" s="884"/>
      <c r="D17" s="884"/>
      <c r="E17" s="884"/>
      <c r="F17" s="885"/>
      <c r="G17" s="987" t="s">
        <v>475</v>
      </c>
      <c r="H17" s="885"/>
      <c r="I17" s="988">
        <f>'1-ABA-DE-CARREGAMENTO'!C92</f>
        <v>1</v>
      </c>
      <c r="J17" s="885"/>
      <c r="K17" s="615"/>
    </row>
    <row r="18" spans="1:11" ht="12.7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2" hidden="1" customHeight="1" outlineLevel="1">
      <c r="A19" s="603"/>
      <c r="B19" s="986" t="s">
        <v>480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23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1</v>
      </c>
      <c r="J20" s="885"/>
      <c r="K20" s="616"/>
    </row>
    <row r="21" spans="1:11" ht="12.7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22.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12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60" customHeight="1">
      <c r="A24" s="603"/>
      <c r="B24" s="1005" t="s">
        <v>483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10.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6.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30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'1-ABA-DE-CARREGAMENTO'!C33</f>
        <v>6210-05_CAPATAZ-Encarreg</v>
      </c>
      <c r="J27" s="885"/>
      <c r="K27" s="620"/>
    </row>
    <row r="28" spans="1:11" ht="16.5" customHeight="1">
      <c r="A28" s="603"/>
      <c r="B28" s="621">
        <v>2</v>
      </c>
      <c r="C28" s="1008" t="s">
        <v>486</v>
      </c>
      <c r="D28" s="993"/>
      <c r="E28" s="993"/>
      <c r="F28" s="993"/>
      <c r="G28" s="993"/>
      <c r="H28" s="994"/>
      <c r="I28" s="1009"/>
      <c r="J28" s="885"/>
      <c r="K28" s="622"/>
    </row>
    <row r="29" spans="1:11" ht="54" customHeight="1">
      <c r="A29" s="603"/>
      <c r="B29" s="623">
        <v>3</v>
      </c>
      <c r="C29" s="1010" t="s">
        <v>487</v>
      </c>
      <c r="D29" s="866"/>
      <c r="E29" s="624">
        <v>220</v>
      </c>
      <c r="F29" s="625">
        <f>'1-ABA-DE-CARREGAMENTO'!C37</f>
        <v>2205</v>
      </c>
      <c r="G29" s="608" t="s">
        <v>488</v>
      </c>
      <c r="H29" s="626">
        <f>'1-ABA-DE-CARREGAMENTO'!C52</f>
        <v>220</v>
      </c>
      <c r="I29" s="1011">
        <f>F29/E29*H29</f>
        <v>2205</v>
      </c>
      <c r="J29" s="885"/>
      <c r="K29" s="627"/>
    </row>
    <row r="30" spans="1:11" ht="16.5" customHeight="1">
      <c r="A30" s="603"/>
      <c r="B30" s="611">
        <v>4</v>
      </c>
      <c r="C30" s="990" t="s">
        <v>489</v>
      </c>
      <c r="D30" s="941"/>
      <c r="E30" s="941"/>
      <c r="F30" s="941"/>
      <c r="G30" s="941"/>
      <c r="H30" s="942"/>
      <c r="I30" s="989"/>
      <c r="J30" s="885"/>
      <c r="K30" s="628"/>
    </row>
    <row r="31" spans="1:11" ht="18.7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'1-ABA-DE-CARREGAMENTO'!C36</f>
        <v>01 de MARÇO</v>
      </c>
      <c r="J31" s="885"/>
      <c r="K31" s="629"/>
    </row>
    <row r="32" spans="1:11" ht="29.25" customHeight="1">
      <c r="A32" s="603"/>
      <c r="B32" s="630">
        <v>6</v>
      </c>
      <c r="C32" s="953" t="s">
        <v>491</v>
      </c>
      <c r="D32" s="884"/>
      <c r="E32" s="884"/>
      <c r="F32" s="884"/>
      <c r="G32" s="884"/>
      <c r="H32" s="885"/>
      <c r="I32" s="961">
        <f>I29/220</f>
        <v>10.022727272727273</v>
      </c>
      <c r="J32" s="885"/>
      <c r="K32" s="631"/>
    </row>
    <row r="33" spans="1:11" ht="39" customHeight="1">
      <c r="A33" s="603"/>
      <c r="B33" s="630">
        <v>7</v>
      </c>
      <c r="C33" s="953" t="s">
        <v>492</v>
      </c>
      <c r="D33" s="884"/>
      <c r="E33" s="884"/>
      <c r="F33" s="885"/>
      <c r="G33" s="978"/>
      <c r="H33" s="885"/>
      <c r="I33" s="962">
        <f>SUM(I32)+((J50+J48)/220)</f>
        <v>11.124545454545455</v>
      </c>
      <c r="J33" s="885"/>
      <c r="K33" s="631"/>
    </row>
    <row r="34" spans="1:11" ht="29.25" customHeight="1">
      <c r="A34" s="603"/>
      <c r="B34" s="630">
        <v>8</v>
      </c>
      <c r="C34" s="953" t="s">
        <v>493</v>
      </c>
      <c r="D34" s="884"/>
      <c r="E34" s="884"/>
      <c r="F34" s="885"/>
      <c r="G34" s="978"/>
      <c r="H34" s="885"/>
      <c r="I34" s="961">
        <f>TRUNC(I32*1.5,2)</f>
        <v>15.03</v>
      </c>
      <c r="J34" s="885"/>
      <c r="K34" s="631"/>
    </row>
    <row r="35" spans="1:11" ht="29.25" customHeight="1">
      <c r="A35" s="603"/>
      <c r="B35" s="630">
        <v>9</v>
      </c>
      <c r="C35" s="953" t="s">
        <v>494</v>
      </c>
      <c r="D35" s="884"/>
      <c r="E35" s="884"/>
      <c r="F35" s="885"/>
      <c r="G35" s="978" t="s">
        <v>495</v>
      </c>
      <c r="H35" s="885"/>
      <c r="I35" s="962">
        <f>I33*1.5</f>
        <v>16.686818181818182</v>
      </c>
      <c r="J35" s="885"/>
      <c r="K35" s="632"/>
    </row>
    <row r="36" spans="1:11" ht="29.25" customHeight="1">
      <c r="A36" s="603"/>
      <c r="B36" s="630">
        <v>10</v>
      </c>
      <c r="C36" s="953" t="s">
        <v>496</v>
      </c>
      <c r="D36" s="884"/>
      <c r="E36" s="884"/>
      <c r="F36" s="884"/>
      <c r="G36" s="884"/>
      <c r="H36" s="885"/>
      <c r="I36" s="961">
        <f>TRUNC(1.3*I32*0.2,2)</f>
        <v>2.6</v>
      </c>
      <c r="J36" s="885"/>
      <c r="K36" s="631"/>
    </row>
    <row r="37" spans="1:11" ht="29.25" customHeight="1">
      <c r="A37" s="603"/>
      <c r="B37" s="630">
        <v>11</v>
      </c>
      <c r="C37" s="953" t="s">
        <v>497</v>
      </c>
      <c r="D37" s="884"/>
      <c r="E37" s="884"/>
      <c r="F37" s="884"/>
      <c r="G37" s="884"/>
      <c r="H37" s="885"/>
      <c r="I37" s="962">
        <f>I33*2</f>
        <v>22.24909090909091</v>
      </c>
      <c r="J37" s="885"/>
      <c r="K37" s="631"/>
    </row>
    <row r="38" spans="1:11" ht="29.25" hidden="1" customHeight="1" outlineLevel="1">
      <c r="A38" s="603"/>
      <c r="B38" s="630">
        <v>12</v>
      </c>
      <c r="C38" s="953" t="s">
        <v>498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29.25" hidden="1" customHeight="1" outlineLevel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ROUND(I32/6,2)*1.3*0</f>
        <v>0</v>
      </c>
      <c r="J39" s="885"/>
      <c r="K39" s="631"/>
    </row>
    <row r="40" spans="1:11" ht="29.25" customHeight="1" collapsed="1">
      <c r="A40" s="603"/>
      <c r="B40" s="630">
        <v>14</v>
      </c>
      <c r="C40" s="963" t="s">
        <v>500</v>
      </c>
      <c r="D40" s="884"/>
      <c r="E40" s="884"/>
      <c r="F40" s="884"/>
      <c r="G40" s="884"/>
      <c r="H40" s="885"/>
      <c r="I40" s="964">
        <f>'1-ABA-DE-CARREGAMENTO'!C93</f>
        <v>1</v>
      </c>
      <c r="J40" s="885"/>
      <c r="K40" s="633"/>
    </row>
    <row r="41" spans="1:11" ht="26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'1-ABA-DE-CARREGAMENTO'!C42</f>
        <v>1212</v>
      </c>
      <c r="J41" s="885"/>
      <c r="K41" s="634"/>
    </row>
    <row r="42" spans="1:11" ht="14.25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30.75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12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24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2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'1-ABA-DE-CARREGAMENTO'!C52</f>
        <v>220</v>
      </c>
      <c r="I47" s="643"/>
      <c r="J47" s="644">
        <f>I29*I40</f>
        <v>2205</v>
      </c>
      <c r="K47" s="645"/>
    </row>
    <row r="48" spans="1:11" ht="23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'1-ABA-DE-CARREGAMENTO'!C38</f>
        <v>SEM ADICIONAL DE FUNÇÃO</v>
      </c>
      <c r="G48" s="884"/>
      <c r="H48" s="885"/>
      <c r="I48" s="646">
        <f>'1-ABA-DE-CARREGAMENTO'!C39</f>
        <v>0</v>
      </c>
      <c r="J48" s="644">
        <f>J47*I48</f>
        <v>0</v>
      </c>
      <c r="K48" s="645"/>
    </row>
    <row r="49" spans="1:11" ht="28.5" customHeight="1">
      <c r="A49" s="603"/>
      <c r="B49" s="611" t="s">
        <v>467</v>
      </c>
      <c r="C49" s="949" t="s">
        <v>509</v>
      </c>
      <c r="D49" s="884"/>
      <c r="E49" s="884"/>
      <c r="F49" s="884"/>
      <c r="G49" s="884"/>
      <c r="H49" s="885"/>
      <c r="I49" s="647">
        <f>'1-ABA-DE-CARREGAMENTO'!C44</f>
        <v>0</v>
      </c>
      <c r="J49" s="644">
        <f>ROUND(J47*I49,2)</f>
        <v>0</v>
      </c>
      <c r="K49" s="645"/>
    </row>
    <row r="50" spans="1:11" ht="15.75" customHeight="1">
      <c r="A50" s="603"/>
      <c r="B50" s="611" t="s">
        <v>469</v>
      </c>
      <c r="C50" s="949" t="s">
        <v>510</v>
      </c>
      <c r="D50" s="884"/>
      <c r="E50" s="884"/>
      <c r="F50" s="884"/>
      <c r="G50" s="981" t="str">
        <f>'1-ABA-DE-CARREGAMENTO'!C40</f>
        <v>INSALUB S/MINIMO</v>
      </c>
      <c r="H50" s="885"/>
      <c r="I50" s="648">
        <f>'1-ABA-DE-CARREGAMENTO'!C41</f>
        <v>0.2</v>
      </c>
      <c r="J50" s="644">
        <f>ROUND(I50*I41,2)</f>
        <v>242.4</v>
      </c>
      <c r="K50" s="649"/>
    </row>
    <row r="51" spans="1:11" ht="37.5" hidden="1" customHeight="1" outlineLevel="1">
      <c r="A51" s="603"/>
      <c r="B51" s="611" t="s">
        <v>511</v>
      </c>
      <c r="C51" s="949" t="s">
        <v>512</v>
      </c>
      <c r="D51" s="884"/>
      <c r="E51" s="884"/>
      <c r="F51" s="884"/>
      <c r="G51" s="884"/>
      <c r="H51" s="884"/>
      <c r="I51" s="885"/>
      <c r="J51" s="644">
        <f>IF(CAMPUS.CONTRATANTE!U10="N",(2*8*15*I36)*0,((2*8*15*I36)*1))</f>
        <v>0</v>
      </c>
      <c r="K51" s="645"/>
    </row>
    <row r="52" spans="1:11" ht="45" hidden="1" customHeight="1" outlineLevel="1">
      <c r="A52" s="603"/>
      <c r="B52" s="611" t="s">
        <v>513</v>
      </c>
      <c r="C52" s="969" t="s">
        <v>514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5.25" hidden="1" customHeight="1" outlineLevel="1">
      <c r="A53" s="603"/>
      <c r="B53" s="611" t="s">
        <v>515</v>
      </c>
      <c r="C53" s="969" t="s">
        <v>516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9.25" customHeight="1" collapsed="1">
      <c r="A54" s="603"/>
      <c r="B54" s="611" t="s">
        <v>517</v>
      </c>
      <c r="C54" s="969" t="s">
        <v>518</v>
      </c>
      <c r="D54" s="884"/>
      <c r="E54" s="884"/>
      <c r="F54" s="982" t="s">
        <v>519</v>
      </c>
      <c r="G54" s="884"/>
      <c r="H54" s="884"/>
      <c r="I54" s="650">
        <f>'1-ABA-DE-CARREGAMENTO'!C65</f>
        <v>2.89</v>
      </c>
      <c r="J54" s="644">
        <f>ROUND((((SUM(J47:J50))/220)*1.5)*I54,2)</f>
        <v>48.22</v>
      </c>
      <c r="K54" s="645"/>
    </row>
    <row r="55" spans="1:11" ht="29.25" customHeight="1">
      <c r="A55" s="603"/>
      <c r="B55" s="611" t="s">
        <v>520</v>
      </c>
      <c r="C55" s="969" t="s">
        <v>521</v>
      </c>
      <c r="D55" s="884"/>
      <c r="E55" s="884"/>
      <c r="F55" s="982" t="s">
        <v>522</v>
      </c>
      <c r="G55" s="884"/>
      <c r="H55" s="884"/>
      <c r="I55" s="650">
        <f>'1-ABA-DE-CARREGAMENTO'!C68</f>
        <v>7.11</v>
      </c>
      <c r="J55" s="644">
        <f>ROUND((((SUM(J47:J50))/220)*2)*I55,2)</f>
        <v>158.19</v>
      </c>
      <c r="K55" s="645"/>
    </row>
    <row r="56" spans="1:11" ht="36" customHeight="1">
      <c r="A56" s="603"/>
      <c r="B56" s="611" t="s">
        <v>523</v>
      </c>
      <c r="C56" s="949" t="s">
        <v>524</v>
      </c>
      <c r="D56" s="884"/>
      <c r="E56" s="884"/>
      <c r="F56" s="884"/>
      <c r="G56" s="884"/>
      <c r="H56" s="884"/>
      <c r="I56" s="885"/>
      <c r="J56" s="644">
        <f>ROUND(SUM(J54:J55)*0.2,2)</f>
        <v>41.28</v>
      </c>
      <c r="K56" s="645"/>
    </row>
    <row r="57" spans="1:11" ht="29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35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2695.09</v>
      </c>
      <c r="K58" s="654"/>
    </row>
    <row r="59" spans="1:11" ht="7.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29.25" customHeight="1">
      <c r="A60" s="603"/>
      <c r="B60" s="611" t="s">
        <v>517</v>
      </c>
      <c r="C60" s="949" t="s">
        <v>528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9"/>
    </row>
    <row r="61" spans="1:11" ht="41.25" customHeight="1">
      <c r="A61" s="603"/>
      <c r="B61" s="976" t="s">
        <v>529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7.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53.25" customHeight="1">
      <c r="A63" s="603"/>
      <c r="B63" s="954" t="s">
        <v>530</v>
      </c>
      <c r="C63" s="884"/>
      <c r="D63" s="884"/>
      <c r="E63" s="884"/>
      <c r="F63" s="884"/>
      <c r="G63" s="884"/>
      <c r="H63" s="884"/>
      <c r="I63" s="885"/>
      <c r="J63" s="657">
        <f>J58+J61</f>
        <v>2695.09</v>
      </c>
      <c r="K63" s="658"/>
    </row>
    <row r="64" spans="1:11" ht="7.5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21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7.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7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7.25" customHeight="1">
      <c r="A68" s="603"/>
      <c r="B68" s="979" t="s">
        <v>533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31.5" customHeight="1">
      <c r="A69" s="603"/>
      <c r="B69" s="663" t="s">
        <v>534</v>
      </c>
      <c r="C69" s="980" t="s">
        <v>535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24" customHeight="1">
      <c r="A70" s="603"/>
      <c r="B70" s="663" t="s">
        <v>463</v>
      </c>
      <c r="C70" s="969" t="s">
        <v>537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224.5</v>
      </c>
      <c r="K70" s="668"/>
    </row>
    <row r="71" spans="1:11" ht="76.5" customHeight="1">
      <c r="A71" s="603"/>
      <c r="B71" s="663" t="s">
        <v>465</v>
      </c>
      <c r="C71" s="970" t="s">
        <v>538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81.53</v>
      </c>
      <c r="K71" s="668"/>
    </row>
    <row r="72" spans="1:11" ht="15.7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306.02999999999997</v>
      </c>
      <c r="K72" s="671"/>
    </row>
    <row r="73" spans="1:11" ht="12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34.5" customHeight="1">
      <c r="A74" s="603"/>
      <c r="B74" s="960" t="s">
        <v>540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12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27.75" customHeight="1">
      <c r="A76" s="603"/>
      <c r="B76" s="974" t="s">
        <v>541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34.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6.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600.22</v>
      </c>
      <c r="K78" s="671"/>
    </row>
    <row r="79" spans="1:11" ht="16.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75.03</v>
      </c>
      <c r="K79" s="671"/>
    </row>
    <row r="80" spans="1:11" ht="32.25" customHeight="1">
      <c r="A80" s="603"/>
      <c r="B80" s="677" t="s">
        <v>467</v>
      </c>
      <c r="C80" s="949" t="s">
        <v>547</v>
      </c>
      <c r="D80" s="885"/>
      <c r="E80" s="623" t="s">
        <v>548</v>
      </c>
      <c r="F80" s="680">
        <f>'1-ABA-DE-CARREGAMENTO'!C57</f>
        <v>0.03</v>
      </c>
      <c r="G80" s="623" t="s">
        <v>549</v>
      </c>
      <c r="H80" s="681">
        <f>'1-ABA-DE-CARREGAMENTO'!C58</f>
        <v>1</v>
      </c>
      <c r="I80" s="682">
        <f>ROUND((F80*H80),6)</f>
        <v>0.03</v>
      </c>
      <c r="J80" s="679">
        <f>ROUND((J58+J72)*I80,2)</f>
        <v>90.03</v>
      </c>
      <c r="K80" s="671"/>
    </row>
    <row r="81" spans="1:11" ht="16.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45.02</v>
      </c>
      <c r="K81" s="671"/>
    </row>
    <row r="82" spans="1:11" ht="16.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30.01</v>
      </c>
      <c r="K82" s="671"/>
    </row>
    <row r="83" spans="1:11" ht="16.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18.010000000000002</v>
      </c>
      <c r="K83" s="671"/>
    </row>
    <row r="84" spans="1:11" ht="16.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6</v>
      </c>
      <c r="K84" s="671"/>
    </row>
    <row r="85" spans="1:11" ht="28.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240.09</v>
      </c>
      <c r="K85" s="671"/>
    </row>
    <row r="86" spans="1:11" ht="12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1104.4099999999999</v>
      </c>
      <c r="K86" s="671"/>
    </row>
    <row r="87" spans="1:11" ht="12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4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12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5" customHeight="1">
      <c r="A92" s="603"/>
      <c r="B92" s="690" t="s">
        <v>463</v>
      </c>
      <c r="C92" s="949" t="s">
        <v>559</v>
      </c>
      <c r="D92" s="884"/>
      <c r="E92" s="884"/>
      <c r="F92" s="884"/>
      <c r="G92" s="884"/>
      <c r="H92" s="885"/>
      <c r="I92" s="691">
        <f>J47</f>
        <v>2205</v>
      </c>
      <c r="J92" s="692">
        <f>IF(ROUND((I93*I95*I94)-(J47*I96),2)&lt;0,0,ROUND((I93*I95*I94)-(J47*I96),2))</f>
        <v>330</v>
      </c>
      <c r="K92" s="671"/>
    </row>
    <row r="93" spans="1:11" ht="28.5" customHeight="1">
      <c r="A93" s="603"/>
      <c r="B93" s="690" t="s">
        <v>465</v>
      </c>
      <c r="C93" s="949" t="s">
        <v>560</v>
      </c>
      <c r="D93" s="884"/>
      <c r="E93" s="884"/>
      <c r="F93" s="884"/>
      <c r="G93" s="884"/>
      <c r="H93" s="884"/>
      <c r="I93" s="693">
        <f>'1-ABA-DE-CARREGAMENTO'!C72</f>
        <v>6.6</v>
      </c>
      <c r="J93" s="694" t="s">
        <v>476</v>
      </c>
      <c r="K93" s="652"/>
    </row>
    <row r="94" spans="1:11" ht="17.25" customHeight="1">
      <c r="A94" s="603"/>
      <c r="B94" s="690" t="s">
        <v>467</v>
      </c>
      <c r="C94" s="949" t="s">
        <v>561</v>
      </c>
      <c r="D94" s="884"/>
      <c r="E94" s="884"/>
      <c r="F94" s="884"/>
      <c r="G94" s="884"/>
      <c r="H94" s="885"/>
      <c r="I94" s="695">
        <f>'1-ABA-DE-CARREGAMENTO'!C73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'1-ABA-DE-CARREGAMENTO'!C74</f>
        <v>25</v>
      </c>
      <c r="J95" s="694" t="s">
        <v>476</v>
      </c>
      <c r="K95" s="652"/>
    </row>
    <row r="96" spans="1:11" ht="24.75" customHeight="1">
      <c r="A96" s="603"/>
      <c r="B96" s="690" t="s">
        <v>511</v>
      </c>
      <c r="C96" s="953" t="s">
        <v>563</v>
      </c>
      <c r="D96" s="884"/>
      <c r="E96" s="884"/>
      <c r="F96" s="884"/>
      <c r="G96" s="884"/>
      <c r="H96" s="885"/>
      <c r="I96" s="696">
        <f>'1-ABA-DE-CARREGAMENTO'!C75</f>
        <v>0</v>
      </c>
      <c r="J96" s="697" t="s">
        <v>476</v>
      </c>
      <c r="K96" s="652"/>
    </row>
    <row r="97" spans="1:11" ht="15" customHeight="1">
      <c r="A97" s="603"/>
      <c r="B97" s="690" t="s">
        <v>513</v>
      </c>
      <c r="C97" s="949" t="s">
        <v>564</v>
      </c>
      <c r="D97" s="884"/>
      <c r="E97" s="884"/>
      <c r="F97" s="884"/>
      <c r="G97" s="884"/>
      <c r="H97" s="884"/>
      <c r="I97" s="884"/>
      <c r="J97" s="692">
        <f>ROUND(I98*I99,2)-ROUND((I98*I99)*I100,2)</f>
        <v>408.64</v>
      </c>
      <c r="K97" s="671"/>
    </row>
    <row r="98" spans="1:11" ht="15" customHeight="1">
      <c r="A98" s="603"/>
      <c r="B98" s="690" t="s">
        <v>515</v>
      </c>
      <c r="C98" s="949" t="s">
        <v>565</v>
      </c>
      <c r="D98" s="884"/>
      <c r="E98" s="884"/>
      <c r="F98" s="884"/>
      <c r="G98" s="884"/>
      <c r="H98" s="884"/>
      <c r="I98" s="698">
        <f>IF('1-ABA-DE-CARREGAMENTO'!C60&gt;0,'1-ABA-DE-CARREGAMENTO'!C60,'1-ABA-DE-CARREGAMENTO'!C63)</f>
        <v>20.18</v>
      </c>
      <c r="J98" s="699"/>
      <c r="K98" s="652"/>
    </row>
    <row r="99" spans="1:11" ht="15" customHeight="1">
      <c r="A99" s="603"/>
      <c r="B99" s="690" t="s">
        <v>517</v>
      </c>
      <c r="C99" s="949" t="s">
        <v>566</v>
      </c>
      <c r="D99" s="884"/>
      <c r="E99" s="884"/>
      <c r="F99" s="884"/>
      <c r="G99" s="884"/>
      <c r="H99" s="884"/>
      <c r="I99" s="700">
        <f>'1-ABA-DE-CARREGAMENTO'!C62</f>
        <v>25</v>
      </c>
      <c r="J99" s="699"/>
      <c r="K99" s="652"/>
    </row>
    <row r="100" spans="1:11" ht="24.75" customHeight="1">
      <c r="A100" s="603"/>
      <c r="B100" s="690" t="s">
        <v>520</v>
      </c>
      <c r="C100" s="958" t="s">
        <v>567</v>
      </c>
      <c r="D100" s="884"/>
      <c r="E100" s="884"/>
      <c r="F100" s="884"/>
      <c r="G100" s="884"/>
      <c r="H100" s="885"/>
      <c r="I100" s="696">
        <f>'1-ABA-DE-CARREGAMENTO'!C61</f>
        <v>0.19</v>
      </c>
      <c r="J100" s="701"/>
      <c r="K100" s="652"/>
    </row>
    <row r="101" spans="1:11" ht="15" hidden="1" customHeight="1" outlineLevel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702">
        <v>0</v>
      </c>
      <c r="K101" s="671"/>
    </row>
    <row r="102" spans="1:11" ht="33" hidden="1" customHeight="1" outlineLevel="1">
      <c r="A102" s="603"/>
      <c r="B102" s="690" t="s">
        <v>525</v>
      </c>
      <c r="C102" s="949" t="s">
        <v>569</v>
      </c>
      <c r="D102" s="884"/>
      <c r="E102" s="884"/>
      <c r="F102" s="884"/>
      <c r="G102" s="884"/>
      <c r="H102" s="884"/>
      <c r="I102" s="884"/>
      <c r="J102" s="679">
        <f>'1-ABA-DE-CARREGAMENTO'!C77</f>
        <v>0</v>
      </c>
      <c r="K102" s="671"/>
    </row>
    <row r="103" spans="1:11" ht="33" hidden="1" customHeight="1" outlineLevel="1">
      <c r="A103" s="603"/>
      <c r="B103" s="690" t="s">
        <v>570</v>
      </c>
      <c r="C103" s="949" t="s">
        <v>571</v>
      </c>
      <c r="D103" s="884"/>
      <c r="E103" s="884"/>
      <c r="F103" s="884"/>
      <c r="G103" s="884"/>
      <c r="H103" s="884"/>
      <c r="I103" s="885"/>
      <c r="J103" s="679">
        <f>'1-ABA-DE-CARREGAMENTO'!C78</f>
        <v>0</v>
      </c>
      <c r="K103" s="671"/>
    </row>
    <row r="104" spans="1:11" ht="16.5" hidden="1" customHeight="1" outlineLevel="1">
      <c r="A104" s="603"/>
      <c r="B104" s="690" t="s">
        <v>572</v>
      </c>
      <c r="C104" s="949" t="s">
        <v>573</v>
      </c>
      <c r="D104" s="884"/>
      <c r="E104" s="884"/>
      <c r="F104" s="884"/>
      <c r="G104" s="884"/>
      <c r="H104" s="884"/>
      <c r="I104" s="885"/>
      <c r="J104" s="679">
        <f>'1-ABA-DE-CARREGAMENTO'!C76</f>
        <v>0</v>
      </c>
      <c r="K104" s="671"/>
    </row>
    <row r="105" spans="1:11" ht="17.25" hidden="1" customHeight="1" outlineLevel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23.25" customHeight="1" collapsed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738.64</v>
      </c>
      <c r="K106" s="671"/>
    </row>
    <row r="107" spans="1:11" ht="10.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4.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6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9.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9.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9.5" customHeight="1">
      <c r="A112" s="603"/>
      <c r="B112" s="621" t="s">
        <v>534</v>
      </c>
      <c r="C112" s="969" t="s">
        <v>578</v>
      </c>
      <c r="D112" s="884"/>
      <c r="E112" s="884"/>
      <c r="F112" s="884"/>
      <c r="G112" s="884"/>
      <c r="H112" s="884"/>
      <c r="I112" s="885"/>
      <c r="J112" s="707">
        <f>J72</f>
        <v>306.02999999999997</v>
      </c>
      <c r="K112" s="708"/>
    </row>
    <row r="113" spans="1:11" ht="19.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1104.4099999999999</v>
      </c>
      <c r="K113" s="708"/>
    </row>
    <row r="114" spans="1:11" ht="19.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738.64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2149.08</v>
      </c>
      <c r="K115" s="708"/>
    </row>
    <row r="116" spans="1:11" ht="14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8.7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.7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6.5" customHeight="1">
      <c r="A119" s="603"/>
      <c r="B119" s="690" t="s">
        <v>463</v>
      </c>
      <c r="C119" s="949" t="s">
        <v>581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13.44</v>
      </c>
      <c r="K119" s="671"/>
    </row>
    <row r="120" spans="1:11" ht="20.2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1.08</v>
      </c>
      <c r="K120" s="671"/>
    </row>
    <row r="121" spans="1:11" ht="89.25" customHeight="1">
      <c r="A121" s="603"/>
      <c r="B121" s="690" t="s">
        <v>467</v>
      </c>
      <c r="C121" s="949" t="s">
        <v>583</v>
      </c>
      <c r="D121" s="884"/>
      <c r="E121" s="884"/>
      <c r="F121" s="884"/>
      <c r="G121" s="884"/>
      <c r="H121" s="884"/>
      <c r="I121" s="885"/>
      <c r="J121" s="679">
        <f>ROUND(((7/30)/$I$11)*$J$58*1,2)</f>
        <v>31.44</v>
      </c>
      <c r="K121" s="671"/>
    </row>
    <row r="122" spans="1:11" ht="17.2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11.57</v>
      </c>
      <c r="K122" s="671"/>
    </row>
    <row r="123" spans="1:11" ht="36.75" customHeight="1">
      <c r="A123" s="603"/>
      <c r="B123" s="690" t="s">
        <v>511</v>
      </c>
      <c r="C123" s="949" t="s">
        <v>585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107.8</v>
      </c>
      <c r="K123" s="671"/>
    </row>
    <row r="124" spans="1:11" ht="19.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165.32999999999998</v>
      </c>
      <c r="K124" s="671"/>
    </row>
    <row r="125" spans="1:11" ht="9.75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7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29.2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57.75" customHeight="1">
      <c r="A128" s="603"/>
      <c r="B128" s="974" t="s">
        <v>589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36" customHeight="1">
      <c r="A129" s="603"/>
      <c r="B129" s="716" t="s">
        <v>590</v>
      </c>
      <c r="C129" s="717">
        <f>J58</f>
        <v>2695.09</v>
      </c>
      <c r="D129" s="718" t="s">
        <v>591</v>
      </c>
      <c r="E129" s="716" t="s">
        <v>592</v>
      </c>
      <c r="F129" s="717">
        <f>J115-J92-J97</f>
        <v>1410.44</v>
      </c>
      <c r="G129" s="718" t="s">
        <v>591</v>
      </c>
      <c r="H129" s="716" t="s">
        <v>593</v>
      </c>
      <c r="I129" s="717">
        <f>J124</f>
        <v>165.32999999999998</v>
      </c>
      <c r="J129" s="719">
        <f>C129+F129+I129</f>
        <v>4270.8600000000006</v>
      </c>
      <c r="K129" s="720"/>
    </row>
    <row r="130" spans="1:11" ht="15.7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5.7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7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54.75" customHeight="1">
      <c r="A133" s="603"/>
      <c r="B133" s="690" t="s">
        <v>463</v>
      </c>
      <c r="C133" s="969" t="s">
        <v>597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334.58544000000006</v>
      </c>
      <c r="K133" s="671"/>
    </row>
    <row r="134" spans="1:11" ht="21.75" customHeight="1">
      <c r="A134" s="603"/>
      <c r="B134" s="690" t="s">
        <v>465</v>
      </c>
      <c r="C134" s="949" t="s">
        <v>598</v>
      </c>
      <c r="D134" s="884"/>
      <c r="E134" s="884"/>
      <c r="F134" s="884"/>
      <c r="G134" s="884"/>
      <c r="H134" s="884"/>
      <c r="I134" s="885"/>
      <c r="J134" s="679">
        <f>ROUND((1/30)/12*(J129),2)</f>
        <v>11.86</v>
      </c>
      <c r="K134" s="671"/>
    </row>
    <row r="135" spans="1:11" ht="32.25" customHeight="1">
      <c r="A135" s="603"/>
      <c r="B135" s="690" t="s">
        <v>467</v>
      </c>
      <c r="C135" s="949" t="s">
        <v>599</v>
      </c>
      <c r="D135" s="884"/>
      <c r="E135" s="884"/>
      <c r="F135" s="884"/>
      <c r="G135" s="884"/>
      <c r="H135" s="884"/>
      <c r="I135" s="885"/>
      <c r="J135" s="679">
        <f>ROUND((5/30)/12*0.015*(J129),2)</f>
        <v>0.89</v>
      </c>
      <c r="K135" s="671"/>
    </row>
    <row r="136" spans="1:11" ht="32.25" customHeight="1">
      <c r="A136" s="603"/>
      <c r="B136" s="690" t="s">
        <v>469</v>
      </c>
      <c r="C136" s="949" t="s">
        <v>600</v>
      </c>
      <c r="D136" s="884"/>
      <c r="E136" s="884"/>
      <c r="F136" s="884"/>
      <c r="G136" s="884"/>
      <c r="H136" s="884"/>
      <c r="I136" s="885"/>
      <c r="J136" s="679">
        <f>ROUND(((15/30)/12)*0.0078*(J129),2)</f>
        <v>1.39</v>
      </c>
      <c r="K136" s="671"/>
    </row>
    <row r="137" spans="1:11" ht="32.25" customHeight="1">
      <c r="A137" s="603"/>
      <c r="B137" s="727" t="s">
        <v>511</v>
      </c>
      <c r="C137" s="1019" t="s">
        <v>601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3.8321999999999998</v>
      </c>
      <c r="K137" s="729"/>
    </row>
    <row r="138" spans="1:11" ht="63.75" customHeight="1">
      <c r="A138" s="603"/>
      <c r="B138" s="690" t="s">
        <v>513</v>
      </c>
      <c r="C138" s="949" t="s">
        <v>602</v>
      </c>
      <c r="D138" s="884"/>
      <c r="E138" s="884"/>
      <c r="F138" s="884"/>
      <c r="G138" s="884"/>
      <c r="H138" s="884"/>
      <c r="I138" s="885"/>
      <c r="J138" s="679">
        <f>ROUND(((3/30)/12)*(J129),2)</f>
        <v>35.590000000000003</v>
      </c>
      <c r="K138" s="671"/>
    </row>
    <row r="139" spans="1:11" ht="19.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388.14764000000002</v>
      </c>
      <c r="K139" s="671"/>
    </row>
    <row r="140" spans="1:11" ht="9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9.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9.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9.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9.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9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9.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9.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28.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388.14764000000002</v>
      </c>
      <c r="K148" s="735"/>
    </row>
    <row r="149" spans="1:11" ht="24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4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388.14764000000002</v>
      </c>
      <c r="K150" s="735"/>
    </row>
    <row r="151" spans="1:11" ht="9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5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5.7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8" customHeight="1">
      <c r="A154" s="603"/>
      <c r="B154" s="690" t="s">
        <v>463</v>
      </c>
      <c r="C154" s="949" t="s">
        <v>612</v>
      </c>
      <c r="D154" s="884"/>
      <c r="E154" s="884"/>
      <c r="F154" s="884"/>
      <c r="G154" s="884"/>
      <c r="H154" s="884"/>
      <c r="I154" s="885"/>
      <c r="J154" s="738">
        <f>'Uniformes - EPIs_TODOS'!C61</f>
        <v>406.8300000000001</v>
      </c>
      <c r="K154" s="739"/>
    </row>
    <row r="155" spans="1:11" ht="18" customHeight="1">
      <c r="A155" s="603"/>
      <c r="B155" s="690" t="s">
        <v>465</v>
      </c>
      <c r="C155" s="949" t="s">
        <v>613</v>
      </c>
      <c r="D155" s="884"/>
      <c r="E155" s="884"/>
      <c r="F155" s="884"/>
      <c r="G155" s="884"/>
      <c r="H155" s="884"/>
      <c r="I155" s="885"/>
      <c r="J155" s="703">
        <f>'Uniformes - EPIs_TODOS'!C91</f>
        <v>0</v>
      </c>
      <c r="K155" s="740"/>
    </row>
    <row r="156" spans="1:11" ht="18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40"/>
    </row>
    <row r="157" spans="1:11" ht="19.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>
        <f>ROUND(SUM(J154:J156),2)</f>
        <v>406.83</v>
      </c>
      <c r="K157" s="704"/>
    </row>
    <row r="158" spans="1:11" ht="9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27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9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24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27.7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4.75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>
        <f>SUM(J63+J115+J124+J150+J157)</f>
        <v>5804.4776400000001</v>
      </c>
      <c r="K163" s="751"/>
    </row>
    <row r="164" spans="1:11" ht="25.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'1-ABA-DE-CARREGAMENTO'!C85</f>
        <v>0.06</v>
      </c>
      <c r="J164" s="679">
        <f>ROUND(I164*J163,2)</f>
        <v>348.27</v>
      </c>
      <c r="K164" s="671"/>
    </row>
    <row r="165" spans="1:11" ht="52.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>
        <f>SUM(J63+J115+J124+J150+J157+J164)</f>
        <v>6152.7476399999996</v>
      </c>
      <c r="K165" s="751"/>
    </row>
    <row r="166" spans="1:11" ht="19.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'1-ABA-DE-CARREGAMENTO'!C86</f>
        <v>0.06</v>
      </c>
      <c r="J166" s="679">
        <f>ROUND(I166*J165,2)</f>
        <v>369.16</v>
      </c>
      <c r="K166" s="671"/>
    </row>
    <row r="167" spans="1:11" ht="49.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>
        <f>SUM(J163+J164+J166)</f>
        <v>6521.9076399999994</v>
      </c>
      <c r="K167" s="751"/>
    </row>
    <row r="168" spans="1:11" ht="18.7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30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3.25" customHeight="1">
      <c r="A170" s="603"/>
      <c r="B170" s="690"/>
      <c r="C170" s="1018" t="s">
        <v>625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>
        <f t="shared" ref="J170:J171" si="1">ROUND(($J$167/(1-$I$179))*I170,2)</f>
        <v>122.63</v>
      </c>
      <c r="K170" s="756"/>
    </row>
    <row r="171" spans="1:11" ht="23.25" customHeight="1">
      <c r="A171" s="603"/>
      <c r="B171" s="690"/>
      <c r="C171" s="1018" t="s">
        <v>626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>
        <f t="shared" si="1"/>
        <v>564.86</v>
      </c>
      <c r="K171" s="756"/>
    </row>
    <row r="172" spans="1:11" ht="29.25" customHeight="1">
      <c r="A172" s="603"/>
      <c r="B172" s="690"/>
      <c r="C172" s="949" t="s">
        <v>627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9.25" customHeight="1">
      <c r="A173" s="603"/>
      <c r="B173" s="690"/>
      <c r="C173" s="949" t="s">
        <v>628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5.7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5.7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.75" customHeight="1">
      <c r="A176" s="603"/>
      <c r="B176" s="690"/>
      <c r="C176" s="949" t="s">
        <v>631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>
        <f>ROUND(($J$167/(1-$I$179))*I176,2)</f>
        <v>222.97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>
        <f>SUM(J164+J166+J170+J171+J176)</f>
        <v>1627.89</v>
      </c>
      <c r="K177" s="671"/>
    </row>
    <row r="178" spans="1:11" ht="11.2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>
        <f t="shared" si="2"/>
        <v>910.46</v>
      </c>
      <c r="K179" s="751"/>
    </row>
    <row r="180" spans="1:11" ht="15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5.7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5.7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10.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30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9.7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5.75" customHeight="1">
      <c r="A186" s="603"/>
      <c r="B186" s="1021" t="s">
        <v>638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.7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.7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2695.09</v>
      </c>
      <c r="K188" s="704"/>
    </row>
    <row r="189" spans="1:11" ht="15.7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2149.08</v>
      </c>
      <c r="K189" s="704"/>
    </row>
    <row r="190" spans="1:11" ht="15.7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165.32999999999998</v>
      </c>
      <c r="K190" s="704"/>
    </row>
    <row r="191" spans="1:11" ht="15.7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388.14764000000002</v>
      </c>
      <c r="K191" s="704"/>
    </row>
    <row r="192" spans="1:11" ht="15.7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>
        <f>J157</f>
        <v>406.83</v>
      </c>
      <c r="K192" s="704"/>
    </row>
    <row r="193" spans="1:11" ht="15.7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>
        <f>ROUND(SUM(J188:J192),2)</f>
        <v>5804.48</v>
      </c>
      <c r="K193" s="704"/>
    </row>
    <row r="194" spans="1:11" ht="15.7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>
        <f>J177</f>
        <v>1627.89</v>
      </c>
      <c r="K194" s="704"/>
    </row>
    <row r="195" spans="1:11" ht="15.7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>
        <f>J193+J194</f>
        <v>7432.37</v>
      </c>
      <c r="K195" s="704"/>
    </row>
    <row r="196" spans="1:11" ht="42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12" customHeight="1">
      <c r="A197" s="603"/>
      <c r="B197" s="1044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.7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20.25" customHeight="1">
      <c r="A199" s="603"/>
      <c r="B199" s="1045" t="s">
        <v>648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41.2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3.75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3.7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9" customHeight="1" collapsed="1">
      <c r="A203" s="603"/>
      <c r="B203" s="1046" t="str">
        <f>B3</f>
        <v>6210-05_CAPATAZ-Encarreg</v>
      </c>
      <c r="C203" s="884"/>
      <c r="D203" s="884"/>
      <c r="E203" s="885"/>
      <c r="F203" s="1047">
        <f>J195</f>
        <v>7432.37</v>
      </c>
      <c r="G203" s="885"/>
      <c r="H203" s="773">
        <f>I17</f>
        <v>1</v>
      </c>
      <c r="I203" s="1027">
        <f t="shared" si="4"/>
        <v>7432.37</v>
      </c>
      <c r="J203" s="885"/>
      <c r="K203" s="774"/>
    </row>
    <row r="204" spans="1:11" ht="38.2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9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33.75" hidden="1" customHeight="1" outlineLevel="1">
      <c r="A206" s="603"/>
      <c r="B206" s="1048" t="s">
        <v>657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5.7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1</v>
      </c>
      <c r="I207" s="1042">
        <f>SUM(I201:J206)</f>
        <v>7432.37</v>
      </c>
      <c r="J207" s="885"/>
      <c r="K207" s="776"/>
    </row>
    <row r="208" spans="1:11" ht="8.2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5.7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8.25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5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>
        <f>$I$207</f>
        <v>7432.37</v>
      </c>
      <c r="I211" s="884"/>
      <c r="J211" s="885"/>
      <c r="K211" s="778"/>
    </row>
    <row r="212" spans="1:11" ht="8.2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5.7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8.2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29.25" customHeight="1">
      <c r="A215" s="603"/>
      <c r="B215" s="1034" t="s">
        <v>662</v>
      </c>
      <c r="C215" s="884"/>
      <c r="D215" s="884"/>
      <c r="E215" s="884"/>
      <c r="F215" s="884"/>
      <c r="G215" s="885"/>
      <c r="H215" s="1041">
        <f>ROUND(H211*H213,2)</f>
        <v>148647.4</v>
      </c>
      <c r="I215" s="884"/>
      <c r="J215" s="885"/>
      <c r="K215" s="782"/>
    </row>
    <row r="216" spans="1:11" ht="8.25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5.7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93" priority="1" operator="equal">
      <formula>0</formula>
    </cfRule>
  </conditionalFormatting>
  <conditionalFormatting sqref="I48">
    <cfRule type="cellIs" dxfId="92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78" orientation="portrait" r:id="rId1"/>
  <headerFooter>
    <oddFooter>&amp;C&amp;A » Página -&amp;P  de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ABF8F"/>
  </sheetPr>
  <dimension ref="A1:K216"/>
  <sheetViews>
    <sheetView tabSelected="1" topLeftCell="A100" zoomScaleNormal="100" workbookViewId="0">
      <selection activeCell="B14" sqref="B14:F14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42578125" customWidth="1"/>
    <col min="8" max="8" width="17.5703125" customWidth="1"/>
    <col min="9" max="9" width="11.28515625" customWidth="1"/>
    <col min="10" max="10" width="22.5703125" customWidth="1"/>
    <col min="11" max="11" width="9.1406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32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24" customHeight="1">
      <c r="A3" s="603"/>
      <c r="B3" s="995" t="str">
        <f>'1-ABA-DE-CARREGAMENTO'!D33</f>
        <v>6210-05_PEAO-Trabalh.Agropec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 ht="15.75" customHeight="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5.7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4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20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5.7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5.7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9.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VLOOKUP('1-ABA-DE-CARREGAMENTO'!D35,'DADOS-CADASTRAIS'!C6:O60,1,0)</f>
        <v>RS002758/2022</v>
      </c>
      <c r="J10" s="885"/>
      <c r="K10" s="607"/>
    </row>
    <row r="11" spans="1:11" ht="15.7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'1-ABA-DE-CARREGAMENTO'!D94</f>
        <v>20</v>
      </c>
      <c r="J11" s="885"/>
      <c r="K11" s="607"/>
    </row>
    <row r="12" spans="1:11" ht="21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50.2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2.7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2.7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2.7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2.75" customHeight="1" collapsed="1">
      <c r="A17" s="603"/>
      <c r="B17" s="986" t="str">
        <f>B3</f>
        <v>6210-05_PEAO-Trabalh.Agropec</v>
      </c>
      <c r="C17" s="884"/>
      <c r="D17" s="884"/>
      <c r="E17" s="884"/>
      <c r="F17" s="885"/>
      <c r="G17" s="987" t="s">
        <v>475</v>
      </c>
      <c r="H17" s="885"/>
      <c r="I17" s="988">
        <f>'1-ABA-DE-CARREGAMENTO'!D92</f>
        <v>4</v>
      </c>
      <c r="J17" s="885"/>
      <c r="K17" s="615"/>
    </row>
    <row r="18" spans="1:11" ht="12.7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2.75" hidden="1" customHeight="1" outlineLevel="1">
      <c r="A19" s="603"/>
      <c r="B19" s="986" t="s">
        <v>663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2.7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4</v>
      </c>
      <c r="J20" s="885"/>
      <c r="K20" s="616"/>
    </row>
    <row r="21" spans="1:11" ht="8.25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46.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7.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51.75" customHeight="1">
      <c r="A24" s="603"/>
      <c r="B24" s="1005" t="s">
        <v>664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9.75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21.7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27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'1-ABA-DE-CARREGAMENTO'!D33</f>
        <v>6210-05_PEAO-Trabalh.Agropec</v>
      </c>
      <c r="J27" s="885"/>
      <c r="K27" s="620"/>
    </row>
    <row r="28" spans="1:11" ht="19.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9" customHeight="1">
      <c r="A29" s="603"/>
      <c r="B29" s="611">
        <v>3</v>
      </c>
      <c r="C29" s="1010" t="s">
        <v>665</v>
      </c>
      <c r="D29" s="866"/>
      <c r="E29" s="783">
        <v>220</v>
      </c>
      <c r="F29" s="625">
        <f>'1-ABA-DE-CARREGAMENTO'!D37</f>
        <v>1575</v>
      </c>
      <c r="G29" s="608" t="s">
        <v>488</v>
      </c>
      <c r="H29" s="626">
        <f>'1-ABA-DE-CARREGAMENTO'!D52</f>
        <v>220</v>
      </c>
      <c r="I29" s="1011">
        <f>F29/E29*H29</f>
        <v>1575</v>
      </c>
      <c r="J29" s="885"/>
      <c r="K29" s="627"/>
    </row>
    <row r="30" spans="1:11" ht="15.7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5.7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'1-ABA-DE-CARREGAMENTO'!D36</f>
        <v>01 de MARÇO</v>
      </c>
      <c r="J31" s="885"/>
      <c r="K31" s="629"/>
    </row>
    <row r="32" spans="1:11" ht="27" customHeight="1">
      <c r="A32" s="603"/>
      <c r="B32" s="630">
        <v>6</v>
      </c>
      <c r="C32" s="953" t="s">
        <v>666</v>
      </c>
      <c r="D32" s="884"/>
      <c r="E32" s="884"/>
      <c r="F32" s="884"/>
      <c r="G32" s="884"/>
      <c r="H32" s="885"/>
      <c r="I32" s="961">
        <f>ROUND(I29/220,2)</f>
        <v>7.16</v>
      </c>
      <c r="J32" s="885"/>
      <c r="K32" s="631"/>
    </row>
    <row r="33" spans="1:11" ht="27" customHeight="1">
      <c r="A33" s="603"/>
      <c r="B33" s="630">
        <v>7</v>
      </c>
      <c r="C33" s="953" t="s">
        <v>667</v>
      </c>
      <c r="D33" s="884"/>
      <c r="E33" s="884"/>
      <c r="F33" s="885"/>
      <c r="G33" s="978"/>
      <c r="H33" s="885"/>
      <c r="I33" s="962">
        <f>SUM(I32)+((J50+J48)/220)</f>
        <v>8.2618181818181817</v>
      </c>
      <c r="J33" s="885"/>
      <c r="K33" s="631"/>
    </row>
    <row r="34" spans="1:11" ht="27" customHeight="1">
      <c r="A34" s="603"/>
      <c r="B34" s="630">
        <v>8</v>
      </c>
      <c r="C34" s="953" t="s">
        <v>668</v>
      </c>
      <c r="D34" s="884"/>
      <c r="E34" s="884"/>
      <c r="F34" s="885"/>
      <c r="G34" s="978"/>
      <c r="H34" s="885"/>
      <c r="I34" s="961">
        <f>TRUNC(I32*1.5,2)</f>
        <v>10.74</v>
      </c>
      <c r="J34" s="885"/>
      <c r="K34" s="631"/>
    </row>
    <row r="35" spans="1:11" ht="23.25" customHeight="1">
      <c r="A35" s="603"/>
      <c r="B35" s="630">
        <v>9</v>
      </c>
      <c r="C35" s="953" t="s">
        <v>669</v>
      </c>
      <c r="D35" s="884"/>
      <c r="E35" s="884"/>
      <c r="F35" s="885"/>
      <c r="G35" s="978" t="s">
        <v>495</v>
      </c>
      <c r="H35" s="885"/>
      <c r="I35" s="962">
        <f>I33*1.5</f>
        <v>12.392727272727273</v>
      </c>
      <c r="J35" s="885"/>
      <c r="K35" s="632"/>
    </row>
    <row r="36" spans="1:11" ht="26.25" customHeight="1">
      <c r="A36" s="603"/>
      <c r="B36" s="630">
        <v>10</v>
      </c>
      <c r="C36" s="953" t="s">
        <v>670</v>
      </c>
      <c r="D36" s="884"/>
      <c r="E36" s="884"/>
      <c r="F36" s="884"/>
      <c r="G36" s="884"/>
      <c r="H36" s="885"/>
      <c r="I36" s="961">
        <f>TRUNC(1.3*I32*0.2,2)</f>
        <v>1.86</v>
      </c>
      <c r="J36" s="885"/>
      <c r="K36" s="631"/>
    </row>
    <row r="37" spans="1:11" ht="27" customHeight="1">
      <c r="A37" s="603"/>
      <c r="B37" s="630">
        <v>11</v>
      </c>
      <c r="C37" s="1061" t="s">
        <v>671</v>
      </c>
      <c r="D37" s="993"/>
      <c r="E37" s="993"/>
      <c r="F37" s="993"/>
      <c r="G37" s="993"/>
      <c r="H37" s="994"/>
      <c r="I37" s="962">
        <f>I33*2</f>
        <v>16.523636363636363</v>
      </c>
      <c r="J37" s="885"/>
      <c r="K37" s="631"/>
    </row>
    <row r="38" spans="1:11" ht="31.5" hidden="1" customHeight="1" outlineLevel="1">
      <c r="A38" s="603"/>
      <c r="B38" s="784">
        <v>12</v>
      </c>
      <c r="C38" s="953" t="s">
        <v>672</v>
      </c>
      <c r="D38" s="884"/>
      <c r="E38" s="785">
        <f>ROUND(I38/220,2)</f>
        <v>0</v>
      </c>
      <c r="F38" s="1062" t="s">
        <v>673</v>
      </c>
      <c r="G38" s="884"/>
      <c r="H38" s="885"/>
      <c r="I38" s="1063">
        <f>I29*'1-ABA-DE-CARREGAMENTO'!D44</f>
        <v>0</v>
      </c>
      <c r="J38" s="885"/>
      <c r="K38" s="631"/>
    </row>
    <row r="39" spans="1:11" ht="15.75" hidden="1" customHeight="1" outlineLevel="1">
      <c r="A39" s="603"/>
      <c r="B39" s="630">
        <v>13</v>
      </c>
      <c r="C39" s="1064" t="s">
        <v>499</v>
      </c>
      <c r="D39" s="941"/>
      <c r="E39" s="941"/>
      <c r="F39" s="941"/>
      <c r="G39" s="941"/>
      <c r="H39" s="942"/>
      <c r="I39" s="961">
        <f>ROUND(I32/6,2)*1.3*0</f>
        <v>0</v>
      </c>
      <c r="J39" s="885"/>
      <c r="K39" s="631"/>
    </row>
    <row r="40" spans="1:11" ht="15.75" customHeight="1" collapsed="1">
      <c r="A40" s="603"/>
      <c r="B40" s="630">
        <v>14</v>
      </c>
      <c r="C40" s="963" t="s">
        <v>500</v>
      </c>
      <c r="D40" s="884"/>
      <c r="E40" s="884"/>
      <c r="F40" s="884"/>
      <c r="G40" s="884"/>
      <c r="H40" s="885"/>
      <c r="I40" s="964">
        <f>'1-ABA-DE-CARREGAMENTO'!D93</f>
        <v>1</v>
      </c>
      <c r="J40" s="885"/>
      <c r="K40" s="633"/>
    </row>
    <row r="41" spans="1:11" ht="15.7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'1-ABA-DE-CARREGAMENTO'!D42</f>
        <v>1212</v>
      </c>
      <c r="J41" s="885"/>
      <c r="K41" s="634"/>
    </row>
    <row r="42" spans="1:11" ht="9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21.75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9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20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30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24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'1-ABA-DE-CARREGAMENTO'!D52</f>
        <v>220</v>
      </c>
      <c r="I47" s="641"/>
      <c r="J47" s="644">
        <f>I29*I40</f>
        <v>1575</v>
      </c>
      <c r="K47" s="645"/>
    </row>
    <row r="48" spans="1:11" ht="24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'1-ABA-DE-CARREGAMENTO'!D38</f>
        <v>SEM ADICIONAL DE FUNÇÃO</v>
      </c>
      <c r="G48" s="884"/>
      <c r="H48" s="885"/>
      <c r="I48" s="786">
        <f>'1-ABA-DE-CARREGAMENTO'!D39</f>
        <v>0</v>
      </c>
      <c r="J48" s="644">
        <f>J47*I48</f>
        <v>0</v>
      </c>
      <c r="K48" s="645"/>
    </row>
    <row r="49" spans="1:11" ht="30" customHeight="1">
      <c r="A49" s="603"/>
      <c r="B49" s="611" t="s">
        <v>467</v>
      </c>
      <c r="C49" s="949" t="s">
        <v>674</v>
      </c>
      <c r="D49" s="884"/>
      <c r="E49" s="884"/>
      <c r="F49" s="884"/>
      <c r="G49" s="884"/>
      <c r="H49" s="885"/>
      <c r="I49" s="754">
        <f>'1-ABA-DE-CARREGAMENTO'!D44</f>
        <v>0</v>
      </c>
      <c r="J49" s="644">
        <f>ROUND(J47*I49,2)</f>
        <v>0</v>
      </c>
      <c r="K49" s="645"/>
    </row>
    <row r="50" spans="1:11" ht="30" customHeight="1">
      <c r="A50" s="603"/>
      <c r="B50" s="611" t="s">
        <v>469</v>
      </c>
      <c r="C50" s="949" t="s">
        <v>675</v>
      </c>
      <c r="D50" s="884"/>
      <c r="E50" s="884"/>
      <c r="F50" s="884"/>
      <c r="G50" s="981" t="str">
        <f>'1-ABA-DE-CARREGAMENTO'!D40</f>
        <v>INSALUB S/MINIMO</v>
      </c>
      <c r="H50" s="885"/>
      <c r="I50" s="787">
        <f>'1-ABA-DE-CARREGAMENTO'!D41</f>
        <v>0.2</v>
      </c>
      <c r="J50" s="644">
        <f>ROUND(I50*I41,2)</f>
        <v>242.4</v>
      </c>
      <c r="K50" s="645"/>
    </row>
    <row r="51" spans="1:11" ht="40.5" customHeight="1" outlineLevel="1">
      <c r="A51" s="603"/>
      <c r="B51" s="611" t="s">
        <v>511</v>
      </c>
      <c r="C51" s="949" t="s">
        <v>676</v>
      </c>
      <c r="D51" s="884"/>
      <c r="E51" s="884"/>
      <c r="F51" s="884"/>
      <c r="G51" s="884"/>
      <c r="H51" s="884"/>
      <c r="I51" s="885"/>
      <c r="J51" s="644">
        <f>IF(CAMPUS.CONTRATANTE!AL10="N",(2*8*15*I36)*0,((2*8*15*I36)*1))</f>
        <v>0</v>
      </c>
      <c r="K51" s="645"/>
    </row>
    <row r="52" spans="1:11" ht="51" customHeight="1" outlineLevel="1">
      <c r="A52" s="603"/>
      <c r="B52" s="611" t="s">
        <v>513</v>
      </c>
      <c r="C52" s="969" t="s">
        <v>677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0" customHeight="1" outlineLevel="1">
      <c r="A53" s="603"/>
      <c r="B53" s="611" t="s">
        <v>515</v>
      </c>
      <c r="C53" s="969" t="s">
        <v>678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30" customHeight="1">
      <c r="A54" s="603"/>
      <c r="B54" s="611" t="s">
        <v>517</v>
      </c>
      <c r="C54" s="969" t="s">
        <v>518</v>
      </c>
      <c r="D54" s="884"/>
      <c r="E54" s="884"/>
      <c r="F54" s="982" t="s">
        <v>679</v>
      </c>
      <c r="G54" s="884"/>
      <c r="H54" s="884"/>
      <c r="I54" s="650">
        <f>'1-ABA-DE-CARREGAMENTO'!D65</f>
        <v>2.89</v>
      </c>
      <c r="J54" s="644">
        <f>ROUND((((SUM(J47:J50))/220)*1.5)*I54,2)</f>
        <v>35.81</v>
      </c>
      <c r="K54" s="645"/>
    </row>
    <row r="55" spans="1:11" ht="30" customHeight="1">
      <c r="A55" s="603"/>
      <c r="B55" s="611" t="s">
        <v>520</v>
      </c>
      <c r="C55" s="969" t="s">
        <v>521</v>
      </c>
      <c r="D55" s="884"/>
      <c r="E55" s="884"/>
      <c r="F55" s="982" t="s">
        <v>680</v>
      </c>
      <c r="G55" s="884"/>
      <c r="H55" s="884"/>
      <c r="I55" s="650">
        <f>'1-ABA-DE-CARREGAMENTO'!D68</f>
        <v>7.11</v>
      </c>
      <c r="J55" s="644">
        <f>ROUND((((SUM(J47:J50))/220)*2)*I55,2)</f>
        <v>117.47</v>
      </c>
      <c r="K55" s="645"/>
    </row>
    <row r="56" spans="1:11" ht="43.5" customHeight="1">
      <c r="A56" s="603"/>
      <c r="B56" s="611" t="s">
        <v>523</v>
      </c>
      <c r="C56" s="949" t="s">
        <v>681</v>
      </c>
      <c r="D56" s="884"/>
      <c r="E56" s="884"/>
      <c r="F56" s="884"/>
      <c r="G56" s="884"/>
      <c r="H56" s="884"/>
      <c r="I56" s="885"/>
      <c r="J56" s="644">
        <f>ROUND(SUM(J54:J55)*0.2,2)</f>
        <v>30.66</v>
      </c>
      <c r="K56" s="645"/>
    </row>
    <row r="57" spans="1:11" ht="15.7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32.2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2001.3400000000001</v>
      </c>
      <c r="K58" s="654"/>
    </row>
    <row r="59" spans="1:11" ht="9.75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29.25" customHeight="1">
      <c r="A60" s="603"/>
      <c r="B60" s="611" t="s">
        <v>517</v>
      </c>
      <c r="C60" s="949" t="s">
        <v>682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31.5" customHeight="1">
      <c r="A61" s="603"/>
      <c r="B61" s="976" t="s">
        <v>683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11.25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48" customHeight="1">
      <c r="A63" s="603"/>
      <c r="B63" s="954" t="s">
        <v>684</v>
      </c>
      <c r="C63" s="884"/>
      <c r="D63" s="884"/>
      <c r="E63" s="884"/>
      <c r="F63" s="884"/>
      <c r="G63" s="884"/>
      <c r="H63" s="884"/>
      <c r="I63" s="885"/>
      <c r="J63" s="657">
        <f>J58+J61</f>
        <v>2001.3400000000001</v>
      </c>
      <c r="K63" s="658"/>
    </row>
    <row r="64" spans="1:11" ht="9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9.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8.25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27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27" customHeight="1">
      <c r="A68" s="603"/>
      <c r="B68" s="979" t="s">
        <v>685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22.5" customHeight="1">
      <c r="A69" s="603"/>
      <c r="B69" s="663" t="s">
        <v>534</v>
      </c>
      <c r="C69" s="980" t="s">
        <v>686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28.5" customHeight="1">
      <c r="A70" s="603"/>
      <c r="B70" s="663" t="s">
        <v>463</v>
      </c>
      <c r="C70" s="969" t="s">
        <v>687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166.71</v>
      </c>
      <c r="K70" s="668"/>
    </row>
    <row r="71" spans="1:11" ht="93" customHeight="1">
      <c r="A71" s="603"/>
      <c r="B71" s="663" t="s">
        <v>465</v>
      </c>
      <c r="C71" s="970" t="s">
        <v>688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60.54</v>
      </c>
      <c r="K71" s="668"/>
    </row>
    <row r="72" spans="1:11" ht="1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227.25</v>
      </c>
      <c r="K72" s="671"/>
    </row>
    <row r="73" spans="1:11" ht="7.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84" customHeight="1">
      <c r="A74" s="603"/>
      <c r="B74" s="960" t="s">
        <v>689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7.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32.25" customHeight="1">
      <c r="A76" s="603"/>
      <c r="B76" s="974" t="s">
        <v>690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27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8.7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445.72</v>
      </c>
      <c r="K78" s="671"/>
    </row>
    <row r="79" spans="1:11" ht="18.7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55.71</v>
      </c>
      <c r="K79" s="671"/>
    </row>
    <row r="80" spans="1:11" ht="55.5" customHeight="1">
      <c r="A80" s="603"/>
      <c r="B80" s="677" t="s">
        <v>467</v>
      </c>
      <c r="C80" s="949" t="s">
        <v>691</v>
      </c>
      <c r="D80" s="885"/>
      <c r="E80" s="623" t="s">
        <v>548</v>
      </c>
      <c r="F80" s="680">
        <f>'1-ABA-DE-CARREGAMENTO'!D57</f>
        <v>0.03</v>
      </c>
      <c r="G80" s="623" t="s">
        <v>549</v>
      </c>
      <c r="H80" s="681">
        <f>'1-ABA-DE-CARREGAMENTO'!D58</f>
        <v>1</v>
      </c>
      <c r="I80" s="682">
        <f>ROUND((F80*H80),6)</f>
        <v>0.03</v>
      </c>
      <c r="J80" s="679">
        <f>ROUND((J58+J72)*I80,2)</f>
        <v>66.86</v>
      </c>
      <c r="K80" s="671"/>
    </row>
    <row r="81" spans="1:11" ht="15.7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33.43</v>
      </c>
      <c r="K81" s="671"/>
    </row>
    <row r="82" spans="1:11" ht="15.7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22.29</v>
      </c>
      <c r="K82" s="671"/>
    </row>
    <row r="83" spans="1:11" ht="15.7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13.37</v>
      </c>
      <c r="K83" s="671"/>
    </row>
    <row r="84" spans="1:11" ht="15.7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4.46</v>
      </c>
      <c r="K84" s="671"/>
    </row>
    <row r="85" spans="1:11" ht="15.7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178.29</v>
      </c>
      <c r="K85" s="671"/>
    </row>
    <row r="86" spans="1:11" ht="15.75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820.12999999999988</v>
      </c>
      <c r="K86" s="671"/>
    </row>
    <row r="87" spans="1:11" ht="8.25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35.2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9.7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20.2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27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23.25" customHeight="1">
      <c r="A92" s="603"/>
      <c r="B92" s="690" t="s">
        <v>463</v>
      </c>
      <c r="C92" s="949" t="s">
        <v>692</v>
      </c>
      <c r="D92" s="884"/>
      <c r="E92" s="884"/>
      <c r="F92" s="884"/>
      <c r="G92" s="884"/>
      <c r="H92" s="885"/>
      <c r="I92" s="691">
        <f>J47</f>
        <v>1575</v>
      </c>
      <c r="J92" s="692">
        <f>IF(ROUND((I93*I95*I94)-(J47*I96),2)&lt;0,0,ROUND((I93*I95*I94)-(J47*I96),2))</f>
        <v>330</v>
      </c>
      <c r="K92" s="671"/>
    </row>
    <row r="93" spans="1:11" ht="27" customHeight="1">
      <c r="A93" s="603"/>
      <c r="B93" s="690" t="s">
        <v>465</v>
      </c>
      <c r="C93" s="949" t="s">
        <v>693</v>
      </c>
      <c r="D93" s="884"/>
      <c r="E93" s="884"/>
      <c r="F93" s="884"/>
      <c r="G93" s="884"/>
      <c r="H93" s="884"/>
      <c r="I93" s="693">
        <f>'1-ABA-DE-CARREGAMENTO'!D72</f>
        <v>6.6</v>
      </c>
      <c r="J93" s="694" t="s">
        <v>476</v>
      </c>
      <c r="K93" s="652"/>
    </row>
    <row r="94" spans="1:11" ht="19.5" customHeight="1">
      <c r="A94" s="603"/>
      <c r="B94" s="690" t="s">
        <v>467</v>
      </c>
      <c r="C94" s="949" t="s">
        <v>694</v>
      </c>
      <c r="D94" s="884"/>
      <c r="E94" s="884"/>
      <c r="F94" s="884"/>
      <c r="G94" s="884"/>
      <c r="H94" s="885"/>
      <c r="I94" s="695">
        <f>'1-ABA-DE-CARREGAMENTO'!D73</f>
        <v>2</v>
      </c>
      <c r="J94" s="694" t="s">
        <v>476</v>
      </c>
      <c r="K94" s="652"/>
    </row>
    <row r="95" spans="1:11" ht="19.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'1-ABA-DE-CARREGAMENTO'!D74</f>
        <v>25</v>
      </c>
      <c r="J95" s="694" t="s">
        <v>476</v>
      </c>
      <c r="K95" s="652"/>
    </row>
    <row r="96" spans="1:11" ht="24.75" customHeight="1">
      <c r="A96" s="603"/>
      <c r="B96" s="690" t="s">
        <v>511</v>
      </c>
      <c r="C96" s="953" t="s">
        <v>695</v>
      </c>
      <c r="D96" s="884"/>
      <c r="E96" s="884"/>
      <c r="F96" s="884"/>
      <c r="G96" s="884"/>
      <c r="H96" s="885"/>
      <c r="I96" s="696">
        <f>'1-ABA-DE-CARREGAMENTO'!D75</f>
        <v>0</v>
      </c>
      <c r="J96" s="697" t="s">
        <v>476</v>
      </c>
      <c r="K96" s="652"/>
    </row>
    <row r="97" spans="1:11" ht="14.25" customHeight="1">
      <c r="A97" s="603"/>
      <c r="B97" s="690" t="s">
        <v>513</v>
      </c>
      <c r="C97" s="949" t="s">
        <v>696</v>
      </c>
      <c r="D97" s="884"/>
      <c r="E97" s="884"/>
      <c r="F97" s="884"/>
      <c r="G97" s="884"/>
      <c r="H97" s="884"/>
      <c r="I97" s="885"/>
      <c r="J97" s="692">
        <f>ROUND(I98*I99,2)-ROUND((I98*I99)*I100,2)</f>
        <v>408.64</v>
      </c>
      <c r="K97" s="671"/>
    </row>
    <row r="98" spans="1:11" ht="15.75" customHeight="1">
      <c r="A98" s="603"/>
      <c r="B98" s="690" t="s">
        <v>515</v>
      </c>
      <c r="C98" s="949" t="s">
        <v>697</v>
      </c>
      <c r="D98" s="884"/>
      <c r="E98" s="884"/>
      <c r="F98" s="884"/>
      <c r="G98" s="884"/>
      <c r="H98" s="885"/>
      <c r="I98" s="693">
        <f>IF('1-ABA-DE-CARREGAMENTO'!D60&gt;0,'1-ABA-DE-CARREGAMENTO'!D60,'1-ABA-DE-CARREGAMENTO'!D63)</f>
        <v>20.18</v>
      </c>
      <c r="J98" s="699"/>
      <c r="K98" s="652"/>
    </row>
    <row r="99" spans="1:11" ht="27.75" customHeight="1">
      <c r="A99" s="603"/>
      <c r="B99" s="690" t="s">
        <v>517</v>
      </c>
      <c r="C99" s="949" t="s">
        <v>698</v>
      </c>
      <c r="D99" s="884"/>
      <c r="E99" s="884"/>
      <c r="F99" s="884"/>
      <c r="G99" s="884"/>
      <c r="H99" s="885"/>
      <c r="I99" s="695">
        <f>'1-ABA-DE-CARREGAMENTO'!D62</f>
        <v>25</v>
      </c>
      <c r="J99" s="699"/>
      <c r="K99" s="652"/>
    </row>
    <row r="100" spans="1:11" ht="24" customHeight="1">
      <c r="A100" s="603"/>
      <c r="B100" s="690" t="s">
        <v>520</v>
      </c>
      <c r="C100" s="958" t="s">
        <v>699</v>
      </c>
      <c r="D100" s="884"/>
      <c r="E100" s="884"/>
      <c r="F100" s="884"/>
      <c r="G100" s="884"/>
      <c r="H100" s="885"/>
      <c r="I100" s="696">
        <f>'1-ABA-DE-CARREGAMENTO'!D61</f>
        <v>0.19</v>
      </c>
      <c r="J100" s="701"/>
      <c r="K100" s="652"/>
    </row>
    <row r="101" spans="1:11" ht="15.75" hidden="1" customHeight="1" outlineLevel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40.5" hidden="1" customHeight="1" outlineLevel="1">
      <c r="A102" s="603"/>
      <c r="B102" s="690" t="s">
        <v>525</v>
      </c>
      <c r="C102" s="949" t="s">
        <v>700</v>
      </c>
      <c r="D102" s="884"/>
      <c r="E102" s="884"/>
      <c r="F102" s="884"/>
      <c r="G102" s="884"/>
      <c r="H102" s="884"/>
      <c r="I102" s="884"/>
      <c r="J102" s="679">
        <f>'1-ABA-DE-CARREGAMENTO'!D77</f>
        <v>0</v>
      </c>
      <c r="K102" s="671"/>
    </row>
    <row r="103" spans="1:11" ht="40.5" hidden="1" customHeight="1" outlineLevel="1">
      <c r="A103" s="603"/>
      <c r="B103" s="690" t="s">
        <v>570</v>
      </c>
      <c r="C103" s="949" t="s">
        <v>701</v>
      </c>
      <c r="D103" s="884"/>
      <c r="E103" s="884"/>
      <c r="F103" s="884"/>
      <c r="G103" s="884"/>
      <c r="H103" s="884"/>
      <c r="I103" s="885"/>
      <c r="J103" s="679">
        <f>'1-ABA-DE-CARREGAMENTO'!D78</f>
        <v>0</v>
      </c>
      <c r="K103" s="671"/>
    </row>
    <row r="104" spans="1:11" ht="21" hidden="1" customHeight="1" outlineLevel="1">
      <c r="A104" s="603"/>
      <c r="B104" s="690" t="s">
        <v>572</v>
      </c>
      <c r="C104" s="949" t="s">
        <v>573</v>
      </c>
      <c r="D104" s="884"/>
      <c r="E104" s="884"/>
      <c r="F104" s="884"/>
      <c r="G104" s="884"/>
      <c r="H104" s="884"/>
      <c r="I104" s="885"/>
      <c r="J104" s="679">
        <f>'1-ABA-DE-CARREGAMENTO'!D76</f>
        <v>0</v>
      </c>
      <c r="K104" s="671"/>
    </row>
    <row r="105" spans="1:11" ht="15.75" hidden="1" customHeight="1" outlineLevel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18" customHeight="1" collapsed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738.64</v>
      </c>
      <c r="K106" s="671"/>
    </row>
    <row r="107" spans="1:11" ht="9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2.2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8.2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7.2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5.7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4.25" customHeight="1">
      <c r="A112" s="603"/>
      <c r="B112" s="621" t="s">
        <v>534</v>
      </c>
      <c r="C112" s="969" t="s">
        <v>702</v>
      </c>
      <c r="D112" s="884"/>
      <c r="E112" s="884"/>
      <c r="F112" s="884"/>
      <c r="G112" s="884"/>
      <c r="H112" s="884"/>
      <c r="I112" s="885"/>
      <c r="J112" s="707">
        <f>J72</f>
        <v>227.25</v>
      </c>
      <c r="K112" s="708"/>
    </row>
    <row r="113" spans="1:11" ht="14.2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820.12999999999988</v>
      </c>
      <c r="K113" s="708"/>
    </row>
    <row r="114" spans="1:11" ht="14.2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738.64</v>
      </c>
      <c r="K114" s="708"/>
    </row>
    <row r="115" spans="1:11" ht="14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1786.02</v>
      </c>
      <c r="K115" s="708"/>
    </row>
    <row r="116" spans="1:11" ht="8.25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20.2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4.25" customHeight="1">
      <c r="A119" s="603"/>
      <c r="B119" s="690" t="s">
        <v>463</v>
      </c>
      <c r="C119" s="949" t="s">
        <v>703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9.98</v>
      </c>
      <c r="K119" s="671"/>
    </row>
    <row r="120" spans="1:11" ht="14.2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0.8</v>
      </c>
      <c r="K120" s="671"/>
    </row>
    <row r="121" spans="1:11" ht="73.5" customHeight="1">
      <c r="A121" s="603"/>
      <c r="B121" s="690" t="s">
        <v>467</v>
      </c>
      <c r="C121" s="949" t="s">
        <v>704</v>
      </c>
      <c r="D121" s="884"/>
      <c r="E121" s="884"/>
      <c r="F121" s="884"/>
      <c r="G121" s="884"/>
      <c r="H121" s="884"/>
      <c r="I121" s="885"/>
      <c r="J121" s="679">
        <f>ROUND(((7/30)/$I$11)*$J$58*1,2)</f>
        <v>23.35</v>
      </c>
      <c r="K121" s="671"/>
    </row>
    <row r="122" spans="1:11" ht="23.2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8.59</v>
      </c>
      <c r="K122" s="671"/>
    </row>
    <row r="123" spans="1:11" ht="37.5" customHeight="1">
      <c r="A123" s="603"/>
      <c r="B123" s="690" t="s">
        <v>511</v>
      </c>
      <c r="C123" s="949" t="s">
        <v>705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80.05</v>
      </c>
      <c r="K123" s="671"/>
    </row>
    <row r="124" spans="1:11" ht="15.7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122.77</v>
      </c>
      <c r="K124" s="671"/>
    </row>
    <row r="125" spans="1:11" ht="9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24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26.2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55.5" customHeight="1">
      <c r="A128" s="603"/>
      <c r="B128" s="974" t="s">
        <v>706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36.75" customHeight="1">
      <c r="A129" s="603"/>
      <c r="B129" s="716" t="s">
        <v>590</v>
      </c>
      <c r="C129" s="717">
        <f>J58</f>
        <v>2001.3400000000001</v>
      </c>
      <c r="D129" s="718" t="s">
        <v>591</v>
      </c>
      <c r="E129" s="716" t="s">
        <v>707</v>
      </c>
      <c r="F129" s="717">
        <f>J115-J92-J97</f>
        <v>1047.3800000000001</v>
      </c>
      <c r="G129" s="718" t="s">
        <v>591</v>
      </c>
      <c r="H129" s="716" t="s">
        <v>593</v>
      </c>
      <c r="I129" s="717">
        <f>J124</f>
        <v>122.77</v>
      </c>
      <c r="J129" s="719">
        <f>C129+F129+I129</f>
        <v>3171.4900000000002</v>
      </c>
      <c r="K129" s="720"/>
    </row>
    <row r="130" spans="1:11" ht="7.5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25.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24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51" customHeight="1">
      <c r="A133" s="603"/>
      <c r="B133" s="690" t="s">
        <v>463</v>
      </c>
      <c r="C133" s="969" t="s">
        <v>708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248.45616000000001</v>
      </c>
      <c r="K133" s="671"/>
    </row>
    <row r="134" spans="1:11" ht="21" customHeight="1">
      <c r="A134" s="603"/>
      <c r="B134" s="690" t="s">
        <v>465</v>
      </c>
      <c r="C134" s="949" t="s">
        <v>709</v>
      </c>
      <c r="D134" s="884"/>
      <c r="E134" s="884"/>
      <c r="F134" s="884"/>
      <c r="G134" s="884"/>
      <c r="H134" s="884"/>
      <c r="I134" s="885"/>
      <c r="J134" s="679">
        <f>ROUND((1/30)/12*(J129),2)</f>
        <v>8.81</v>
      </c>
      <c r="K134" s="671"/>
    </row>
    <row r="135" spans="1:11" ht="30.75" customHeight="1">
      <c r="A135" s="603"/>
      <c r="B135" s="690" t="s">
        <v>467</v>
      </c>
      <c r="C135" s="949" t="s">
        <v>710</v>
      </c>
      <c r="D135" s="884"/>
      <c r="E135" s="884"/>
      <c r="F135" s="884"/>
      <c r="G135" s="884"/>
      <c r="H135" s="884"/>
      <c r="I135" s="885"/>
      <c r="J135" s="679">
        <f>ROUND((5/30)/12*0.015*(J129),2)</f>
        <v>0.66</v>
      </c>
      <c r="K135" s="671"/>
    </row>
    <row r="136" spans="1:11" ht="24" customHeight="1">
      <c r="A136" s="603"/>
      <c r="B136" s="690" t="s">
        <v>469</v>
      </c>
      <c r="C136" s="949" t="s">
        <v>711</v>
      </c>
      <c r="D136" s="884"/>
      <c r="E136" s="884"/>
      <c r="F136" s="884"/>
      <c r="G136" s="884"/>
      <c r="H136" s="884"/>
      <c r="I136" s="885"/>
      <c r="J136" s="679">
        <f>ROUND(((15/30)/12)*0.0078*(J129),2)</f>
        <v>1.03</v>
      </c>
      <c r="K136" s="671"/>
    </row>
    <row r="137" spans="1:11" ht="35.25" customHeight="1">
      <c r="A137" s="603"/>
      <c r="B137" s="727" t="s">
        <v>511</v>
      </c>
      <c r="C137" s="1019" t="s">
        <v>712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2.8484666666666665</v>
      </c>
      <c r="K137" s="729"/>
    </row>
    <row r="138" spans="1:11" ht="63.75" customHeight="1">
      <c r="A138" s="603"/>
      <c r="B138" s="690" t="s">
        <v>513</v>
      </c>
      <c r="C138" s="949" t="s">
        <v>713</v>
      </c>
      <c r="D138" s="884"/>
      <c r="E138" s="884"/>
      <c r="F138" s="884"/>
      <c r="G138" s="884"/>
      <c r="H138" s="884"/>
      <c r="I138" s="885"/>
      <c r="J138" s="679">
        <f>ROUND(((3/30)/12)*(J129),2)</f>
        <v>26.43</v>
      </c>
      <c r="K138" s="671"/>
    </row>
    <row r="139" spans="1:11" ht="15.7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288.23462666666666</v>
      </c>
      <c r="K139" s="671"/>
    </row>
    <row r="140" spans="1:11" ht="9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5.7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5.7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5.7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5.7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7.5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23.2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23.2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18.7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288.23462666666666</v>
      </c>
      <c r="K148" s="735"/>
    </row>
    <row r="149" spans="1:11" ht="21.75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23.25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288.23462666666666</v>
      </c>
      <c r="K150" s="735"/>
    </row>
    <row r="151" spans="1:11" ht="7.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27.7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27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18.75" customHeight="1">
      <c r="A154" s="603"/>
      <c r="B154" s="690" t="s">
        <v>463</v>
      </c>
      <c r="C154" s="949" t="s">
        <v>714</v>
      </c>
      <c r="D154" s="884"/>
      <c r="E154" s="884"/>
      <c r="F154" s="884"/>
      <c r="G154" s="884"/>
      <c r="H154" s="884"/>
      <c r="I154" s="885"/>
      <c r="J154" s="738">
        <f>'Uniformes - EPIs_TODOS'!C61</f>
        <v>406.8300000000001</v>
      </c>
      <c r="K154" s="739"/>
    </row>
    <row r="155" spans="1:11" ht="18.75" customHeight="1">
      <c r="A155" s="603"/>
      <c r="B155" s="690" t="s">
        <v>465</v>
      </c>
      <c r="C155" s="949" t="s">
        <v>715</v>
      </c>
      <c r="D155" s="884"/>
      <c r="E155" s="884"/>
      <c r="F155" s="884"/>
      <c r="G155" s="884"/>
      <c r="H155" s="884"/>
      <c r="I155" s="885"/>
      <c r="J155" s="703">
        <f>'Uniformes - EPIs_TODOS'!C91</f>
        <v>0</v>
      </c>
      <c r="K155" s="740"/>
    </row>
    <row r="156" spans="1:11" ht="18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40"/>
    </row>
    <row r="157" spans="1:11" ht="15.7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>
        <f>ROUND(SUM(J154:J156),2)</f>
        <v>406.83</v>
      </c>
      <c r="K157" s="704"/>
    </row>
    <row r="158" spans="1:11" ht="7.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15.7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6.7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16.5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30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65.25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>
        <f>SUM(J63+J115+J124+J150+J157)</f>
        <v>4605.1946266666664</v>
      </c>
      <c r="K163" s="751"/>
    </row>
    <row r="164" spans="1:11" ht="15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'1-ABA-DE-CARREGAMENTO'!D85</f>
        <v>0.06</v>
      </c>
      <c r="J164" s="679">
        <f>ROUND(I164*J163,2)</f>
        <v>276.31</v>
      </c>
      <c r="K164" s="671"/>
    </row>
    <row r="165" spans="1:11" ht="50.25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>
        <f>SUM(J63+J115+J124+J150+J157+J164)</f>
        <v>4881.5046266666668</v>
      </c>
      <c r="K165" s="751"/>
    </row>
    <row r="166" spans="1:11" ht="1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'1-ABA-DE-CARREGAMENTO'!D86</f>
        <v>0.06</v>
      </c>
      <c r="J166" s="679">
        <f>ROUND(I166*J165,2)</f>
        <v>292.89</v>
      </c>
      <c r="K166" s="671"/>
    </row>
    <row r="167" spans="1:11" ht="48.7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>
        <f>SUM(J163+J164+J166)</f>
        <v>5174.3946266666671</v>
      </c>
      <c r="K167" s="751"/>
    </row>
    <row r="168" spans="1:11" ht="16.5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4.25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22.5" customHeight="1">
      <c r="A170" s="603"/>
      <c r="B170" s="690"/>
      <c r="C170" s="1018" t="s">
        <v>716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>
        <f t="shared" ref="J170:J171" si="1">ROUND(($J$167/(1-$I$179))*I170,2)</f>
        <v>97.3</v>
      </c>
      <c r="K170" s="756"/>
    </row>
    <row r="171" spans="1:11" ht="22.5" customHeight="1">
      <c r="A171" s="603"/>
      <c r="B171" s="690"/>
      <c r="C171" s="1018" t="s">
        <v>717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>
        <f t="shared" si="1"/>
        <v>448.15</v>
      </c>
      <c r="K171" s="756"/>
    </row>
    <row r="172" spans="1:11" ht="29.25" customHeight="1">
      <c r="A172" s="603"/>
      <c r="B172" s="690"/>
      <c r="C172" s="949" t="s">
        <v>718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29.25" customHeight="1">
      <c r="A173" s="603"/>
      <c r="B173" s="690"/>
      <c r="C173" s="949" t="s">
        <v>719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8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8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5" customHeight="1">
      <c r="A176" s="603"/>
      <c r="B176" s="690"/>
      <c r="C176" s="949" t="s">
        <v>720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>
        <f>ROUND(($J$167/(1-$I$179))*I176,2)</f>
        <v>176.9</v>
      </c>
      <c r="K176" s="756"/>
    </row>
    <row r="177" spans="1:11" ht="15.7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>
        <f>SUM(J164+J166+J170+J171+J176)</f>
        <v>1291.5500000000002</v>
      </c>
      <c r="K177" s="671"/>
    </row>
    <row r="178" spans="1:11" ht="6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5.7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>
        <f t="shared" si="2"/>
        <v>722.34999999999991</v>
      </c>
      <c r="K179" s="751"/>
    </row>
    <row r="180" spans="1:11" ht="12.7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2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3.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6.7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24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8.2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27.75" customHeight="1">
      <c r="A186" s="603"/>
      <c r="B186" s="1021" t="s">
        <v>721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2001.3400000000001</v>
      </c>
      <c r="K188" s="704"/>
    </row>
    <row r="189" spans="1:11" ht="1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1786.02</v>
      </c>
      <c r="K189" s="704"/>
    </row>
    <row r="190" spans="1:11" ht="1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122.77</v>
      </c>
      <c r="K190" s="704"/>
    </row>
    <row r="191" spans="1:11" ht="1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288.23462666666666</v>
      </c>
      <c r="K191" s="704"/>
    </row>
    <row r="192" spans="1:11" ht="1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>
        <f>J157</f>
        <v>406.83</v>
      </c>
      <c r="K192" s="704"/>
    </row>
    <row r="193" spans="1:11" ht="1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>
        <f>ROUND(SUM(J188:J192),2)</f>
        <v>4605.1899999999996</v>
      </c>
      <c r="K193" s="704"/>
    </row>
    <row r="194" spans="1:11" ht="1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>
        <f>J177</f>
        <v>1291.5500000000002</v>
      </c>
      <c r="K194" s="704"/>
    </row>
    <row r="195" spans="1:11" ht="1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>
        <f>J193+J194</f>
        <v>5896.74</v>
      </c>
      <c r="K195" s="704"/>
    </row>
    <row r="196" spans="1:11" ht="36.75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9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31.5" customHeight="1">
      <c r="A199" s="603"/>
      <c r="B199" s="1045" t="s">
        <v>648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4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3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42.7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41.25" customHeight="1" collapsed="1">
      <c r="A203" s="603"/>
      <c r="B203" s="1046" t="str">
        <f>B3</f>
        <v>6210-05_PEAO-Trabalh.Agropec</v>
      </c>
      <c r="C203" s="884"/>
      <c r="D203" s="884"/>
      <c r="E203" s="885"/>
      <c r="F203" s="1047">
        <f>J195</f>
        <v>5896.74</v>
      </c>
      <c r="G203" s="885"/>
      <c r="H203" s="773">
        <f>I17</f>
        <v>4</v>
      </c>
      <c r="I203" s="1027">
        <f t="shared" si="4"/>
        <v>23586.959999999999</v>
      </c>
      <c r="J203" s="885"/>
      <c r="K203" s="774"/>
    </row>
    <row r="204" spans="1:11" ht="41.2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9.75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35.25" hidden="1" customHeight="1" outlineLevel="1">
      <c r="A206" s="603"/>
      <c r="B206" s="1048" t="s">
        <v>722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20.2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4</v>
      </c>
      <c r="I207" s="1042">
        <f>SUM(I201:J206)</f>
        <v>23586.959999999999</v>
      </c>
      <c r="J207" s="885"/>
      <c r="K207" s="776"/>
    </row>
    <row r="208" spans="1:11" ht="6.75" customHeight="1">
      <c r="A208" s="603"/>
      <c r="B208" s="1060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7.2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6.75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8.75" customHeight="1">
      <c r="A211" s="603"/>
      <c r="B211" s="1034" t="s">
        <v>660</v>
      </c>
      <c r="C211" s="884"/>
      <c r="D211" s="884"/>
      <c r="E211" s="884"/>
      <c r="F211" s="884"/>
      <c r="G211" s="885"/>
      <c r="H211" s="1036">
        <f>$I$207</f>
        <v>23586.959999999999</v>
      </c>
      <c r="I211" s="884"/>
      <c r="J211" s="885"/>
      <c r="K211" s="778"/>
    </row>
    <row r="212" spans="1:11" ht="8.2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9.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8.2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31.5" customHeight="1">
      <c r="A215" s="603"/>
      <c r="B215" s="1034" t="s">
        <v>723</v>
      </c>
      <c r="C215" s="884"/>
      <c r="D215" s="884"/>
      <c r="E215" s="884"/>
      <c r="F215" s="884"/>
      <c r="G215" s="885"/>
      <c r="H215" s="1041">
        <f>ROUND(H211*H213,2)</f>
        <v>471739.2</v>
      </c>
      <c r="I215" s="884"/>
      <c r="J215" s="885"/>
      <c r="K215" s="782"/>
    </row>
    <row r="216" spans="1:11" ht="8.25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</sheetData>
  <mergeCells count="274">
    <mergeCell ref="C121:I121"/>
    <mergeCell ref="B146:J146"/>
    <mergeCell ref="C147:I147"/>
    <mergeCell ref="C148:I148"/>
    <mergeCell ref="C149:I149"/>
    <mergeCell ref="B150:I150"/>
    <mergeCell ref="B151:J151"/>
    <mergeCell ref="B152:J152"/>
    <mergeCell ref="C153:I153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03:I103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61:J161"/>
    <mergeCell ref="C162:H162"/>
    <mergeCell ref="B163:H163"/>
    <mergeCell ref="C164:H164"/>
    <mergeCell ref="C155:I155"/>
    <mergeCell ref="C156:I156"/>
    <mergeCell ref="B157:I157"/>
    <mergeCell ref="B158:J158"/>
    <mergeCell ref="B159:J159"/>
    <mergeCell ref="C154:I154"/>
    <mergeCell ref="B165:H165"/>
    <mergeCell ref="C166:H166"/>
    <mergeCell ref="B167:H167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7:J67"/>
    <mergeCell ref="B68:J68"/>
    <mergeCell ref="B45:J45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F54:H54"/>
    <mergeCell ref="C54:E54"/>
    <mergeCell ref="C55:E55"/>
    <mergeCell ref="F55:H55"/>
    <mergeCell ref="C40:H40"/>
    <mergeCell ref="I40:J40"/>
    <mergeCell ref="C41:H41"/>
    <mergeCell ref="I41:J41"/>
    <mergeCell ref="B42:J42"/>
    <mergeCell ref="B43:J43"/>
    <mergeCell ref="B44:J44"/>
    <mergeCell ref="C78:H78"/>
    <mergeCell ref="C79:H79"/>
    <mergeCell ref="C69:I69"/>
    <mergeCell ref="C70:H70"/>
    <mergeCell ref="C71:H71"/>
    <mergeCell ref="B72:I72"/>
    <mergeCell ref="B73:J73"/>
    <mergeCell ref="B74:J74"/>
    <mergeCell ref="B75:J75"/>
    <mergeCell ref="B76:J76"/>
    <mergeCell ref="C77:H77"/>
    <mergeCell ref="C56:I56"/>
    <mergeCell ref="C57:I57"/>
    <mergeCell ref="B58:I58"/>
    <mergeCell ref="C59:I59"/>
    <mergeCell ref="C60:I60"/>
    <mergeCell ref="B61:I61"/>
    <mergeCell ref="C36:H36"/>
    <mergeCell ref="I36:J36"/>
    <mergeCell ref="C37:H37"/>
    <mergeCell ref="I37:J37"/>
    <mergeCell ref="C38:D38"/>
    <mergeCell ref="F38:H38"/>
    <mergeCell ref="I38:J38"/>
    <mergeCell ref="C39:H39"/>
    <mergeCell ref="I39:J39"/>
    <mergeCell ref="B62:J62"/>
    <mergeCell ref="B63:I63"/>
    <mergeCell ref="B64:J64"/>
    <mergeCell ref="B65:J65"/>
    <mergeCell ref="B66:J66"/>
    <mergeCell ref="C96:H96"/>
    <mergeCell ref="C97:I97"/>
    <mergeCell ref="C98:H98"/>
    <mergeCell ref="C99:H99"/>
    <mergeCell ref="C80:D80"/>
    <mergeCell ref="C81:H81"/>
    <mergeCell ref="C82:H82"/>
    <mergeCell ref="C83:H83"/>
    <mergeCell ref="C84:H84"/>
    <mergeCell ref="C85:H85"/>
    <mergeCell ref="B86:H86"/>
    <mergeCell ref="C100:H100"/>
    <mergeCell ref="C101:I101"/>
    <mergeCell ref="C102:I102"/>
    <mergeCell ref="B88:J88"/>
    <mergeCell ref="B89:J89"/>
    <mergeCell ref="B90:J90"/>
    <mergeCell ref="C91:I91"/>
    <mergeCell ref="C92:H92"/>
    <mergeCell ref="C93:H93"/>
    <mergeCell ref="C94:H94"/>
    <mergeCell ref="C95:H95"/>
    <mergeCell ref="I205:J205"/>
    <mergeCell ref="I206:J206"/>
    <mergeCell ref="B204:E204"/>
    <mergeCell ref="F204:G204"/>
    <mergeCell ref="I204:J204"/>
    <mergeCell ref="B205:E205"/>
    <mergeCell ref="F205:G205"/>
    <mergeCell ref="B206:E206"/>
    <mergeCell ref="F206:G206"/>
    <mergeCell ref="B212:J212"/>
    <mergeCell ref="B213:G213"/>
    <mergeCell ref="H213:J213"/>
    <mergeCell ref="B214:J214"/>
    <mergeCell ref="B215:G215"/>
    <mergeCell ref="H215:J215"/>
    <mergeCell ref="B216:J216"/>
    <mergeCell ref="B207:G207"/>
    <mergeCell ref="I207:J207"/>
    <mergeCell ref="B208:J208"/>
    <mergeCell ref="B209:J209"/>
    <mergeCell ref="B210:J210"/>
    <mergeCell ref="B211:G211"/>
    <mergeCell ref="H211:J211"/>
    <mergeCell ref="C168:H168"/>
    <mergeCell ref="C169:H169"/>
    <mergeCell ref="C170:H170"/>
    <mergeCell ref="C171:H171"/>
    <mergeCell ref="C172:H172"/>
    <mergeCell ref="C173:H173"/>
    <mergeCell ref="C174:H174"/>
    <mergeCell ref="D181:J181"/>
    <mergeCell ref="D182:J182"/>
    <mergeCell ref="C175:H175"/>
    <mergeCell ref="C176:H176"/>
    <mergeCell ref="B177:I177"/>
    <mergeCell ref="B178:J178"/>
    <mergeCell ref="B179:H179"/>
    <mergeCell ref="B180:C182"/>
    <mergeCell ref="D180:J180"/>
    <mergeCell ref="B183:J183"/>
    <mergeCell ref="B184:J184"/>
    <mergeCell ref="B185:J185"/>
    <mergeCell ref="B186:J186"/>
    <mergeCell ref="B187:I187"/>
    <mergeCell ref="C188:I188"/>
    <mergeCell ref="C189:I189"/>
    <mergeCell ref="C190:I190"/>
    <mergeCell ref="C191:I191"/>
    <mergeCell ref="C192:I192"/>
    <mergeCell ref="B193:I193"/>
    <mergeCell ref="C194:I194"/>
    <mergeCell ref="B195:I195"/>
    <mergeCell ref="B196:J196"/>
    <mergeCell ref="B197:J197"/>
    <mergeCell ref="B199:J199"/>
    <mergeCell ref="B200:E200"/>
    <mergeCell ref="F200:G200"/>
    <mergeCell ref="I200:J200"/>
    <mergeCell ref="F201:G201"/>
    <mergeCell ref="I201:J201"/>
    <mergeCell ref="B201:E201"/>
    <mergeCell ref="B202:E202"/>
    <mergeCell ref="F202:G202"/>
    <mergeCell ref="I202:J202"/>
    <mergeCell ref="B203:E203"/>
    <mergeCell ref="F203:G203"/>
    <mergeCell ref="I203:J203"/>
  </mergeCells>
  <conditionalFormatting sqref="I49:I50">
    <cfRule type="cellIs" dxfId="91" priority="1" operator="equal">
      <formula>0</formula>
    </cfRule>
  </conditionalFormatting>
  <conditionalFormatting sqref="I48">
    <cfRule type="cellIs" dxfId="90" priority="2" operator="equal">
      <formula>0</formula>
    </cfRule>
  </conditionalFormatting>
  <printOptions horizontalCentered="1"/>
  <pageMargins left="0.19685039370078741" right="0.11811023622047245" top="0.19685039370078741" bottom="0.19685039370078741" header="0" footer="0"/>
  <pageSetup paperSize="9" scale="75" orientation="portrait" r:id="rId1"/>
  <headerFooter>
    <oddFooter>&amp;C&amp;A » Página -&amp;P  de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17"/>
  <sheetViews>
    <sheetView topLeftCell="A90" zoomScaleNormal="100" workbookViewId="0">
      <selection activeCell="C121" sqref="C121:I121"/>
    </sheetView>
  </sheetViews>
  <sheetFormatPr defaultColWidth="14.42578125" defaultRowHeight="15" customHeight="1" outlineLevelRow="1"/>
  <cols>
    <col min="1" max="1" width="2.28515625" customWidth="1"/>
    <col min="2" max="2" width="14.42578125" customWidth="1"/>
    <col min="3" max="3" width="11.28515625" customWidth="1"/>
    <col min="4" max="4" width="13.28515625" customWidth="1"/>
    <col min="5" max="5" width="14.42578125" customWidth="1"/>
    <col min="6" max="6" width="12.42578125" customWidth="1"/>
    <col min="7" max="7" width="15.5703125" customWidth="1"/>
    <col min="8" max="8" width="14.42578125" customWidth="1"/>
    <col min="9" max="9" width="14" customWidth="1"/>
    <col min="10" max="10" width="17.7109375" customWidth="1"/>
    <col min="11" max="11" width="1.42578125" customWidth="1"/>
  </cols>
  <sheetData>
    <row r="1" spans="1:11" ht="11.25" customHeight="1">
      <c r="A1" s="603"/>
      <c r="B1" s="603"/>
      <c r="C1" s="603"/>
      <c r="D1" s="603"/>
      <c r="E1" s="603"/>
      <c r="F1" s="603"/>
      <c r="G1" s="603"/>
      <c r="H1" s="603"/>
      <c r="I1" s="603"/>
      <c r="J1" s="604"/>
      <c r="K1" s="603"/>
    </row>
    <row r="2" spans="1:11" ht="17.25" customHeight="1">
      <c r="A2" s="603"/>
      <c r="B2" s="992" t="str">
        <f>'1-ABA-DE-CARREGAMENTO'!C11</f>
        <v xml:space="preserve"> S E R V I Ç O S     -    A G R O P E C U A R I O S </v>
      </c>
      <c r="C2" s="993"/>
      <c r="D2" s="993"/>
      <c r="E2" s="993"/>
      <c r="F2" s="993"/>
      <c r="G2" s="993"/>
      <c r="H2" s="993"/>
      <c r="I2" s="993"/>
      <c r="J2" s="994"/>
      <c r="K2" s="605"/>
    </row>
    <row r="3" spans="1:11" ht="11.25" customHeight="1">
      <c r="A3" s="603"/>
      <c r="B3" s="995" t="str">
        <f>'1-ABA-DE-CARREGAMENTO'!E33</f>
        <v>6410-15_TRATORISTA-em-Geral</v>
      </c>
      <c r="C3" s="941"/>
      <c r="D3" s="941"/>
      <c r="E3" s="941"/>
      <c r="F3" s="941"/>
      <c r="G3" s="941"/>
      <c r="H3" s="941"/>
      <c r="I3" s="941"/>
      <c r="J3" s="942"/>
      <c r="K3" s="606"/>
    </row>
    <row r="4" spans="1:11">
      <c r="A4" s="603"/>
      <c r="B4" s="990" t="s">
        <v>460</v>
      </c>
      <c r="C4" s="941"/>
      <c r="D4" s="941"/>
      <c r="E4" s="941"/>
      <c r="F4" s="942"/>
      <c r="G4" s="996" t="str">
        <f>'1-ABA-DE-CARREGAMENTO'!C12</f>
        <v>23243.000784/2022-23</v>
      </c>
      <c r="H4" s="941"/>
      <c r="I4" s="941"/>
      <c r="J4" s="942"/>
      <c r="K4" s="607"/>
    </row>
    <row r="5" spans="1:11" ht="11.25" customHeight="1">
      <c r="A5" s="603"/>
      <c r="B5" s="949" t="s">
        <v>461</v>
      </c>
      <c r="C5" s="884"/>
      <c r="D5" s="884"/>
      <c r="E5" s="884"/>
      <c r="F5" s="885"/>
      <c r="G5" s="997" t="str">
        <f>'1-ABA-DE-CARREGAMENTO'!C13</f>
        <v>36/2022</v>
      </c>
      <c r="H5" s="884"/>
      <c r="I5" s="884"/>
      <c r="J5" s="885"/>
      <c r="K5" s="607"/>
    </row>
    <row r="6" spans="1:11" ht="11.25" customHeight="1">
      <c r="A6" s="603"/>
      <c r="B6" s="998">
        <f>'1-ABA-DE-CARREGAMENTO'!C16</f>
        <v>0</v>
      </c>
      <c r="C6" s="884"/>
      <c r="D6" s="884"/>
      <c r="E6" s="884"/>
      <c r="F6" s="884"/>
      <c r="G6" s="884"/>
      <c r="H6" s="884"/>
      <c r="I6" s="884"/>
      <c r="J6" s="885"/>
      <c r="K6" s="609"/>
    </row>
    <row r="7" spans="1:11" ht="11.25" customHeight="1">
      <c r="A7" s="603"/>
      <c r="B7" s="976" t="s">
        <v>462</v>
      </c>
      <c r="C7" s="884"/>
      <c r="D7" s="884"/>
      <c r="E7" s="884"/>
      <c r="F7" s="884"/>
      <c r="G7" s="884"/>
      <c r="H7" s="884"/>
      <c r="I7" s="884"/>
      <c r="J7" s="885"/>
      <c r="K7" s="610"/>
    </row>
    <row r="8" spans="1:11" ht="11.25" customHeight="1">
      <c r="A8" s="603"/>
      <c r="B8" s="611" t="s">
        <v>463</v>
      </c>
      <c r="C8" s="949" t="s">
        <v>464</v>
      </c>
      <c r="D8" s="884"/>
      <c r="E8" s="884"/>
      <c r="F8" s="884"/>
      <c r="G8" s="884"/>
      <c r="H8" s="885"/>
      <c r="I8" s="999">
        <f>'1-ABA-DE-CARREGAMENTO'!C16</f>
        <v>0</v>
      </c>
      <c r="J8" s="885"/>
      <c r="K8" s="612"/>
    </row>
    <row r="9" spans="1:11" ht="11.25" customHeight="1">
      <c r="A9" s="603"/>
      <c r="B9" s="611" t="s">
        <v>465</v>
      </c>
      <c r="C9" s="949" t="s">
        <v>466</v>
      </c>
      <c r="D9" s="884"/>
      <c r="E9" s="884"/>
      <c r="F9" s="884"/>
      <c r="G9" s="884"/>
      <c r="H9" s="885"/>
      <c r="I9" s="997" t="str">
        <f>'1-ABA-DE-CARREGAMENTO'!C14</f>
        <v>JAGUARI</v>
      </c>
      <c r="J9" s="885"/>
      <c r="K9" s="607"/>
    </row>
    <row r="10" spans="1:11" ht="11.25" customHeight="1">
      <c r="A10" s="603"/>
      <c r="B10" s="611" t="s">
        <v>467</v>
      </c>
      <c r="C10" s="949" t="s">
        <v>468</v>
      </c>
      <c r="D10" s="884"/>
      <c r="E10" s="884"/>
      <c r="F10" s="884"/>
      <c r="G10" s="884"/>
      <c r="H10" s="885"/>
      <c r="I10" s="997" t="str">
        <f>VLOOKUP('1-ABA-DE-CARREGAMENTO'!D35,'DADOS-CADASTRAIS'!C6:O102,1,0)</f>
        <v>RS002758/2022</v>
      </c>
      <c r="J10" s="885"/>
      <c r="K10" s="607"/>
    </row>
    <row r="11" spans="1:11" ht="11.25" customHeight="1">
      <c r="A11" s="603"/>
      <c r="B11" s="611" t="s">
        <v>469</v>
      </c>
      <c r="C11" s="949" t="s">
        <v>470</v>
      </c>
      <c r="D11" s="884"/>
      <c r="E11" s="884"/>
      <c r="F11" s="884"/>
      <c r="G11" s="884"/>
      <c r="H11" s="885"/>
      <c r="I11" s="983">
        <f>'1-ABA-DE-CARREGAMENTO'!E94</f>
        <v>20</v>
      </c>
      <c r="J11" s="885"/>
      <c r="K11" s="607"/>
    </row>
    <row r="12" spans="1:11" ht="11.25" customHeight="1">
      <c r="A12" s="603"/>
      <c r="B12" s="984" t="s">
        <v>471</v>
      </c>
      <c r="C12" s="884"/>
      <c r="D12" s="884"/>
      <c r="E12" s="884"/>
      <c r="F12" s="884"/>
      <c r="G12" s="884"/>
      <c r="H12" s="884"/>
      <c r="I12" s="884"/>
      <c r="J12" s="885"/>
      <c r="K12" s="613"/>
    </row>
    <row r="13" spans="1:11" ht="11.25" customHeight="1">
      <c r="A13" s="603"/>
      <c r="B13" s="985" t="str">
        <f>'1-ABA-DE-CARREGAMENTO'!C11</f>
        <v xml:space="preserve"> S E R V I Ç O S     -    A G R O P E C U A R I O S </v>
      </c>
      <c r="C13" s="884"/>
      <c r="D13" s="884"/>
      <c r="E13" s="884"/>
      <c r="F13" s="907"/>
      <c r="G13" s="985" t="s">
        <v>472</v>
      </c>
      <c r="H13" s="885"/>
      <c r="I13" s="985" t="s">
        <v>473</v>
      </c>
      <c r="J13" s="885"/>
      <c r="K13" s="614"/>
    </row>
    <row r="14" spans="1:11" ht="11.25" hidden="1" customHeight="1" outlineLevel="1">
      <c r="A14" s="603"/>
      <c r="B14" s="986" t="s">
        <v>474</v>
      </c>
      <c r="C14" s="884"/>
      <c r="D14" s="884"/>
      <c r="E14" s="884"/>
      <c r="F14" s="885"/>
      <c r="G14" s="987" t="s">
        <v>475</v>
      </c>
      <c r="H14" s="885"/>
      <c r="I14" s="988" t="s">
        <v>476</v>
      </c>
      <c r="J14" s="885"/>
      <c r="K14" s="615"/>
    </row>
    <row r="15" spans="1:11" ht="11.25" hidden="1" customHeight="1" outlineLevel="1">
      <c r="A15" s="603"/>
      <c r="B15" s="986" t="s">
        <v>477</v>
      </c>
      <c r="C15" s="884"/>
      <c r="D15" s="884"/>
      <c r="E15" s="884"/>
      <c r="F15" s="885"/>
      <c r="G15" s="987" t="s">
        <v>475</v>
      </c>
      <c r="H15" s="885"/>
      <c r="I15" s="988" t="s">
        <v>476</v>
      </c>
      <c r="J15" s="885"/>
      <c r="K15" s="615"/>
    </row>
    <row r="16" spans="1:11" ht="11.25" hidden="1" customHeight="1" outlineLevel="1">
      <c r="A16" s="603"/>
      <c r="B16" s="986" t="s">
        <v>478</v>
      </c>
      <c r="C16" s="884"/>
      <c r="D16" s="884"/>
      <c r="E16" s="884"/>
      <c r="F16" s="885"/>
      <c r="G16" s="987" t="s">
        <v>475</v>
      </c>
      <c r="H16" s="885"/>
      <c r="I16" s="988" t="s">
        <v>476</v>
      </c>
      <c r="J16" s="885"/>
      <c r="K16" s="615"/>
    </row>
    <row r="17" spans="1:11" ht="11.25" customHeight="1" collapsed="1">
      <c r="A17" s="603"/>
      <c r="B17" s="986" t="str">
        <f>B3</f>
        <v>6410-15_TRATORISTA-em-Geral</v>
      </c>
      <c r="C17" s="884"/>
      <c r="D17" s="884"/>
      <c r="E17" s="884"/>
      <c r="F17" s="885"/>
      <c r="G17" s="987" t="s">
        <v>475</v>
      </c>
      <c r="H17" s="885"/>
      <c r="I17" s="988">
        <f>'1-ABA-DE-CARREGAMENTO'!E92</f>
        <v>1</v>
      </c>
      <c r="J17" s="885"/>
      <c r="K17" s="615"/>
    </row>
    <row r="18" spans="1:11" ht="11.25" hidden="1" customHeight="1" outlineLevel="1">
      <c r="A18" s="603"/>
      <c r="B18" s="986" t="s">
        <v>479</v>
      </c>
      <c r="C18" s="884"/>
      <c r="D18" s="884"/>
      <c r="E18" s="884"/>
      <c r="F18" s="885"/>
      <c r="G18" s="987" t="s">
        <v>475</v>
      </c>
      <c r="H18" s="885"/>
      <c r="I18" s="988" t="s">
        <v>476</v>
      </c>
      <c r="J18" s="885"/>
      <c r="K18" s="615"/>
    </row>
    <row r="19" spans="1:11" ht="11.25" hidden="1" customHeight="1" outlineLevel="1">
      <c r="A19" s="603"/>
      <c r="B19" s="986" t="s">
        <v>724</v>
      </c>
      <c r="C19" s="884"/>
      <c r="D19" s="884"/>
      <c r="E19" s="884"/>
      <c r="F19" s="885"/>
      <c r="G19" s="987" t="s">
        <v>475</v>
      </c>
      <c r="H19" s="885"/>
      <c r="I19" s="988" t="s">
        <v>476</v>
      </c>
      <c r="J19" s="885"/>
      <c r="K19" s="615"/>
    </row>
    <row r="20" spans="1:11" ht="11.25" customHeight="1" collapsed="1">
      <c r="A20" s="603"/>
      <c r="B20" s="1003" t="s">
        <v>481</v>
      </c>
      <c r="C20" s="884"/>
      <c r="D20" s="884"/>
      <c r="E20" s="884"/>
      <c r="F20" s="884"/>
      <c r="G20" s="884"/>
      <c r="H20" s="885"/>
      <c r="I20" s="1002">
        <f>SUM(I14:I19)</f>
        <v>1</v>
      </c>
      <c r="J20" s="885"/>
      <c r="K20" s="616"/>
    </row>
    <row r="21" spans="1:11" ht="9" customHeight="1">
      <c r="A21" s="603"/>
      <c r="B21" s="977"/>
      <c r="C21" s="884"/>
      <c r="D21" s="884"/>
      <c r="E21" s="884"/>
      <c r="F21" s="884"/>
      <c r="G21" s="884"/>
      <c r="H21" s="884"/>
      <c r="I21" s="884"/>
      <c r="J21" s="885"/>
      <c r="K21" s="614"/>
    </row>
    <row r="22" spans="1:11" ht="11.25" customHeight="1">
      <c r="A22" s="603"/>
      <c r="B22" s="1004" t="s">
        <v>482</v>
      </c>
      <c r="C22" s="884"/>
      <c r="D22" s="884"/>
      <c r="E22" s="884"/>
      <c r="F22" s="884"/>
      <c r="G22" s="884"/>
      <c r="H22" s="884"/>
      <c r="I22" s="884"/>
      <c r="J22" s="885"/>
      <c r="K22" s="617"/>
    </row>
    <row r="23" spans="1:11" ht="6.75" customHeight="1">
      <c r="A23" s="603"/>
      <c r="B23" s="950"/>
      <c r="C23" s="884"/>
      <c r="D23" s="884"/>
      <c r="E23" s="884"/>
      <c r="F23" s="884"/>
      <c r="G23" s="884"/>
      <c r="H23" s="884"/>
      <c r="I23" s="884"/>
      <c r="J23" s="885"/>
      <c r="K23" s="350"/>
    </row>
    <row r="24" spans="1:11" ht="11.25" customHeight="1">
      <c r="A24" s="603"/>
      <c r="B24" s="1005" t="s">
        <v>725</v>
      </c>
      <c r="C24" s="884"/>
      <c r="D24" s="884"/>
      <c r="E24" s="884"/>
      <c r="F24" s="884"/>
      <c r="G24" s="884"/>
      <c r="H24" s="884"/>
      <c r="I24" s="884"/>
      <c r="J24" s="885"/>
      <c r="K24" s="618"/>
    </row>
    <row r="25" spans="1:11" ht="9" customHeight="1">
      <c r="A25" s="603"/>
      <c r="B25" s="1006"/>
      <c r="C25" s="884"/>
      <c r="D25" s="884"/>
      <c r="E25" s="884"/>
      <c r="F25" s="884"/>
      <c r="G25" s="884"/>
      <c r="H25" s="884"/>
      <c r="I25" s="884"/>
      <c r="J25" s="885"/>
      <c r="K25" s="619"/>
    </row>
    <row r="26" spans="1:11" ht="11.25" customHeight="1">
      <c r="A26" s="614"/>
      <c r="B26" s="976" t="s">
        <v>484</v>
      </c>
      <c r="C26" s="884"/>
      <c r="D26" s="884"/>
      <c r="E26" s="884"/>
      <c r="F26" s="884"/>
      <c r="G26" s="884"/>
      <c r="H26" s="884"/>
      <c r="I26" s="884"/>
      <c r="J26" s="885"/>
      <c r="K26" s="610"/>
    </row>
    <row r="27" spans="1:11" ht="11.25" customHeight="1">
      <c r="A27" s="603"/>
      <c r="B27" s="611">
        <v>1</v>
      </c>
      <c r="C27" s="949" t="s">
        <v>485</v>
      </c>
      <c r="D27" s="884"/>
      <c r="E27" s="884"/>
      <c r="F27" s="884"/>
      <c r="G27" s="884"/>
      <c r="H27" s="885"/>
      <c r="I27" s="1007" t="str">
        <f>'1-ABA-DE-CARREGAMENTO'!E33</f>
        <v>6410-15_TRATORISTA-em-Geral</v>
      </c>
      <c r="J27" s="885"/>
      <c r="K27" s="620"/>
    </row>
    <row r="28" spans="1:11" ht="11.25" customHeight="1">
      <c r="A28" s="603"/>
      <c r="B28" s="621">
        <v>2</v>
      </c>
      <c r="C28" s="969" t="s">
        <v>486</v>
      </c>
      <c r="D28" s="884"/>
      <c r="E28" s="884"/>
      <c r="F28" s="884"/>
      <c r="G28" s="884"/>
      <c r="H28" s="885"/>
      <c r="I28" s="1009"/>
      <c r="J28" s="885"/>
      <c r="K28" s="622"/>
    </row>
    <row r="29" spans="1:11" ht="38.25" customHeight="1">
      <c r="A29" s="603"/>
      <c r="B29" s="611">
        <v>3</v>
      </c>
      <c r="C29" s="1010" t="s">
        <v>487</v>
      </c>
      <c r="D29" s="866"/>
      <c r="E29" s="788">
        <v>220</v>
      </c>
      <c r="F29" s="625">
        <f>'1-ABA-DE-CARREGAMENTO'!E37</f>
        <v>1890</v>
      </c>
      <c r="G29" s="608" t="s">
        <v>488</v>
      </c>
      <c r="H29" s="626">
        <f>'1-ABA-DE-CARREGAMENTO'!E52</f>
        <v>220</v>
      </c>
      <c r="I29" s="1011">
        <f>F29/E29*H29</f>
        <v>1890.0000000000002</v>
      </c>
      <c r="J29" s="885"/>
      <c r="K29" s="627"/>
    </row>
    <row r="30" spans="1:11" ht="11.25" customHeight="1">
      <c r="A30" s="603"/>
      <c r="B30" s="611">
        <v>4</v>
      </c>
      <c r="C30" s="949" t="s">
        <v>489</v>
      </c>
      <c r="D30" s="884"/>
      <c r="E30" s="884"/>
      <c r="F30" s="884"/>
      <c r="G30" s="884"/>
      <c r="H30" s="885"/>
      <c r="I30" s="989"/>
      <c r="J30" s="885"/>
      <c r="K30" s="628"/>
    </row>
    <row r="31" spans="1:11" ht="11.25" customHeight="1">
      <c r="A31" s="603"/>
      <c r="B31" s="611">
        <v>5</v>
      </c>
      <c r="C31" s="949" t="s">
        <v>490</v>
      </c>
      <c r="D31" s="884"/>
      <c r="E31" s="884"/>
      <c r="F31" s="884"/>
      <c r="G31" s="884"/>
      <c r="H31" s="885"/>
      <c r="I31" s="991" t="str">
        <f>'1-ABA-DE-CARREGAMENTO'!E36</f>
        <v>01 de MARÇO</v>
      </c>
      <c r="J31" s="885"/>
      <c r="K31" s="629"/>
    </row>
    <row r="32" spans="1:11" ht="26.25" customHeight="1">
      <c r="A32" s="603"/>
      <c r="B32" s="630">
        <v>6</v>
      </c>
      <c r="C32" s="953" t="s">
        <v>726</v>
      </c>
      <c r="D32" s="884"/>
      <c r="E32" s="884"/>
      <c r="F32" s="884"/>
      <c r="G32" s="884"/>
      <c r="H32" s="885"/>
      <c r="I32" s="961">
        <f>ROUND(I29/220,2)</f>
        <v>8.59</v>
      </c>
      <c r="J32" s="885"/>
      <c r="K32" s="631"/>
    </row>
    <row r="33" spans="1:11" ht="26.25" customHeight="1">
      <c r="A33" s="603"/>
      <c r="B33" s="630">
        <v>7</v>
      </c>
      <c r="C33" s="953" t="s">
        <v>727</v>
      </c>
      <c r="D33" s="884"/>
      <c r="E33" s="884"/>
      <c r="F33" s="885"/>
      <c r="G33" s="978"/>
      <c r="H33" s="885"/>
      <c r="I33" s="962">
        <f>SUM(I32)+((J50+J48)/220)</f>
        <v>9.6918181818181814</v>
      </c>
      <c r="J33" s="885"/>
      <c r="K33" s="631"/>
    </row>
    <row r="34" spans="1:11" ht="26.25" customHeight="1">
      <c r="A34" s="603"/>
      <c r="B34" s="630">
        <v>8</v>
      </c>
      <c r="C34" s="953" t="s">
        <v>728</v>
      </c>
      <c r="D34" s="884"/>
      <c r="E34" s="884"/>
      <c r="F34" s="885"/>
      <c r="G34" s="978"/>
      <c r="H34" s="885"/>
      <c r="I34" s="961">
        <f>TRUNC(I33*1.5,2)*0</f>
        <v>0</v>
      </c>
      <c r="J34" s="885"/>
      <c r="K34" s="631"/>
    </row>
    <row r="35" spans="1:11" ht="26.25" customHeight="1">
      <c r="A35" s="603"/>
      <c r="B35" s="630">
        <v>9</v>
      </c>
      <c r="C35" s="953" t="s">
        <v>729</v>
      </c>
      <c r="D35" s="884"/>
      <c r="E35" s="884"/>
      <c r="F35" s="885"/>
      <c r="G35" s="978" t="s">
        <v>495</v>
      </c>
      <c r="H35" s="885"/>
      <c r="I35" s="962">
        <f>I33*1.5</f>
        <v>14.537727272727272</v>
      </c>
      <c r="J35" s="885"/>
      <c r="K35" s="632"/>
    </row>
    <row r="36" spans="1:11" ht="26.25" customHeight="1">
      <c r="A36" s="603"/>
      <c r="B36" s="630">
        <v>10</v>
      </c>
      <c r="C36" s="953" t="s">
        <v>730</v>
      </c>
      <c r="D36" s="884"/>
      <c r="E36" s="884"/>
      <c r="F36" s="884"/>
      <c r="G36" s="884"/>
      <c r="H36" s="885"/>
      <c r="I36" s="961">
        <f>TRUNC(1.3*I32*0.2,2)</f>
        <v>2.23</v>
      </c>
      <c r="J36" s="885"/>
      <c r="K36" s="631"/>
    </row>
    <row r="37" spans="1:11" ht="26.25" customHeight="1">
      <c r="A37" s="603"/>
      <c r="B37" s="630">
        <v>11</v>
      </c>
      <c r="C37" s="953" t="s">
        <v>731</v>
      </c>
      <c r="D37" s="884"/>
      <c r="E37" s="884"/>
      <c r="F37" s="884"/>
      <c r="G37" s="884"/>
      <c r="H37" s="885"/>
      <c r="I37" s="962">
        <f>I33*2</f>
        <v>19.383636363636363</v>
      </c>
      <c r="J37" s="885"/>
      <c r="K37" s="631"/>
    </row>
    <row r="38" spans="1:11" ht="14.25" customHeight="1" outlineLevel="1">
      <c r="A38" s="603"/>
      <c r="B38" s="630">
        <v>12</v>
      </c>
      <c r="C38" s="953" t="s">
        <v>732</v>
      </c>
      <c r="D38" s="884"/>
      <c r="E38" s="884"/>
      <c r="F38" s="884"/>
      <c r="G38" s="884"/>
      <c r="H38" s="885"/>
      <c r="I38" s="961">
        <f>I29*'1-ABA-DE-CARREGAMENTO'!D44</f>
        <v>0</v>
      </c>
      <c r="J38" s="885"/>
      <c r="K38" s="631"/>
    </row>
    <row r="39" spans="1:11" ht="11.25" customHeight="1" outlineLevel="1">
      <c r="A39" s="603"/>
      <c r="B39" s="630">
        <v>13</v>
      </c>
      <c r="C39" s="953" t="s">
        <v>499</v>
      </c>
      <c r="D39" s="884"/>
      <c r="E39" s="884"/>
      <c r="F39" s="884"/>
      <c r="G39" s="884"/>
      <c r="H39" s="885"/>
      <c r="I39" s="961">
        <f>ROUND(I32/6,2)*1.3*0</f>
        <v>0</v>
      </c>
      <c r="J39" s="885"/>
      <c r="K39" s="631"/>
    </row>
    <row r="40" spans="1:11" ht="11.25" customHeight="1">
      <c r="A40" s="603"/>
      <c r="B40" s="630">
        <v>14</v>
      </c>
      <c r="C40" s="963" t="s">
        <v>500</v>
      </c>
      <c r="D40" s="884"/>
      <c r="E40" s="884"/>
      <c r="F40" s="884"/>
      <c r="G40" s="884"/>
      <c r="H40" s="885"/>
      <c r="I40" s="964">
        <f>'1-ABA-DE-CARREGAMENTO'!E93</f>
        <v>1</v>
      </c>
      <c r="J40" s="885"/>
      <c r="K40" s="633"/>
    </row>
    <row r="41" spans="1:11" ht="11.25" customHeight="1">
      <c r="A41" s="603"/>
      <c r="B41" s="630">
        <v>15</v>
      </c>
      <c r="C41" s="965" t="s">
        <v>501</v>
      </c>
      <c r="D41" s="884"/>
      <c r="E41" s="884"/>
      <c r="F41" s="884"/>
      <c r="G41" s="884"/>
      <c r="H41" s="885"/>
      <c r="I41" s="966">
        <f>'1-ABA-DE-CARREGAMENTO'!E42</f>
        <v>1212</v>
      </c>
      <c r="J41" s="885"/>
      <c r="K41" s="634"/>
    </row>
    <row r="42" spans="1:11" ht="6" customHeight="1">
      <c r="A42" s="603"/>
      <c r="B42" s="950"/>
      <c r="C42" s="884"/>
      <c r="D42" s="884"/>
      <c r="E42" s="884"/>
      <c r="F42" s="884"/>
      <c r="G42" s="884"/>
      <c r="H42" s="884"/>
      <c r="I42" s="884"/>
      <c r="J42" s="885"/>
      <c r="K42" s="350"/>
    </row>
    <row r="43" spans="1:11" ht="30" customHeight="1">
      <c r="A43" s="603"/>
      <c r="B43" s="960" t="s">
        <v>502</v>
      </c>
      <c r="C43" s="884"/>
      <c r="D43" s="884"/>
      <c r="E43" s="884"/>
      <c r="F43" s="884"/>
      <c r="G43" s="884"/>
      <c r="H43" s="884"/>
      <c r="I43" s="884"/>
      <c r="J43" s="885"/>
      <c r="K43" s="635"/>
    </row>
    <row r="44" spans="1:11" ht="6" customHeight="1">
      <c r="A44" s="603"/>
      <c r="B44" s="967"/>
      <c r="C44" s="884"/>
      <c r="D44" s="884"/>
      <c r="E44" s="884"/>
      <c r="F44" s="884"/>
      <c r="G44" s="884"/>
      <c r="H44" s="884"/>
      <c r="I44" s="884"/>
      <c r="J44" s="885"/>
      <c r="K44" s="636"/>
    </row>
    <row r="45" spans="1:11" ht="11.25" customHeight="1">
      <c r="A45" s="603"/>
      <c r="B45" s="968" t="s">
        <v>503</v>
      </c>
      <c r="C45" s="884"/>
      <c r="D45" s="884"/>
      <c r="E45" s="884"/>
      <c r="F45" s="884"/>
      <c r="G45" s="884"/>
      <c r="H45" s="884"/>
      <c r="I45" s="884"/>
      <c r="J45" s="885"/>
      <c r="K45" s="637"/>
    </row>
    <row r="46" spans="1:11" ht="11.25" customHeight="1">
      <c r="A46" s="638"/>
      <c r="B46" s="639">
        <v>1</v>
      </c>
      <c r="C46" s="952" t="s">
        <v>504</v>
      </c>
      <c r="D46" s="884"/>
      <c r="E46" s="884"/>
      <c r="F46" s="884"/>
      <c r="G46" s="884"/>
      <c r="H46" s="885"/>
      <c r="I46" s="640" t="s">
        <v>505</v>
      </c>
      <c r="J46" s="639" t="s">
        <v>506</v>
      </c>
      <c r="K46" s="613"/>
    </row>
    <row r="47" spans="1:11" ht="12.75" customHeight="1">
      <c r="A47" s="603"/>
      <c r="B47" s="611" t="s">
        <v>463</v>
      </c>
      <c r="C47" s="949" t="s">
        <v>507</v>
      </c>
      <c r="D47" s="884"/>
      <c r="E47" s="884"/>
      <c r="F47" s="885"/>
      <c r="G47" s="641" t="s">
        <v>170</v>
      </c>
      <c r="H47" s="642">
        <f>'1-ABA-DE-CARREGAMENTO'!E52</f>
        <v>220</v>
      </c>
      <c r="I47" s="641"/>
      <c r="J47" s="644">
        <f>I29*I40</f>
        <v>1890.0000000000002</v>
      </c>
      <c r="K47" s="645"/>
    </row>
    <row r="48" spans="1:11" ht="11.25" customHeight="1">
      <c r="A48" s="603"/>
      <c r="B48" s="611" t="s">
        <v>465</v>
      </c>
      <c r="C48" s="949" t="s">
        <v>508</v>
      </c>
      <c r="D48" s="884"/>
      <c r="E48" s="884"/>
      <c r="F48" s="981" t="str">
        <f>'1-ABA-DE-CARREGAMENTO'!E38</f>
        <v>SEM ADICIONAL DE FUNÇÃO</v>
      </c>
      <c r="G48" s="884"/>
      <c r="H48" s="885"/>
      <c r="I48" s="786">
        <f>'1-ABA-DE-CARREGAMENTO'!E39</f>
        <v>0</v>
      </c>
      <c r="J48" s="644">
        <f>J47*I48</f>
        <v>0</v>
      </c>
      <c r="K48" s="645"/>
    </row>
    <row r="49" spans="1:11" ht="33" customHeight="1">
      <c r="A49" s="603"/>
      <c r="B49" s="611" t="s">
        <v>467</v>
      </c>
      <c r="C49" s="949" t="s">
        <v>733</v>
      </c>
      <c r="D49" s="884"/>
      <c r="E49" s="884"/>
      <c r="F49" s="884"/>
      <c r="G49" s="884"/>
      <c r="H49" s="885"/>
      <c r="I49" s="754">
        <f>'1-ABA-DE-CARREGAMENTO'!E44</f>
        <v>0</v>
      </c>
      <c r="J49" s="644">
        <f>ROUND(J47*I49,2)</f>
        <v>0</v>
      </c>
      <c r="K49" s="645"/>
    </row>
    <row r="50" spans="1:11" ht="21.75" customHeight="1">
      <c r="A50" s="603"/>
      <c r="B50" s="611" t="s">
        <v>469</v>
      </c>
      <c r="C50" s="949" t="s">
        <v>734</v>
      </c>
      <c r="D50" s="884"/>
      <c r="E50" s="884"/>
      <c r="F50" s="884"/>
      <c r="G50" s="981" t="str">
        <f>'1-ABA-DE-CARREGAMENTO'!E40</f>
        <v>INSALUB S/MINIMO</v>
      </c>
      <c r="H50" s="885"/>
      <c r="I50" s="787">
        <f>'1-ABA-DE-CARREGAMENTO'!E41</f>
        <v>0.2</v>
      </c>
      <c r="J50" s="644">
        <f>ROUND(I50*I41,2)</f>
        <v>242.4</v>
      </c>
      <c r="K50" s="645"/>
    </row>
    <row r="51" spans="1:11" ht="30.75" hidden="1" customHeight="1" outlineLevel="1">
      <c r="A51" s="603"/>
      <c r="B51" s="611" t="s">
        <v>511</v>
      </c>
      <c r="C51" s="949" t="s">
        <v>735</v>
      </c>
      <c r="D51" s="884"/>
      <c r="E51" s="884"/>
      <c r="F51" s="884"/>
      <c r="G51" s="884"/>
      <c r="H51" s="884"/>
      <c r="I51" s="885"/>
      <c r="J51" s="644">
        <f>ROUND(2*8*15*I36,2)*0</f>
        <v>0</v>
      </c>
      <c r="K51" s="645"/>
    </row>
    <row r="52" spans="1:11" ht="38.25" hidden="1" customHeight="1" outlineLevel="1">
      <c r="A52" s="603"/>
      <c r="B52" s="611" t="s">
        <v>513</v>
      </c>
      <c r="C52" s="969" t="s">
        <v>736</v>
      </c>
      <c r="D52" s="884"/>
      <c r="E52" s="884"/>
      <c r="F52" s="884"/>
      <c r="G52" s="884"/>
      <c r="H52" s="884"/>
      <c r="I52" s="885"/>
      <c r="J52" s="644">
        <f>ROUND(I38*(((12*15)+15)-((44/6)*26))*I35,2)*0+ROUND(2*4.33*I35,2)*0</f>
        <v>0</v>
      </c>
      <c r="K52" s="645"/>
    </row>
    <row r="53" spans="1:11" ht="38.25" hidden="1" customHeight="1" outlineLevel="1">
      <c r="A53" s="603"/>
      <c r="B53" s="611" t="s">
        <v>515</v>
      </c>
      <c r="C53" s="969" t="s">
        <v>737</v>
      </c>
      <c r="D53" s="884"/>
      <c r="E53" s="884"/>
      <c r="F53" s="884"/>
      <c r="G53" s="884"/>
      <c r="H53" s="884"/>
      <c r="I53" s="885"/>
      <c r="J53" s="644">
        <f>ROUND(I39*I40*15,2)*0</f>
        <v>0</v>
      </c>
      <c r="K53" s="645"/>
    </row>
    <row r="54" spans="1:11" ht="27" customHeight="1" collapsed="1">
      <c r="A54" s="603"/>
      <c r="B54" s="611" t="s">
        <v>517</v>
      </c>
      <c r="C54" s="969" t="s">
        <v>518</v>
      </c>
      <c r="D54" s="884"/>
      <c r="E54" s="884"/>
      <c r="F54" s="982" t="s">
        <v>738</v>
      </c>
      <c r="G54" s="884"/>
      <c r="H54" s="884"/>
      <c r="I54" s="650">
        <f>'1-ABA-DE-CARREGAMENTO'!E65</f>
        <v>2.89</v>
      </c>
      <c r="J54" s="644">
        <f>ROUND((((SUM(J47:J50))/220)*1.5)*I54,2)</f>
        <v>42.02</v>
      </c>
      <c r="K54" s="645"/>
    </row>
    <row r="55" spans="1:11" ht="27" customHeight="1">
      <c r="A55" s="603"/>
      <c r="B55" s="611" t="s">
        <v>520</v>
      </c>
      <c r="C55" s="969" t="s">
        <v>521</v>
      </c>
      <c r="D55" s="884"/>
      <c r="E55" s="884"/>
      <c r="F55" s="982" t="s">
        <v>739</v>
      </c>
      <c r="G55" s="884"/>
      <c r="H55" s="884"/>
      <c r="I55" s="650">
        <f>'1-ABA-DE-CARREGAMENTO'!E68</f>
        <v>7.11</v>
      </c>
      <c r="J55" s="644">
        <f>ROUND((((SUM(J47:J50))/220)*2)*I55,2)</f>
        <v>137.83000000000001</v>
      </c>
      <c r="K55" s="645"/>
    </row>
    <row r="56" spans="1:11" ht="40.5" customHeight="1">
      <c r="A56" s="603"/>
      <c r="B56" s="611" t="s">
        <v>523</v>
      </c>
      <c r="C56" s="949" t="s">
        <v>740</v>
      </c>
      <c r="D56" s="884"/>
      <c r="E56" s="884"/>
      <c r="F56" s="884"/>
      <c r="G56" s="884"/>
      <c r="H56" s="884"/>
      <c r="I56" s="885"/>
      <c r="J56" s="644">
        <f>ROUND(((J54+J55)/25)*5,2)</f>
        <v>35.97</v>
      </c>
      <c r="K56" s="645"/>
    </row>
    <row r="57" spans="1:11" ht="11.25" customHeight="1">
      <c r="A57" s="603"/>
      <c r="B57" s="611" t="s">
        <v>525</v>
      </c>
      <c r="C57" s="949" t="s">
        <v>526</v>
      </c>
      <c r="D57" s="884"/>
      <c r="E57" s="884"/>
      <c r="F57" s="884"/>
      <c r="G57" s="884"/>
      <c r="H57" s="884"/>
      <c r="I57" s="885"/>
      <c r="J57" s="651" t="s">
        <v>476</v>
      </c>
      <c r="K57" s="652"/>
    </row>
    <row r="58" spans="1:11" ht="33.75" customHeight="1">
      <c r="A58" s="603"/>
      <c r="B58" s="976" t="s">
        <v>527</v>
      </c>
      <c r="C58" s="884"/>
      <c r="D58" s="884"/>
      <c r="E58" s="884"/>
      <c r="F58" s="884"/>
      <c r="G58" s="884"/>
      <c r="H58" s="884"/>
      <c r="I58" s="885"/>
      <c r="J58" s="653">
        <f>SUM(J47:J57)</f>
        <v>2348.2199999999998</v>
      </c>
      <c r="K58" s="654"/>
    </row>
    <row r="59" spans="1:11" ht="6" customHeight="1">
      <c r="A59" s="603"/>
      <c r="B59" s="655"/>
      <c r="C59" s="955"/>
      <c r="D59" s="884"/>
      <c r="E59" s="884"/>
      <c r="F59" s="884"/>
      <c r="G59" s="884"/>
      <c r="H59" s="884"/>
      <c r="I59" s="885"/>
      <c r="J59" s="656"/>
      <c r="K59" s="654"/>
    </row>
    <row r="60" spans="1:11" ht="26.25" customHeight="1">
      <c r="A60" s="603"/>
      <c r="B60" s="611" t="s">
        <v>517</v>
      </c>
      <c r="C60" s="949" t="s">
        <v>741</v>
      </c>
      <c r="D60" s="884"/>
      <c r="E60" s="884"/>
      <c r="F60" s="884"/>
      <c r="G60" s="884"/>
      <c r="H60" s="884"/>
      <c r="I60" s="885"/>
      <c r="J60" s="644">
        <f>ROUND(I34*15*I40*0.5,2)*0</f>
        <v>0</v>
      </c>
      <c r="K60" s="645"/>
    </row>
    <row r="61" spans="1:11" ht="36" customHeight="1">
      <c r="A61" s="603"/>
      <c r="B61" s="976" t="s">
        <v>742</v>
      </c>
      <c r="C61" s="884"/>
      <c r="D61" s="884"/>
      <c r="E61" s="884"/>
      <c r="F61" s="884"/>
      <c r="G61" s="884"/>
      <c r="H61" s="884"/>
      <c r="I61" s="885"/>
      <c r="J61" s="653">
        <f>J60</f>
        <v>0</v>
      </c>
      <c r="K61" s="654"/>
    </row>
    <row r="62" spans="1:11" ht="6" customHeight="1">
      <c r="A62" s="603"/>
      <c r="B62" s="977"/>
      <c r="C62" s="884"/>
      <c r="D62" s="884"/>
      <c r="E62" s="884"/>
      <c r="F62" s="884"/>
      <c r="G62" s="884"/>
      <c r="H62" s="884"/>
      <c r="I62" s="884"/>
      <c r="J62" s="885"/>
      <c r="K62" s="614"/>
    </row>
    <row r="63" spans="1:11" ht="48" customHeight="1">
      <c r="A63" s="603"/>
      <c r="B63" s="954" t="s">
        <v>743</v>
      </c>
      <c r="C63" s="884"/>
      <c r="D63" s="884"/>
      <c r="E63" s="884"/>
      <c r="F63" s="884"/>
      <c r="G63" s="884"/>
      <c r="H63" s="884"/>
      <c r="I63" s="885"/>
      <c r="J63" s="657">
        <f>J58+J61</f>
        <v>2348.2199999999998</v>
      </c>
      <c r="K63" s="658"/>
    </row>
    <row r="64" spans="1:11" ht="6" customHeight="1">
      <c r="A64" s="603"/>
      <c r="B64" s="955"/>
      <c r="C64" s="884"/>
      <c r="D64" s="884"/>
      <c r="E64" s="884"/>
      <c r="F64" s="884"/>
      <c r="G64" s="884"/>
      <c r="H64" s="884"/>
      <c r="I64" s="884"/>
      <c r="J64" s="885"/>
      <c r="K64" s="659"/>
    </row>
    <row r="65" spans="1:11" ht="13.5" customHeight="1">
      <c r="A65" s="603"/>
      <c r="B65" s="956" t="s">
        <v>531</v>
      </c>
      <c r="C65" s="884"/>
      <c r="D65" s="884"/>
      <c r="E65" s="884"/>
      <c r="F65" s="884"/>
      <c r="G65" s="884"/>
      <c r="H65" s="884"/>
      <c r="I65" s="884"/>
      <c r="J65" s="885"/>
      <c r="K65" s="660"/>
    </row>
    <row r="66" spans="1:11" ht="6" customHeight="1">
      <c r="A66" s="603"/>
      <c r="B66" s="955"/>
      <c r="C66" s="884"/>
      <c r="D66" s="884"/>
      <c r="E66" s="884"/>
      <c r="F66" s="884"/>
      <c r="G66" s="884"/>
      <c r="H66" s="884"/>
      <c r="I66" s="884"/>
      <c r="J66" s="885"/>
      <c r="K66" s="659"/>
    </row>
    <row r="67" spans="1:11" ht="11.25" customHeight="1">
      <c r="A67" s="603"/>
      <c r="B67" s="957" t="s">
        <v>532</v>
      </c>
      <c r="C67" s="884"/>
      <c r="D67" s="884"/>
      <c r="E67" s="884"/>
      <c r="F67" s="884"/>
      <c r="G67" s="884"/>
      <c r="H67" s="884"/>
      <c r="I67" s="884"/>
      <c r="J67" s="885"/>
      <c r="K67" s="661"/>
    </row>
    <row r="68" spans="1:11" ht="18" customHeight="1">
      <c r="A68" s="603"/>
      <c r="B68" s="979" t="s">
        <v>744</v>
      </c>
      <c r="C68" s="884"/>
      <c r="D68" s="884"/>
      <c r="E68" s="884"/>
      <c r="F68" s="884"/>
      <c r="G68" s="884"/>
      <c r="H68" s="884"/>
      <c r="I68" s="884"/>
      <c r="J68" s="885"/>
      <c r="K68" s="662"/>
    </row>
    <row r="69" spans="1:11" ht="11.25" customHeight="1">
      <c r="A69" s="603"/>
      <c r="B69" s="663" t="s">
        <v>534</v>
      </c>
      <c r="C69" s="980" t="s">
        <v>745</v>
      </c>
      <c r="D69" s="884"/>
      <c r="E69" s="884"/>
      <c r="F69" s="884"/>
      <c r="G69" s="884"/>
      <c r="H69" s="884"/>
      <c r="I69" s="885"/>
      <c r="J69" s="664" t="s">
        <v>536</v>
      </c>
      <c r="K69" s="665"/>
    </row>
    <row r="70" spans="1:11" ht="11.25" customHeight="1">
      <c r="A70" s="603"/>
      <c r="B70" s="663" t="s">
        <v>463</v>
      </c>
      <c r="C70" s="969" t="s">
        <v>746</v>
      </c>
      <c r="D70" s="884"/>
      <c r="E70" s="884"/>
      <c r="F70" s="884"/>
      <c r="G70" s="884"/>
      <c r="H70" s="885"/>
      <c r="I70" s="666">
        <v>8.3299999999999999E-2</v>
      </c>
      <c r="J70" s="667">
        <f>ROUND(J58*I70,2)</f>
        <v>195.61</v>
      </c>
      <c r="K70" s="668"/>
    </row>
    <row r="71" spans="1:11" ht="11.25" customHeight="1">
      <c r="A71" s="603"/>
      <c r="B71" s="663" t="s">
        <v>465</v>
      </c>
      <c r="C71" s="970" t="s">
        <v>747</v>
      </c>
      <c r="D71" s="884"/>
      <c r="E71" s="884"/>
      <c r="F71" s="884"/>
      <c r="G71" s="884"/>
      <c r="H71" s="885"/>
      <c r="I71" s="669">
        <v>3.0249999999999999E-2</v>
      </c>
      <c r="J71" s="667">
        <f>ROUND(J58*I71,2)</f>
        <v>71.03</v>
      </c>
      <c r="K71" s="668"/>
    </row>
    <row r="72" spans="1:11" ht="11.25" customHeight="1">
      <c r="A72" s="603"/>
      <c r="B72" s="971" t="s">
        <v>539</v>
      </c>
      <c r="C72" s="884"/>
      <c r="D72" s="884"/>
      <c r="E72" s="884"/>
      <c r="F72" s="884"/>
      <c r="G72" s="884"/>
      <c r="H72" s="884"/>
      <c r="I72" s="885"/>
      <c r="J72" s="670">
        <f>SUM(J70+J71)</f>
        <v>266.64</v>
      </c>
      <c r="K72" s="671"/>
    </row>
    <row r="73" spans="1:11" ht="6.75" customHeight="1">
      <c r="A73" s="603"/>
      <c r="B73" s="972"/>
      <c r="C73" s="884"/>
      <c r="D73" s="884"/>
      <c r="E73" s="884"/>
      <c r="F73" s="884"/>
      <c r="G73" s="884"/>
      <c r="H73" s="884"/>
      <c r="I73" s="884"/>
      <c r="J73" s="885"/>
      <c r="K73" s="672"/>
    </row>
    <row r="74" spans="1:11" ht="90" customHeight="1">
      <c r="A74" s="603"/>
      <c r="B74" s="960" t="s">
        <v>748</v>
      </c>
      <c r="C74" s="884"/>
      <c r="D74" s="884"/>
      <c r="E74" s="884"/>
      <c r="F74" s="884"/>
      <c r="G74" s="884"/>
      <c r="H74" s="884"/>
      <c r="I74" s="884"/>
      <c r="J74" s="885"/>
      <c r="K74" s="635"/>
    </row>
    <row r="75" spans="1:11" ht="6.75" customHeight="1">
      <c r="A75" s="603"/>
      <c r="B75" s="973"/>
      <c r="C75" s="884"/>
      <c r="D75" s="884"/>
      <c r="E75" s="884"/>
      <c r="F75" s="884"/>
      <c r="G75" s="884"/>
      <c r="H75" s="884"/>
      <c r="I75" s="884"/>
      <c r="J75" s="885"/>
      <c r="K75" s="635"/>
    </row>
    <row r="76" spans="1:11" ht="28.5" customHeight="1">
      <c r="A76" s="603"/>
      <c r="B76" s="974" t="s">
        <v>749</v>
      </c>
      <c r="C76" s="884"/>
      <c r="D76" s="884"/>
      <c r="E76" s="884"/>
      <c r="F76" s="884"/>
      <c r="G76" s="884"/>
      <c r="H76" s="884"/>
      <c r="I76" s="884"/>
      <c r="J76" s="885"/>
      <c r="K76" s="673"/>
    </row>
    <row r="77" spans="1:11" ht="11.25" customHeight="1">
      <c r="A77" s="603"/>
      <c r="B77" s="674" t="s">
        <v>542</v>
      </c>
      <c r="C77" s="975" t="s">
        <v>543</v>
      </c>
      <c r="D77" s="884"/>
      <c r="E77" s="884"/>
      <c r="F77" s="884"/>
      <c r="G77" s="884"/>
      <c r="H77" s="885"/>
      <c r="I77" s="675" t="s">
        <v>505</v>
      </c>
      <c r="J77" s="676" t="s">
        <v>544</v>
      </c>
      <c r="K77" s="665"/>
    </row>
    <row r="78" spans="1:11" ht="11.25" customHeight="1">
      <c r="A78" s="603"/>
      <c r="B78" s="677" t="s">
        <v>463</v>
      </c>
      <c r="C78" s="949" t="s">
        <v>545</v>
      </c>
      <c r="D78" s="884"/>
      <c r="E78" s="884"/>
      <c r="F78" s="884"/>
      <c r="G78" s="884"/>
      <c r="H78" s="885"/>
      <c r="I78" s="678">
        <v>0.2</v>
      </c>
      <c r="J78" s="679">
        <f>ROUND((J58+J72)*I78,2)</f>
        <v>522.97</v>
      </c>
      <c r="K78" s="671"/>
    </row>
    <row r="79" spans="1:11" ht="11.25" customHeight="1">
      <c r="A79" s="603"/>
      <c r="B79" s="677" t="s">
        <v>465</v>
      </c>
      <c r="C79" s="949" t="s">
        <v>546</v>
      </c>
      <c r="D79" s="884"/>
      <c r="E79" s="884"/>
      <c r="F79" s="884"/>
      <c r="G79" s="884"/>
      <c r="H79" s="885"/>
      <c r="I79" s="678">
        <v>2.5000000000000001E-2</v>
      </c>
      <c r="J79" s="679">
        <f>ROUND((J58+J72)*I79,2)</f>
        <v>65.37</v>
      </c>
      <c r="K79" s="671"/>
    </row>
    <row r="80" spans="1:11" ht="48.75" customHeight="1">
      <c r="A80" s="603"/>
      <c r="B80" s="677" t="s">
        <v>467</v>
      </c>
      <c r="C80" s="949" t="s">
        <v>750</v>
      </c>
      <c r="D80" s="885"/>
      <c r="E80" s="623" t="s">
        <v>548</v>
      </c>
      <c r="F80" s="680">
        <f>'1-ABA-DE-CARREGAMENTO'!E57</f>
        <v>0.03</v>
      </c>
      <c r="G80" s="623" t="s">
        <v>549</v>
      </c>
      <c r="H80" s="681">
        <f>'1-ABA-DE-CARREGAMENTO'!E58</f>
        <v>1</v>
      </c>
      <c r="I80" s="682">
        <f>ROUND((F80*H80),6)</f>
        <v>0.03</v>
      </c>
      <c r="J80" s="679">
        <f>ROUND((J58+J72)*I80,2)</f>
        <v>78.45</v>
      </c>
      <c r="K80" s="671"/>
    </row>
    <row r="81" spans="1:11" ht="11.25" customHeight="1">
      <c r="A81" s="603"/>
      <c r="B81" s="677" t="s">
        <v>469</v>
      </c>
      <c r="C81" s="949" t="s">
        <v>550</v>
      </c>
      <c r="D81" s="884"/>
      <c r="E81" s="884"/>
      <c r="F81" s="884"/>
      <c r="G81" s="884"/>
      <c r="H81" s="885"/>
      <c r="I81" s="678">
        <v>1.4999999999999999E-2</v>
      </c>
      <c r="J81" s="679">
        <f>ROUND((J58+J72)*I81,2)</f>
        <v>39.22</v>
      </c>
      <c r="K81" s="671"/>
    </row>
    <row r="82" spans="1:11" ht="11.25" customHeight="1">
      <c r="A82" s="603"/>
      <c r="B82" s="677" t="s">
        <v>511</v>
      </c>
      <c r="C82" s="949" t="s">
        <v>551</v>
      </c>
      <c r="D82" s="884"/>
      <c r="E82" s="884"/>
      <c r="F82" s="884"/>
      <c r="G82" s="884"/>
      <c r="H82" s="885"/>
      <c r="I82" s="678">
        <v>0.01</v>
      </c>
      <c r="J82" s="679">
        <f>ROUND((J58+J72)*I82,2)</f>
        <v>26.15</v>
      </c>
      <c r="K82" s="671"/>
    </row>
    <row r="83" spans="1:11" ht="11.25" customHeight="1">
      <c r="A83" s="603"/>
      <c r="B83" s="677" t="s">
        <v>513</v>
      </c>
      <c r="C83" s="949" t="s">
        <v>552</v>
      </c>
      <c r="D83" s="884"/>
      <c r="E83" s="884"/>
      <c r="F83" s="884"/>
      <c r="G83" s="884"/>
      <c r="H83" s="885"/>
      <c r="I83" s="678">
        <v>6.0000000000000001E-3</v>
      </c>
      <c r="J83" s="679">
        <f>ROUND((J58+J72)*I83,2)</f>
        <v>15.69</v>
      </c>
      <c r="K83" s="671"/>
    </row>
    <row r="84" spans="1:11" ht="11.25" customHeight="1">
      <c r="A84" s="603"/>
      <c r="B84" s="677" t="s">
        <v>515</v>
      </c>
      <c r="C84" s="949" t="s">
        <v>553</v>
      </c>
      <c r="D84" s="884"/>
      <c r="E84" s="884"/>
      <c r="F84" s="884"/>
      <c r="G84" s="884"/>
      <c r="H84" s="885"/>
      <c r="I84" s="678">
        <v>2E-3</v>
      </c>
      <c r="J84" s="679">
        <f>ROUND((J58+J72)*I84,2)</f>
        <v>5.23</v>
      </c>
      <c r="K84" s="671"/>
    </row>
    <row r="85" spans="1:11" ht="11.25" customHeight="1">
      <c r="A85" s="603"/>
      <c r="B85" s="677" t="s">
        <v>517</v>
      </c>
      <c r="C85" s="949" t="s">
        <v>554</v>
      </c>
      <c r="D85" s="884"/>
      <c r="E85" s="884"/>
      <c r="F85" s="884"/>
      <c r="G85" s="884"/>
      <c r="H85" s="885"/>
      <c r="I85" s="678">
        <v>0.08</v>
      </c>
      <c r="J85" s="679">
        <f>ROUND((J58+J72)*I85,2)</f>
        <v>209.19</v>
      </c>
      <c r="K85" s="671"/>
    </row>
    <row r="86" spans="1:11" ht="11.25" customHeight="1">
      <c r="A86" s="603"/>
      <c r="B86" s="959" t="s">
        <v>539</v>
      </c>
      <c r="C86" s="884"/>
      <c r="D86" s="884"/>
      <c r="E86" s="884"/>
      <c r="F86" s="884"/>
      <c r="G86" s="884"/>
      <c r="H86" s="885"/>
      <c r="I86" s="683">
        <f t="shared" ref="I86:J86" si="0">SUM(I78:I85)</f>
        <v>0.36800000000000005</v>
      </c>
      <c r="J86" s="670">
        <f t="shared" si="0"/>
        <v>962.27000000000021</v>
      </c>
      <c r="K86" s="671"/>
    </row>
    <row r="87" spans="1:11" ht="6.75" customHeight="1">
      <c r="A87" s="603"/>
      <c r="B87" s="684"/>
      <c r="C87" s="685"/>
      <c r="D87" s="685"/>
      <c r="E87" s="685"/>
      <c r="F87" s="685"/>
      <c r="G87" s="685"/>
      <c r="H87" s="685"/>
      <c r="I87" s="686"/>
      <c r="J87" s="687"/>
      <c r="K87" s="671"/>
    </row>
    <row r="88" spans="1:11" ht="11.25" customHeight="1">
      <c r="A88" s="603"/>
      <c r="B88" s="960" t="s">
        <v>555</v>
      </c>
      <c r="C88" s="884"/>
      <c r="D88" s="884"/>
      <c r="E88" s="884"/>
      <c r="F88" s="884"/>
      <c r="G88" s="884"/>
      <c r="H88" s="884"/>
      <c r="I88" s="884"/>
      <c r="J88" s="885"/>
      <c r="K88" s="635"/>
    </row>
    <row r="89" spans="1:11" ht="7.5" customHeight="1">
      <c r="A89" s="603"/>
      <c r="B89" s="950"/>
      <c r="C89" s="884"/>
      <c r="D89" s="884"/>
      <c r="E89" s="884"/>
      <c r="F89" s="884"/>
      <c r="G89" s="884"/>
      <c r="H89" s="884"/>
      <c r="I89" s="884"/>
      <c r="J89" s="885"/>
      <c r="K89" s="350"/>
    </row>
    <row r="90" spans="1:11" ht="11.25" customHeight="1">
      <c r="A90" s="603"/>
      <c r="B90" s="951" t="s">
        <v>556</v>
      </c>
      <c r="C90" s="884"/>
      <c r="D90" s="884"/>
      <c r="E90" s="884"/>
      <c r="F90" s="884"/>
      <c r="G90" s="884"/>
      <c r="H90" s="884"/>
      <c r="I90" s="884"/>
      <c r="J90" s="885"/>
      <c r="K90" s="662"/>
    </row>
    <row r="91" spans="1:11" ht="11.25" customHeight="1">
      <c r="A91" s="603"/>
      <c r="B91" s="688" t="s">
        <v>557</v>
      </c>
      <c r="C91" s="952" t="s">
        <v>558</v>
      </c>
      <c r="D91" s="884"/>
      <c r="E91" s="884"/>
      <c r="F91" s="884"/>
      <c r="G91" s="884"/>
      <c r="H91" s="884"/>
      <c r="I91" s="885"/>
      <c r="J91" s="689" t="s">
        <v>536</v>
      </c>
      <c r="K91" s="613"/>
    </row>
    <row r="92" spans="1:11" ht="12.75" customHeight="1">
      <c r="A92" s="603"/>
      <c r="B92" s="690" t="s">
        <v>463</v>
      </c>
      <c r="C92" s="949" t="s">
        <v>751</v>
      </c>
      <c r="D92" s="884"/>
      <c r="E92" s="884"/>
      <c r="F92" s="884"/>
      <c r="G92" s="884"/>
      <c r="H92" s="885"/>
      <c r="I92" s="691">
        <f>J47</f>
        <v>1890.0000000000002</v>
      </c>
      <c r="J92" s="692">
        <f>IF(ROUND((I93*I95*I94)-(J47*I96),2)&lt;0,0,ROUND((I93*I95*I94)-(J47*I96),2))</f>
        <v>330</v>
      </c>
      <c r="K92" s="671"/>
    </row>
    <row r="93" spans="1:11" ht="11.25" customHeight="1">
      <c r="A93" s="603"/>
      <c r="B93" s="690" t="s">
        <v>465</v>
      </c>
      <c r="C93" s="949" t="s">
        <v>752</v>
      </c>
      <c r="D93" s="884"/>
      <c r="E93" s="884"/>
      <c r="F93" s="884"/>
      <c r="G93" s="884"/>
      <c r="H93" s="884"/>
      <c r="I93" s="693">
        <f>'1-ABA-DE-CARREGAMENTO'!E72</f>
        <v>6.6</v>
      </c>
      <c r="J93" s="694" t="s">
        <v>476</v>
      </c>
      <c r="K93" s="652"/>
    </row>
    <row r="94" spans="1:11" ht="11.25" customHeight="1">
      <c r="A94" s="603"/>
      <c r="B94" s="690" t="s">
        <v>467</v>
      </c>
      <c r="C94" s="949" t="s">
        <v>753</v>
      </c>
      <c r="D94" s="884"/>
      <c r="E94" s="884"/>
      <c r="F94" s="884"/>
      <c r="G94" s="884"/>
      <c r="H94" s="885"/>
      <c r="I94" s="695">
        <f>'1-ABA-DE-CARREGAMENTO'!E73</f>
        <v>2</v>
      </c>
      <c r="J94" s="694" t="s">
        <v>476</v>
      </c>
      <c r="K94" s="652"/>
    </row>
    <row r="95" spans="1:11" ht="11.25" customHeight="1">
      <c r="A95" s="603"/>
      <c r="B95" s="690" t="s">
        <v>469</v>
      </c>
      <c r="C95" s="953" t="s">
        <v>562</v>
      </c>
      <c r="D95" s="884"/>
      <c r="E95" s="884"/>
      <c r="F95" s="884"/>
      <c r="G95" s="884"/>
      <c r="H95" s="885"/>
      <c r="I95" s="695">
        <f>'1-ABA-DE-CARREGAMENTO'!E74</f>
        <v>25</v>
      </c>
      <c r="J95" s="694" t="s">
        <v>476</v>
      </c>
      <c r="K95" s="652"/>
    </row>
    <row r="96" spans="1:11" ht="24" customHeight="1">
      <c r="A96" s="603"/>
      <c r="B96" s="690" t="s">
        <v>511</v>
      </c>
      <c r="C96" s="953" t="s">
        <v>754</v>
      </c>
      <c r="D96" s="884"/>
      <c r="E96" s="884"/>
      <c r="F96" s="884"/>
      <c r="G96" s="884"/>
      <c r="H96" s="885"/>
      <c r="I96" s="696">
        <f>'1-ABA-DE-CARREGAMENTO'!E75</f>
        <v>0</v>
      </c>
      <c r="J96" s="697" t="s">
        <v>476</v>
      </c>
      <c r="K96" s="652"/>
    </row>
    <row r="97" spans="1:11" ht="12.75" customHeight="1">
      <c r="A97" s="603"/>
      <c r="B97" s="690" t="s">
        <v>513</v>
      </c>
      <c r="C97" s="949" t="s">
        <v>755</v>
      </c>
      <c r="D97" s="884"/>
      <c r="E97" s="884"/>
      <c r="F97" s="884"/>
      <c r="G97" s="884"/>
      <c r="H97" s="884"/>
      <c r="I97" s="885"/>
      <c r="J97" s="692">
        <f>ROUND(I98*I99,2)-ROUND((I98*I99)*I100,2)</f>
        <v>408.64</v>
      </c>
      <c r="K97" s="671"/>
    </row>
    <row r="98" spans="1:11" ht="15.75" customHeight="1">
      <c r="A98" s="603"/>
      <c r="B98" s="690" t="s">
        <v>515</v>
      </c>
      <c r="C98" s="949" t="s">
        <v>756</v>
      </c>
      <c r="D98" s="884"/>
      <c r="E98" s="884"/>
      <c r="F98" s="884"/>
      <c r="G98" s="884"/>
      <c r="H98" s="885"/>
      <c r="I98" s="693">
        <f>IF('1-ABA-DE-CARREGAMENTO'!E60&gt;0,'1-ABA-DE-CARREGAMENTO'!E60,'1-ABA-DE-CARREGAMENTO'!E63)</f>
        <v>20.18</v>
      </c>
      <c r="J98" s="699"/>
      <c r="K98" s="652"/>
    </row>
    <row r="99" spans="1:11" ht="18" customHeight="1">
      <c r="A99" s="603"/>
      <c r="B99" s="690" t="s">
        <v>517</v>
      </c>
      <c r="C99" s="949" t="s">
        <v>757</v>
      </c>
      <c r="D99" s="884"/>
      <c r="E99" s="884"/>
      <c r="F99" s="884"/>
      <c r="G99" s="884"/>
      <c r="H99" s="885"/>
      <c r="I99" s="695">
        <f>'1-ABA-DE-CARREGAMENTO'!E62</f>
        <v>25</v>
      </c>
      <c r="J99" s="699"/>
      <c r="K99" s="652"/>
    </row>
    <row r="100" spans="1:11" ht="23.25" customHeight="1">
      <c r="A100" s="603"/>
      <c r="B100" s="690" t="s">
        <v>520</v>
      </c>
      <c r="C100" s="958" t="s">
        <v>758</v>
      </c>
      <c r="D100" s="884"/>
      <c r="E100" s="884"/>
      <c r="F100" s="884"/>
      <c r="G100" s="884"/>
      <c r="H100" s="885"/>
      <c r="I100" s="696">
        <f>'1-ABA-DE-CARREGAMENTO'!E61</f>
        <v>0.19</v>
      </c>
      <c r="J100" s="701"/>
      <c r="K100" s="652"/>
    </row>
    <row r="101" spans="1:11" ht="11.25" hidden="1" customHeight="1" outlineLevel="1">
      <c r="A101" s="603"/>
      <c r="B101" s="690" t="s">
        <v>523</v>
      </c>
      <c r="C101" s="949" t="s">
        <v>568</v>
      </c>
      <c r="D101" s="884"/>
      <c r="E101" s="884"/>
      <c r="F101" s="884"/>
      <c r="G101" s="884"/>
      <c r="H101" s="884"/>
      <c r="I101" s="884"/>
      <c r="J101" s="679">
        <v>0</v>
      </c>
      <c r="K101" s="671"/>
    </row>
    <row r="102" spans="1:11" ht="32.25" hidden="1" customHeight="1" outlineLevel="1">
      <c r="A102" s="603"/>
      <c r="B102" s="690" t="s">
        <v>525</v>
      </c>
      <c r="C102" s="949" t="s">
        <v>759</v>
      </c>
      <c r="D102" s="884"/>
      <c r="E102" s="884"/>
      <c r="F102" s="884"/>
      <c r="G102" s="884"/>
      <c r="H102" s="884"/>
      <c r="I102" s="884"/>
      <c r="J102" s="679">
        <f>'1-ABA-DE-CARREGAMENTO'!E77</f>
        <v>0</v>
      </c>
      <c r="K102" s="671"/>
    </row>
    <row r="103" spans="1:11" ht="32.25" hidden="1" customHeight="1" outlineLevel="1">
      <c r="A103" s="603"/>
      <c r="B103" s="690" t="s">
        <v>570</v>
      </c>
      <c r="C103" s="949" t="s">
        <v>760</v>
      </c>
      <c r="D103" s="884"/>
      <c r="E103" s="884"/>
      <c r="F103" s="884"/>
      <c r="G103" s="884"/>
      <c r="H103" s="884"/>
      <c r="I103" s="885"/>
      <c r="J103" s="679">
        <f>'1-ABA-DE-CARREGAMENTO'!E78</f>
        <v>0</v>
      </c>
      <c r="K103" s="671"/>
    </row>
    <row r="104" spans="1:11" ht="11.25" hidden="1" customHeight="1" outlineLevel="1">
      <c r="A104" s="603"/>
      <c r="B104" s="690" t="s">
        <v>572</v>
      </c>
      <c r="C104" s="949" t="s">
        <v>761</v>
      </c>
      <c r="D104" s="884"/>
      <c r="E104" s="884"/>
      <c r="F104" s="884"/>
      <c r="G104" s="884"/>
      <c r="H104" s="884"/>
      <c r="I104" s="885"/>
      <c r="J104" s="679">
        <f>'1-ABA-DE-CARREGAMENTO'!E76</f>
        <v>0</v>
      </c>
      <c r="K104" s="671"/>
    </row>
    <row r="105" spans="1:11" ht="11.25" customHeight="1" collapsed="1">
      <c r="A105" s="603"/>
      <c r="B105" s="690" t="s">
        <v>182</v>
      </c>
      <c r="C105" s="1017" t="s">
        <v>574</v>
      </c>
      <c r="D105" s="884"/>
      <c r="E105" s="884"/>
      <c r="F105" s="884"/>
      <c r="G105" s="884"/>
      <c r="H105" s="884"/>
      <c r="I105" s="884"/>
      <c r="J105" s="703">
        <v>0</v>
      </c>
      <c r="K105" s="704"/>
    </row>
    <row r="106" spans="1:11" ht="11.25" customHeight="1">
      <c r="A106" s="603"/>
      <c r="B106" s="705"/>
      <c r="C106" s="959" t="s">
        <v>539</v>
      </c>
      <c r="D106" s="884"/>
      <c r="E106" s="884"/>
      <c r="F106" s="884"/>
      <c r="G106" s="884"/>
      <c r="H106" s="884"/>
      <c r="I106" s="907"/>
      <c r="J106" s="670">
        <f>SUM(J92:J105)</f>
        <v>738.64</v>
      </c>
      <c r="K106" s="671"/>
    </row>
    <row r="107" spans="1:11" ht="7.5" customHeight="1">
      <c r="A107" s="603"/>
      <c r="B107" s="950"/>
      <c r="C107" s="884"/>
      <c r="D107" s="884"/>
      <c r="E107" s="884"/>
      <c r="F107" s="884"/>
      <c r="G107" s="884"/>
      <c r="H107" s="884"/>
      <c r="I107" s="884"/>
      <c r="J107" s="885"/>
      <c r="K107" s="350"/>
    </row>
    <row r="108" spans="1:11" ht="37.5" customHeight="1">
      <c r="A108" s="603"/>
      <c r="B108" s="960" t="s">
        <v>575</v>
      </c>
      <c r="C108" s="884"/>
      <c r="D108" s="884"/>
      <c r="E108" s="884"/>
      <c r="F108" s="884"/>
      <c r="G108" s="884"/>
      <c r="H108" s="884"/>
      <c r="I108" s="884"/>
      <c r="J108" s="885"/>
      <c r="K108" s="635"/>
    </row>
    <row r="109" spans="1:11" ht="7.5" customHeight="1">
      <c r="A109" s="603"/>
      <c r="B109" s="977"/>
      <c r="C109" s="884"/>
      <c r="D109" s="884"/>
      <c r="E109" s="884"/>
      <c r="F109" s="884"/>
      <c r="G109" s="884"/>
      <c r="H109" s="884"/>
      <c r="I109" s="884"/>
      <c r="J109" s="885"/>
      <c r="K109" s="614"/>
    </row>
    <row r="110" spans="1:11" ht="11.25" customHeight="1">
      <c r="A110" s="603"/>
      <c r="B110" s="1026" t="s">
        <v>576</v>
      </c>
      <c r="C110" s="884"/>
      <c r="D110" s="884"/>
      <c r="E110" s="884"/>
      <c r="F110" s="884"/>
      <c r="G110" s="884"/>
      <c r="H110" s="884"/>
      <c r="I110" s="884"/>
      <c r="J110" s="885"/>
      <c r="K110" s="706"/>
    </row>
    <row r="111" spans="1:11" ht="11.25" customHeight="1">
      <c r="A111" s="603"/>
      <c r="B111" s="676">
        <v>2</v>
      </c>
      <c r="C111" s="975" t="s">
        <v>577</v>
      </c>
      <c r="D111" s="884"/>
      <c r="E111" s="884"/>
      <c r="F111" s="884"/>
      <c r="G111" s="884"/>
      <c r="H111" s="884"/>
      <c r="I111" s="885"/>
      <c r="J111" s="676" t="s">
        <v>536</v>
      </c>
      <c r="K111" s="665"/>
    </row>
    <row r="112" spans="1:11" ht="11.25" customHeight="1">
      <c r="A112" s="603"/>
      <c r="B112" s="621" t="s">
        <v>534</v>
      </c>
      <c r="C112" s="969" t="s">
        <v>762</v>
      </c>
      <c r="D112" s="884"/>
      <c r="E112" s="884"/>
      <c r="F112" s="884"/>
      <c r="G112" s="884"/>
      <c r="H112" s="884"/>
      <c r="I112" s="885"/>
      <c r="J112" s="707">
        <f>J72</f>
        <v>266.64</v>
      </c>
      <c r="K112" s="708"/>
    </row>
    <row r="113" spans="1:11" ht="11.25" customHeight="1">
      <c r="A113" s="603"/>
      <c r="B113" s="621" t="s">
        <v>542</v>
      </c>
      <c r="C113" s="969" t="s">
        <v>543</v>
      </c>
      <c r="D113" s="884"/>
      <c r="E113" s="884"/>
      <c r="F113" s="884"/>
      <c r="G113" s="884"/>
      <c r="H113" s="884"/>
      <c r="I113" s="885"/>
      <c r="J113" s="707">
        <f>J86</f>
        <v>962.27000000000021</v>
      </c>
      <c r="K113" s="708"/>
    </row>
    <row r="114" spans="1:11" ht="11.25" customHeight="1">
      <c r="A114" s="603"/>
      <c r="B114" s="621" t="s">
        <v>557</v>
      </c>
      <c r="C114" s="969" t="s">
        <v>558</v>
      </c>
      <c r="D114" s="884"/>
      <c r="E114" s="884"/>
      <c r="F114" s="884"/>
      <c r="G114" s="884"/>
      <c r="H114" s="884"/>
      <c r="I114" s="885"/>
      <c r="J114" s="707">
        <f>J106</f>
        <v>738.64</v>
      </c>
      <c r="K114" s="708"/>
    </row>
    <row r="115" spans="1:11" ht="11.25" customHeight="1">
      <c r="A115" s="603"/>
      <c r="B115" s="1024" t="s">
        <v>539</v>
      </c>
      <c r="C115" s="884"/>
      <c r="D115" s="884"/>
      <c r="E115" s="884"/>
      <c r="F115" s="884"/>
      <c r="G115" s="884"/>
      <c r="H115" s="884"/>
      <c r="I115" s="885"/>
      <c r="J115" s="709">
        <f>SUM(J112+J113+J114)</f>
        <v>1967.5500000000002</v>
      </c>
      <c r="K115" s="708"/>
    </row>
    <row r="116" spans="1:11" ht="6" customHeight="1">
      <c r="A116" s="603"/>
      <c r="B116" s="1025"/>
      <c r="C116" s="884"/>
      <c r="D116" s="884"/>
      <c r="E116" s="884"/>
      <c r="F116" s="884"/>
      <c r="G116" s="884"/>
      <c r="H116" s="884"/>
      <c r="I116" s="884"/>
      <c r="J116" s="885"/>
      <c r="K116" s="710"/>
    </row>
    <row r="117" spans="1:11" ht="11.25" customHeight="1">
      <c r="A117" s="603"/>
      <c r="B117" s="963" t="s">
        <v>579</v>
      </c>
      <c r="C117" s="884"/>
      <c r="D117" s="884"/>
      <c r="E117" s="884"/>
      <c r="F117" s="884"/>
      <c r="G117" s="884"/>
      <c r="H117" s="884"/>
      <c r="I117" s="884"/>
      <c r="J117" s="885"/>
      <c r="K117" s="711"/>
    </row>
    <row r="118" spans="1:11" ht="11.25" customHeight="1">
      <c r="A118" s="603"/>
      <c r="B118" s="688">
        <v>3</v>
      </c>
      <c r="C118" s="1015" t="s">
        <v>580</v>
      </c>
      <c r="D118" s="884"/>
      <c r="E118" s="884"/>
      <c r="F118" s="884"/>
      <c r="G118" s="884"/>
      <c r="H118" s="884"/>
      <c r="I118" s="885"/>
      <c r="J118" s="688" t="s">
        <v>536</v>
      </c>
      <c r="K118" s="712"/>
    </row>
    <row r="119" spans="1:11" ht="49.5" customHeight="1">
      <c r="A119" s="603"/>
      <c r="B119" s="690" t="s">
        <v>463</v>
      </c>
      <c r="C119" s="949" t="s">
        <v>763</v>
      </c>
      <c r="D119" s="884"/>
      <c r="E119" s="884"/>
      <c r="F119" s="884"/>
      <c r="G119" s="884"/>
      <c r="H119" s="884"/>
      <c r="I119" s="885"/>
      <c r="J119" s="679">
        <f>ROUND((($J$58/12)+($J$70/12)+(J58/12/12)+($J$71/12))*(30/30)*0.05,2)</f>
        <v>11.71</v>
      </c>
      <c r="K119" s="671"/>
    </row>
    <row r="120" spans="1:11" ht="16.5" customHeight="1">
      <c r="A120" s="603"/>
      <c r="B120" s="690" t="s">
        <v>465</v>
      </c>
      <c r="C120" s="1017" t="s">
        <v>582</v>
      </c>
      <c r="D120" s="884"/>
      <c r="E120" s="884"/>
      <c r="F120" s="884"/>
      <c r="G120" s="884"/>
      <c r="H120" s="884"/>
      <c r="I120" s="885"/>
      <c r="J120" s="679">
        <f>ROUND($I$85*J119,2)</f>
        <v>0.94</v>
      </c>
      <c r="K120" s="671"/>
    </row>
    <row r="121" spans="1:11" ht="84" customHeight="1">
      <c r="A121" s="603"/>
      <c r="B121" s="690" t="s">
        <v>467</v>
      </c>
      <c r="C121" s="949" t="s">
        <v>1311</v>
      </c>
      <c r="D121" s="884"/>
      <c r="E121" s="884"/>
      <c r="F121" s="884"/>
      <c r="G121" s="884"/>
      <c r="H121" s="884"/>
      <c r="I121" s="885"/>
      <c r="J121" s="679">
        <f>ROUND(((7/30)/$I$11)*$J$58*1,2)</f>
        <v>27.4</v>
      </c>
      <c r="K121" s="671"/>
    </row>
    <row r="122" spans="1:11" ht="24.75" customHeight="1">
      <c r="A122" s="603"/>
      <c r="B122" s="690" t="s">
        <v>469</v>
      </c>
      <c r="C122" s="1017" t="s">
        <v>584</v>
      </c>
      <c r="D122" s="884"/>
      <c r="E122" s="884"/>
      <c r="F122" s="884"/>
      <c r="G122" s="884"/>
      <c r="H122" s="884"/>
      <c r="I122" s="885"/>
      <c r="J122" s="679">
        <f>ROUND($I$86*J121,2)</f>
        <v>10.08</v>
      </c>
      <c r="K122" s="671"/>
    </row>
    <row r="123" spans="1:11" ht="39" customHeight="1">
      <c r="A123" s="603"/>
      <c r="B123" s="690" t="s">
        <v>511</v>
      </c>
      <c r="C123" s="949" t="s">
        <v>764</v>
      </c>
      <c r="D123" s="884"/>
      <c r="E123" s="884"/>
      <c r="F123" s="884"/>
      <c r="G123" s="884"/>
      <c r="H123" s="885"/>
      <c r="I123" s="713">
        <v>0.04</v>
      </c>
      <c r="J123" s="679">
        <f>ROUND(J58*I123,2)</f>
        <v>93.93</v>
      </c>
      <c r="K123" s="671"/>
    </row>
    <row r="124" spans="1:11" ht="11.25" customHeight="1">
      <c r="A124" s="603"/>
      <c r="B124" s="959" t="s">
        <v>586</v>
      </c>
      <c r="C124" s="884"/>
      <c r="D124" s="884"/>
      <c r="E124" s="884"/>
      <c r="F124" s="884"/>
      <c r="G124" s="884"/>
      <c r="H124" s="884"/>
      <c r="I124" s="885"/>
      <c r="J124" s="670">
        <f>SUM(J119:J123)</f>
        <v>144.06</v>
      </c>
      <c r="K124" s="671"/>
    </row>
    <row r="125" spans="1:11" ht="6" customHeight="1">
      <c r="A125" s="603"/>
      <c r="B125" s="1020"/>
      <c r="C125" s="884"/>
      <c r="D125" s="884"/>
      <c r="E125" s="884"/>
      <c r="F125" s="884"/>
      <c r="G125" s="884"/>
      <c r="H125" s="884"/>
      <c r="I125" s="884"/>
      <c r="J125" s="885"/>
      <c r="K125" s="714"/>
    </row>
    <row r="126" spans="1:11" ht="11.25" customHeight="1">
      <c r="A126" s="603"/>
      <c r="B126" s="1021" t="s">
        <v>587</v>
      </c>
      <c r="C126" s="884"/>
      <c r="D126" s="884"/>
      <c r="E126" s="884"/>
      <c r="F126" s="884"/>
      <c r="G126" s="884"/>
      <c r="H126" s="884"/>
      <c r="I126" s="884"/>
      <c r="J126" s="885"/>
      <c r="K126" s="715"/>
    </row>
    <row r="127" spans="1:11" ht="11.25" customHeight="1">
      <c r="A127" s="603"/>
      <c r="B127" s="960" t="s">
        <v>588</v>
      </c>
      <c r="C127" s="884"/>
      <c r="D127" s="884"/>
      <c r="E127" s="884"/>
      <c r="F127" s="884"/>
      <c r="G127" s="884"/>
      <c r="H127" s="884"/>
      <c r="I127" s="884"/>
      <c r="J127" s="885"/>
      <c r="K127" s="635"/>
    </row>
    <row r="128" spans="1:11" ht="11.25" customHeight="1">
      <c r="A128" s="603"/>
      <c r="B128" s="974" t="s">
        <v>765</v>
      </c>
      <c r="C128" s="884"/>
      <c r="D128" s="884"/>
      <c r="E128" s="884"/>
      <c r="F128" s="884"/>
      <c r="G128" s="884"/>
      <c r="H128" s="884"/>
      <c r="I128" s="884"/>
      <c r="J128" s="885"/>
      <c r="K128" s="673"/>
    </row>
    <row r="129" spans="1:11" ht="11.25" customHeight="1">
      <c r="A129" s="603"/>
      <c r="B129" s="716" t="s">
        <v>590</v>
      </c>
      <c r="C129" s="717">
        <f>J58</f>
        <v>2348.2199999999998</v>
      </c>
      <c r="D129" s="718" t="s">
        <v>591</v>
      </c>
      <c r="E129" s="716" t="s">
        <v>766</v>
      </c>
      <c r="F129" s="717">
        <f>J115-J92-J97</f>
        <v>1228.9100000000003</v>
      </c>
      <c r="G129" s="718" t="s">
        <v>591</v>
      </c>
      <c r="H129" s="716" t="s">
        <v>593</v>
      </c>
      <c r="I129" s="717">
        <f>J124</f>
        <v>144.06</v>
      </c>
      <c r="J129" s="719">
        <f>C129+F129+I129</f>
        <v>3721.19</v>
      </c>
      <c r="K129" s="720"/>
    </row>
    <row r="130" spans="1:11" ht="6" customHeight="1">
      <c r="A130" s="603"/>
      <c r="B130" s="1022"/>
      <c r="C130" s="884"/>
      <c r="D130" s="884"/>
      <c r="E130" s="884"/>
      <c r="F130" s="884"/>
      <c r="G130" s="884"/>
      <c r="H130" s="884"/>
      <c r="I130" s="884"/>
      <c r="J130" s="885"/>
      <c r="K130" s="721"/>
    </row>
    <row r="131" spans="1:11" ht="11.25" customHeight="1">
      <c r="A131" s="603"/>
      <c r="B131" s="1023" t="s">
        <v>594</v>
      </c>
      <c r="C131" s="884"/>
      <c r="D131" s="884"/>
      <c r="E131" s="884"/>
      <c r="F131" s="884"/>
      <c r="G131" s="884"/>
      <c r="H131" s="884"/>
      <c r="I131" s="884"/>
      <c r="J131" s="885"/>
      <c r="K131" s="722"/>
    </row>
    <row r="132" spans="1:11" ht="11.25" customHeight="1">
      <c r="A132" s="603"/>
      <c r="B132" s="723" t="s">
        <v>595</v>
      </c>
      <c r="C132" s="1015" t="s">
        <v>596</v>
      </c>
      <c r="D132" s="884"/>
      <c r="E132" s="884"/>
      <c r="F132" s="884"/>
      <c r="G132" s="884"/>
      <c r="H132" s="884"/>
      <c r="I132" s="885"/>
      <c r="J132" s="723" t="s">
        <v>536</v>
      </c>
      <c r="K132" s="724"/>
    </row>
    <row r="133" spans="1:11" ht="54.75" customHeight="1">
      <c r="A133" s="603"/>
      <c r="B133" s="690" t="s">
        <v>463</v>
      </c>
      <c r="C133" s="969" t="s">
        <v>767</v>
      </c>
      <c r="D133" s="884"/>
      <c r="E133" s="884"/>
      <c r="F133" s="884"/>
      <c r="G133" s="884"/>
      <c r="H133" s="725">
        <v>9.0749999999999997E-2</v>
      </c>
      <c r="I133" s="726">
        <f>I86</f>
        <v>0.36800000000000005</v>
      </c>
      <c r="J133" s="679">
        <f>ROUND(H133*J58,2)*(1+I133)</f>
        <v>291.52080000000001</v>
      </c>
      <c r="K133" s="671"/>
    </row>
    <row r="134" spans="1:11" ht="24" customHeight="1">
      <c r="A134" s="603"/>
      <c r="B134" s="690" t="s">
        <v>465</v>
      </c>
      <c r="C134" s="949" t="s">
        <v>768</v>
      </c>
      <c r="D134" s="884"/>
      <c r="E134" s="884"/>
      <c r="F134" s="884"/>
      <c r="G134" s="884"/>
      <c r="H134" s="884"/>
      <c r="I134" s="885"/>
      <c r="J134" s="679">
        <f>ROUND((1/30)/12*(J129),2)</f>
        <v>10.34</v>
      </c>
      <c r="K134" s="671"/>
    </row>
    <row r="135" spans="1:11" ht="24" customHeight="1">
      <c r="A135" s="603"/>
      <c r="B135" s="690" t="s">
        <v>467</v>
      </c>
      <c r="C135" s="949" t="s">
        <v>769</v>
      </c>
      <c r="D135" s="884"/>
      <c r="E135" s="884"/>
      <c r="F135" s="884"/>
      <c r="G135" s="884"/>
      <c r="H135" s="884"/>
      <c r="I135" s="885"/>
      <c r="J135" s="679">
        <f>ROUND((5/30)/12*0.015*(J129),2)</f>
        <v>0.78</v>
      </c>
      <c r="K135" s="671"/>
    </row>
    <row r="136" spans="1:11" ht="24" customHeight="1">
      <c r="A136" s="603"/>
      <c r="B136" s="690" t="s">
        <v>469</v>
      </c>
      <c r="C136" s="949" t="s">
        <v>770</v>
      </c>
      <c r="D136" s="884"/>
      <c r="E136" s="884"/>
      <c r="F136" s="884"/>
      <c r="G136" s="884"/>
      <c r="H136" s="884"/>
      <c r="I136" s="885"/>
      <c r="J136" s="679">
        <f>ROUND(((15/30)/12)*0.0078*(J129),2)</f>
        <v>1.21</v>
      </c>
      <c r="K136" s="671"/>
    </row>
    <row r="137" spans="1:11" ht="24" customHeight="1">
      <c r="A137" s="603"/>
      <c r="B137" s="727" t="s">
        <v>511</v>
      </c>
      <c r="C137" s="1019" t="s">
        <v>771</v>
      </c>
      <c r="D137" s="884"/>
      <c r="E137" s="884"/>
      <c r="F137" s="884"/>
      <c r="G137" s="884"/>
      <c r="H137" s="884"/>
      <c r="I137" s="885"/>
      <c r="J137" s="728">
        <f>ROUND(((((C129+C129/3)+(I86)*(C129+C129/3))*(4/12))/12)*0.02,2) + ((J106 -J92-J97+ J124)*4/12)*0.02</f>
        <v>3.3403999999999998</v>
      </c>
      <c r="K137" s="729"/>
    </row>
    <row r="138" spans="1:11" ht="24" customHeight="1">
      <c r="A138" s="603"/>
      <c r="B138" s="690" t="s">
        <v>513</v>
      </c>
      <c r="C138" s="949" t="s">
        <v>772</v>
      </c>
      <c r="D138" s="884"/>
      <c r="E138" s="884"/>
      <c r="F138" s="884"/>
      <c r="G138" s="884"/>
      <c r="H138" s="884"/>
      <c r="I138" s="885"/>
      <c r="J138" s="679">
        <f>ROUND(((3/30)/12)*(J129),2)</f>
        <v>31.01</v>
      </c>
      <c r="K138" s="671"/>
    </row>
    <row r="139" spans="1:11" ht="11.25" customHeight="1">
      <c r="A139" s="603"/>
      <c r="B139" s="959" t="s">
        <v>539</v>
      </c>
      <c r="C139" s="884"/>
      <c r="D139" s="884"/>
      <c r="E139" s="884"/>
      <c r="F139" s="884"/>
      <c r="G139" s="884"/>
      <c r="H139" s="884"/>
      <c r="I139" s="885"/>
      <c r="J139" s="670">
        <f>SUM(J133:J138)</f>
        <v>338.20119999999991</v>
      </c>
      <c r="K139" s="671"/>
    </row>
    <row r="140" spans="1:11" ht="6" customHeight="1">
      <c r="A140" s="603"/>
      <c r="B140" s="1020"/>
      <c r="C140" s="884"/>
      <c r="D140" s="884"/>
      <c r="E140" s="884"/>
      <c r="F140" s="884"/>
      <c r="G140" s="884"/>
      <c r="H140" s="884"/>
      <c r="I140" s="884"/>
      <c r="J140" s="885"/>
      <c r="K140" s="714"/>
    </row>
    <row r="141" spans="1:11" ht="11.25" customHeight="1">
      <c r="A141" s="603"/>
      <c r="B141" s="951" t="s">
        <v>603</v>
      </c>
      <c r="C141" s="884"/>
      <c r="D141" s="884"/>
      <c r="E141" s="884"/>
      <c r="F141" s="884"/>
      <c r="G141" s="884"/>
      <c r="H141" s="884"/>
      <c r="I141" s="884"/>
      <c r="J141" s="885"/>
      <c r="K141" s="662"/>
    </row>
    <row r="142" spans="1:11" ht="11.25" customHeight="1">
      <c r="A142" s="603"/>
      <c r="B142" s="730" t="s">
        <v>604</v>
      </c>
      <c r="C142" s="1012" t="s">
        <v>605</v>
      </c>
      <c r="D142" s="884"/>
      <c r="E142" s="884"/>
      <c r="F142" s="884"/>
      <c r="G142" s="884"/>
      <c r="H142" s="884"/>
      <c r="I142" s="885"/>
      <c r="J142" s="731" t="s">
        <v>536</v>
      </c>
      <c r="K142" s="732"/>
    </row>
    <row r="143" spans="1:11" ht="11.25" customHeight="1">
      <c r="A143" s="603"/>
      <c r="B143" s="733" t="s">
        <v>463</v>
      </c>
      <c r="C143" s="1013" t="s">
        <v>606</v>
      </c>
      <c r="D143" s="884"/>
      <c r="E143" s="884"/>
      <c r="F143" s="884"/>
      <c r="G143" s="884"/>
      <c r="H143" s="884"/>
      <c r="I143" s="885"/>
      <c r="J143" s="734">
        <v>0</v>
      </c>
      <c r="K143" s="735"/>
    </row>
    <row r="144" spans="1:11" ht="11.25" customHeight="1">
      <c r="A144" s="603"/>
      <c r="B144" s="971" t="s">
        <v>539</v>
      </c>
      <c r="C144" s="884"/>
      <c r="D144" s="884"/>
      <c r="E144" s="884"/>
      <c r="F144" s="884"/>
      <c r="G144" s="884"/>
      <c r="H144" s="884"/>
      <c r="I144" s="885"/>
      <c r="J144" s="736">
        <v>0</v>
      </c>
      <c r="K144" s="735"/>
    </row>
    <row r="145" spans="1:11" ht="6" customHeight="1">
      <c r="A145" s="603"/>
      <c r="B145" s="1014"/>
      <c r="C145" s="884"/>
      <c r="D145" s="884"/>
      <c r="E145" s="884"/>
      <c r="F145" s="884"/>
      <c r="G145" s="884"/>
      <c r="H145" s="884"/>
      <c r="I145" s="884"/>
      <c r="J145" s="885"/>
      <c r="K145" s="737"/>
    </row>
    <row r="146" spans="1:11" ht="11.25" customHeight="1">
      <c r="A146" s="603"/>
      <c r="B146" s="957" t="s">
        <v>607</v>
      </c>
      <c r="C146" s="884"/>
      <c r="D146" s="884"/>
      <c r="E146" s="884"/>
      <c r="F146" s="884"/>
      <c r="G146" s="884"/>
      <c r="H146" s="884"/>
      <c r="I146" s="884"/>
      <c r="J146" s="885"/>
      <c r="K146" s="661"/>
    </row>
    <row r="147" spans="1:11" ht="11.25" customHeight="1">
      <c r="A147" s="603"/>
      <c r="B147" s="676">
        <v>4</v>
      </c>
      <c r="C147" s="1012" t="s">
        <v>608</v>
      </c>
      <c r="D147" s="884"/>
      <c r="E147" s="884"/>
      <c r="F147" s="884"/>
      <c r="G147" s="884"/>
      <c r="H147" s="884"/>
      <c r="I147" s="885"/>
      <c r="J147" s="731" t="s">
        <v>536</v>
      </c>
      <c r="K147" s="732"/>
    </row>
    <row r="148" spans="1:11" ht="11.25" customHeight="1">
      <c r="A148" s="603"/>
      <c r="B148" s="621" t="s">
        <v>595</v>
      </c>
      <c r="C148" s="1013" t="s">
        <v>596</v>
      </c>
      <c r="D148" s="884"/>
      <c r="E148" s="884"/>
      <c r="F148" s="884"/>
      <c r="G148" s="884"/>
      <c r="H148" s="884"/>
      <c r="I148" s="885"/>
      <c r="J148" s="734">
        <f>J139</f>
        <v>338.20119999999991</v>
      </c>
      <c r="K148" s="735"/>
    </row>
    <row r="149" spans="1:11" ht="11.25" customHeight="1">
      <c r="A149" s="603"/>
      <c r="B149" s="621" t="s">
        <v>609</v>
      </c>
      <c r="C149" s="1013" t="s">
        <v>605</v>
      </c>
      <c r="D149" s="884"/>
      <c r="E149" s="884"/>
      <c r="F149" s="884"/>
      <c r="G149" s="884"/>
      <c r="H149" s="884"/>
      <c r="I149" s="885"/>
      <c r="J149" s="734">
        <f>J144</f>
        <v>0</v>
      </c>
      <c r="K149" s="735"/>
    </row>
    <row r="150" spans="1:11" ht="11.25" customHeight="1">
      <c r="A150" s="603"/>
      <c r="B150" s="1024" t="s">
        <v>539</v>
      </c>
      <c r="C150" s="884"/>
      <c r="D150" s="884"/>
      <c r="E150" s="884"/>
      <c r="F150" s="884"/>
      <c r="G150" s="884"/>
      <c r="H150" s="884"/>
      <c r="I150" s="885"/>
      <c r="J150" s="736">
        <f>SUM(J148+J149)</f>
        <v>338.20119999999991</v>
      </c>
      <c r="K150" s="735"/>
    </row>
    <row r="151" spans="1:11" ht="11.25" customHeight="1">
      <c r="A151" s="603"/>
      <c r="B151" s="1014"/>
      <c r="C151" s="884"/>
      <c r="D151" s="884"/>
      <c r="E151" s="884"/>
      <c r="F151" s="884"/>
      <c r="G151" s="884"/>
      <c r="H151" s="884"/>
      <c r="I151" s="884"/>
      <c r="J151" s="885"/>
      <c r="K151" s="737"/>
    </row>
    <row r="152" spans="1:11" ht="11.25" customHeight="1">
      <c r="A152" s="603"/>
      <c r="B152" s="1021" t="s">
        <v>610</v>
      </c>
      <c r="C152" s="884"/>
      <c r="D152" s="884"/>
      <c r="E152" s="884"/>
      <c r="F152" s="884"/>
      <c r="G152" s="884"/>
      <c r="H152" s="884"/>
      <c r="I152" s="884"/>
      <c r="J152" s="885"/>
      <c r="K152" s="715"/>
    </row>
    <row r="153" spans="1:11" ht="11.25" customHeight="1">
      <c r="A153" s="603"/>
      <c r="B153" s="688">
        <v>3</v>
      </c>
      <c r="C153" s="952" t="s">
        <v>611</v>
      </c>
      <c r="D153" s="884"/>
      <c r="E153" s="884"/>
      <c r="F153" s="884"/>
      <c r="G153" s="884"/>
      <c r="H153" s="884"/>
      <c r="I153" s="885"/>
      <c r="J153" s="688" t="s">
        <v>536</v>
      </c>
      <c r="K153" s="712"/>
    </row>
    <row r="154" spans="1:11" ht="22.5" customHeight="1">
      <c r="A154" s="603"/>
      <c r="B154" s="690" t="s">
        <v>463</v>
      </c>
      <c r="C154" s="949" t="s">
        <v>612</v>
      </c>
      <c r="D154" s="884"/>
      <c r="E154" s="884"/>
      <c r="F154" s="884"/>
      <c r="G154" s="884"/>
      <c r="H154" s="884"/>
      <c r="I154" s="885"/>
      <c r="J154" s="738">
        <f>'Uniformes - EPIs_TODOS'!C61</f>
        <v>406.8300000000001</v>
      </c>
      <c r="K154" s="671"/>
    </row>
    <row r="155" spans="1:11" ht="20.25" customHeight="1">
      <c r="A155" s="603"/>
      <c r="B155" s="690" t="s">
        <v>465</v>
      </c>
      <c r="C155" s="949" t="s">
        <v>613</v>
      </c>
      <c r="D155" s="884"/>
      <c r="E155" s="884"/>
      <c r="F155" s="884"/>
      <c r="G155" s="884"/>
      <c r="H155" s="884"/>
      <c r="I155" s="885"/>
      <c r="J155" s="703">
        <f>'Uniformes - EPIs_TODOS'!C91</f>
        <v>0</v>
      </c>
      <c r="K155" s="704"/>
    </row>
    <row r="156" spans="1:11" ht="12.75" customHeight="1">
      <c r="A156" s="603"/>
      <c r="B156" s="690" t="s">
        <v>467</v>
      </c>
      <c r="C156" s="949" t="s">
        <v>574</v>
      </c>
      <c r="D156" s="884"/>
      <c r="E156" s="884"/>
      <c r="F156" s="884"/>
      <c r="G156" s="884"/>
      <c r="H156" s="884"/>
      <c r="I156" s="885"/>
      <c r="J156" s="703" t="s">
        <v>614</v>
      </c>
      <c r="K156" s="704"/>
    </row>
    <row r="157" spans="1:11" ht="11.25" customHeight="1">
      <c r="A157" s="603"/>
      <c r="B157" s="959" t="s">
        <v>615</v>
      </c>
      <c r="C157" s="884"/>
      <c r="D157" s="884"/>
      <c r="E157" s="884"/>
      <c r="F157" s="884"/>
      <c r="G157" s="884"/>
      <c r="H157" s="884"/>
      <c r="I157" s="885"/>
      <c r="J157" s="741">
        <f>ROUND(SUM(J154:J156),2)</f>
        <v>406.83</v>
      </c>
      <c r="K157" s="704"/>
    </row>
    <row r="158" spans="1:11" ht="6.75" customHeight="1">
      <c r="A158" s="603"/>
      <c r="B158" s="1056"/>
      <c r="C158" s="884"/>
      <c r="D158" s="884"/>
      <c r="E158" s="884"/>
      <c r="F158" s="884"/>
      <c r="G158" s="884"/>
      <c r="H158" s="884"/>
      <c r="I158" s="884"/>
      <c r="J158" s="885"/>
      <c r="K158" s="742"/>
    </row>
    <row r="159" spans="1:11" ht="11.25" customHeight="1">
      <c r="A159" s="603"/>
      <c r="B159" s="1057" t="s">
        <v>616</v>
      </c>
      <c r="C159" s="884"/>
      <c r="D159" s="884"/>
      <c r="E159" s="884"/>
      <c r="F159" s="884"/>
      <c r="G159" s="884"/>
      <c r="H159" s="884"/>
      <c r="I159" s="884"/>
      <c r="J159" s="885"/>
      <c r="K159" s="743"/>
    </row>
    <row r="160" spans="1:11" ht="6.75" customHeight="1">
      <c r="A160" s="603"/>
      <c r="B160" s="744"/>
      <c r="C160" s="745"/>
      <c r="D160" s="745"/>
      <c r="E160" s="745"/>
      <c r="F160" s="745"/>
      <c r="G160" s="745"/>
      <c r="H160" s="745"/>
      <c r="I160" s="745"/>
      <c r="J160" s="746"/>
      <c r="K160" s="297"/>
    </row>
    <row r="161" spans="1:11" ht="11.25" customHeight="1">
      <c r="A161" s="603"/>
      <c r="B161" s="963" t="s">
        <v>617</v>
      </c>
      <c r="C161" s="884"/>
      <c r="D161" s="884"/>
      <c r="E161" s="884"/>
      <c r="F161" s="884"/>
      <c r="G161" s="884"/>
      <c r="H161" s="884"/>
      <c r="I161" s="884"/>
      <c r="J161" s="885"/>
      <c r="K161" s="711"/>
    </row>
    <row r="162" spans="1:11" ht="11.25" customHeight="1">
      <c r="A162" s="603"/>
      <c r="B162" s="688">
        <v>6</v>
      </c>
      <c r="C162" s="1015" t="s">
        <v>618</v>
      </c>
      <c r="D162" s="884"/>
      <c r="E162" s="884"/>
      <c r="F162" s="884"/>
      <c r="G162" s="884"/>
      <c r="H162" s="885"/>
      <c r="I162" s="747" t="s">
        <v>505</v>
      </c>
      <c r="J162" s="748" t="s">
        <v>544</v>
      </c>
      <c r="K162" s="749"/>
    </row>
    <row r="163" spans="1:11" ht="54.75" customHeight="1">
      <c r="A163" s="603"/>
      <c r="B163" s="953" t="s">
        <v>619</v>
      </c>
      <c r="C163" s="884"/>
      <c r="D163" s="884"/>
      <c r="E163" s="884"/>
      <c r="F163" s="884"/>
      <c r="G163" s="884"/>
      <c r="H163" s="885"/>
      <c r="I163" s="329" t="s">
        <v>476</v>
      </c>
      <c r="J163" s="750">
        <f>SUM(J63+J115+J124+J150+J157)</f>
        <v>5204.8612000000003</v>
      </c>
      <c r="K163" s="751"/>
    </row>
    <row r="164" spans="1:11" ht="18" customHeight="1">
      <c r="A164" s="603"/>
      <c r="B164" s="690" t="s">
        <v>463</v>
      </c>
      <c r="C164" s="1016" t="s">
        <v>620</v>
      </c>
      <c r="D164" s="884"/>
      <c r="E164" s="884"/>
      <c r="F164" s="884"/>
      <c r="G164" s="884"/>
      <c r="H164" s="885"/>
      <c r="I164" s="678">
        <f>'1-ABA-DE-CARREGAMENTO'!E85</f>
        <v>0.06</v>
      </c>
      <c r="J164" s="679">
        <f>ROUND(I164*J163,2)</f>
        <v>312.29000000000002</v>
      </c>
      <c r="K164" s="671"/>
    </row>
    <row r="165" spans="1:11" ht="51" customHeight="1">
      <c r="A165" s="603"/>
      <c r="B165" s="953" t="s">
        <v>621</v>
      </c>
      <c r="C165" s="884"/>
      <c r="D165" s="884"/>
      <c r="E165" s="884"/>
      <c r="F165" s="884"/>
      <c r="G165" s="884"/>
      <c r="H165" s="885"/>
      <c r="I165" s="752" t="s">
        <v>476</v>
      </c>
      <c r="J165" s="750">
        <f>SUM(J63+J115+J124+J150+J157+J164)</f>
        <v>5517.1512000000002</v>
      </c>
      <c r="K165" s="751"/>
    </row>
    <row r="166" spans="1:11" ht="15" customHeight="1">
      <c r="A166" s="603"/>
      <c r="B166" s="690" t="s">
        <v>465</v>
      </c>
      <c r="C166" s="1016" t="s">
        <v>297</v>
      </c>
      <c r="D166" s="884"/>
      <c r="E166" s="884"/>
      <c r="F166" s="884"/>
      <c r="G166" s="884"/>
      <c r="H166" s="885"/>
      <c r="I166" s="678">
        <f>'1-ABA-DE-CARREGAMENTO'!E86</f>
        <v>0.06</v>
      </c>
      <c r="J166" s="679">
        <f>ROUND(I166*J165,2)</f>
        <v>331.03</v>
      </c>
      <c r="K166" s="671"/>
    </row>
    <row r="167" spans="1:11" ht="58.5" customHeight="1">
      <c r="A167" s="603"/>
      <c r="B167" s="953" t="s">
        <v>622</v>
      </c>
      <c r="C167" s="884"/>
      <c r="D167" s="884"/>
      <c r="E167" s="884"/>
      <c r="F167" s="884"/>
      <c r="G167" s="884"/>
      <c r="H167" s="885"/>
      <c r="I167" s="752" t="s">
        <v>476</v>
      </c>
      <c r="J167" s="750">
        <f>SUM(J163+J164+J166)</f>
        <v>5848.1812</v>
      </c>
      <c r="K167" s="751"/>
    </row>
    <row r="168" spans="1:11" ht="18" customHeight="1">
      <c r="A168" s="603"/>
      <c r="B168" s="753" t="s">
        <v>467</v>
      </c>
      <c r="C168" s="963" t="s">
        <v>623</v>
      </c>
      <c r="D168" s="884"/>
      <c r="E168" s="884"/>
      <c r="F168" s="884"/>
      <c r="G168" s="884"/>
      <c r="H168" s="885"/>
      <c r="I168" s="754" t="s">
        <v>476</v>
      </c>
      <c r="J168" s="651" t="s">
        <v>476</v>
      </c>
      <c r="K168" s="652"/>
    </row>
    <row r="169" spans="1:11" ht="11.25" customHeight="1">
      <c r="A169" s="603"/>
      <c r="B169" s="690"/>
      <c r="C169" s="1017" t="s">
        <v>624</v>
      </c>
      <c r="D169" s="884"/>
      <c r="E169" s="884"/>
      <c r="F169" s="884"/>
      <c r="G169" s="884"/>
      <c r="H169" s="885"/>
      <c r="I169" s="754" t="s">
        <v>476</v>
      </c>
      <c r="J169" s="651" t="s">
        <v>476</v>
      </c>
      <c r="K169" s="652"/>
    </row>
    <row r="170" spans="1:11" ht="15" customHeight="1">
      <c r="A170" s="603"/>
      <c r="B170" s="690"/>
      <c r="C170" s="1018" t="s">
        <v>773</v>
      </c>
      <c r="D170" s="884"/>
      <c r="E170" s="884"/>
      <c r="F170" s="884"/>
      <c r="G170" s="884"/>
      <c r="H170" s="885"/>
      <c r="I170" s="646">
        <f>'1-ABA-DE-CARREGAMENTO'!E28</f>
        <v>1.6500000000000001E-2</v>
      </c>
      <c r="J170" s="755">
        <f t="shared" ref="J170:J171" si="1">ROUND(($J$167/(1-$I$179))*I170,2)</f>
        <v>109.97</v>
      </c>
      <c r="K170" s="756"/>
    </row>
    <row r="171" spans="1:11" ht="15" customHeight="1">
      <c r="A171" s="603"/>
      <c r="B171" s="690"/>
      <c r="C171" s="1018" t="s">
        <v>774</v>
      </c>
      <c r="D171" s="884"/>
      <c r="E171" s="884"/>
      <c r="F171" s="884"/>
      <c r="G171" s="884"/>
      <c r="H171" s="885"/>
      <c r="I171" s="646">
        <f>'1-ABA-DE-CARREGAMENTO'!F28</f>
        <v>7.5999999999999998E-2</v>
      </c>
      <c r="J171" s="755">
        <f t="shared" si="1"/>
        <v>506.51</v>
      </c>
      <c r="K171" s="756"/>
    </row>
    <row r="172" spans="1:11" ht="11.25" customHeight="1">
      <c r="A172" s="603"/>
      <c r="B172" s="690"/>
      <c r="C172" s="949" t="s">
        <v>775</v>
      </c>
      <c r="D172" s="884"/>
      <c r="E172" s="884"/>
      <c r="F172" s="884"/>
      <c r="G172" s="884"/>
      <c r="H172" s="885"/>
      <c r="I172" s="757" t="s">
        <v>476</v>
      </c>
      <c r="J172" s="651" t="s">
        <v>476</v>
      </c>
      <c r="K172" s="652"/>
    </row>
    <row r="173" spans="1:11" ht="11.25" customHeight="1">
      <c r="A173" s="603"/>
      <c r="B173" s="690"/>
      <c r="C173" s="949" t="s">
        <v>776</v>
      </c>
      <c r="D173" s="884"/>
      <c r="E173" s="884"/>
      <c r="F173" s="884"/>
      <c r="G173" s="884"/>
      <c r="H173" s="885"/>
      <c r="I173" s="757" t="s">
        <v>476</v>
      </c>
      <c r="J173" s="651" t="s">
        <v>476</v>
      </c>
      <c r="K173" s="652"/>
    </row>
    <row r="174" spans="1:11" ht="11.25" customHeight="1">
      <c r="A174" s="603"/>
      <c r="B174" s="690"/>
      <c r="C174" s="949" t="s">
        <v>629</v>
      </c>
      <c r="D174" s="884"/>
      <c r="E174" s="884"/>
      <c r="F174" s="884"/>
      <c r="G174" s="884"/>
      <c r="H174" s="884"/>
      <c r="I174" s="758" t="s">
        <v>476</v>
      </c>
      <c r="J174" s="759" t="s">
        <v>476</v>
      </c>
      <c r="K174" s="760"/>
    </row>
    <row r="175" spans="1:11" ht="11.25" customHeight="1">
      <c r="A175" s="603"/>
      <c r="B175" s="690"/>
      <c r="C175" s="949" t="s">
        <v>630</v>
      </c>
      <c r="D175" s="884"/>
      <c r="E175" s="884"/>
      <c r="F175" s="884"/>
      <c r="G175" s="884"/>
      <c r="H175" s="884"/>
      <c r="I175" s="758" t="s">
        <v>476</v>
      </c>
      <c r="J175" s="759" t="s">
        <v>476</v>
      </c>
      <c r="K175" s="760"/>
    </row>
    <row r="176" spans="1:11" ht="11.25" customHeight="1">
      <c r="A176" s="603"/>
      <c r="B176" s="690"/>
      <c r="C176" s="949" t="s">
        <v>777</v>
      </c>
      <c r="D176" s="884"/>
      <c r="E176" s="884"/>
      <c r="F176" s="884"/>
      <c r="G176" s="884"/>
      <c r="H176" s="885"/>
      <c r="I176" s="761">
        <f>'1-ABA-DE-CARREGAMENTO'!D87</f>
        <v>0.03</v>
      </c>
      <c r="J176" s="755">
        <f>ROUND(($J$167/(1-$I$179))*I176,2)</f>
        <v>199.94</v>
      </c>
      <c r="K176" s="756"/>
    </row>
    <row r="177" spans="1:11" ht="11.25" customHeight="1">
      <c r="A177" s="603"/>
      <c r="B177" s="959" t="s">
        <v>586</v>
      </c>
      <c r="C177" s="884"/>
      <c r="D177" s="884"/>
      <c r="E177" s="884"/>
      <c r="F177" s="884"/>
      <c r="G177" s="884"/>
      <c r="H177" s="884"/>
      <c r="I177" s="885"/>
      <c r="J177" s="670">
        <f>SUM(J164+J166+J170+J171+J176)</f>
        <v>1459.74</v>
      </c>
      <c r="K177" s="671"/>
    </row>
    <row r="178" spans="1:11" ht="6.75" customHeight="1">
      <c r="A178" s="603"/>
      <c r="B178" s="1020"/>
      <c r="C178" s="884"/>
      <c r="D178" s="884"/>
      <c r="E178" s="884"/>
      <c r="F178" s="884"/>
      <c r="G178" s="884"/>
      <c r="H178" s="884"/>
      <c r="I178" s="884"/>
      <c r="J178" s="885"/>
      <c r="K178" s="714"/>
    </row>
    <row r="179" spans="1:11" ht="11.25" customHeight="1">
      <c r="A179" s="603"/>
      <c r="B179" s="1058" t="s">
        <v>632</v>
      </c>
      <c r="C179" s="884"/>
      <c r="D179" s="884"/>
      <c r="E179" s="884"/>
      <c r="F179" s="884"/>
      <c r="G179" s="884"/>
      <c r="H179" s="885"/>
      <c r="I179" s="762">
        <f t="shared" ref="I179:J179" si="2">SUM(I170:I176)</f>
        <v>0.1225</v>
      </c>
      <c r="J179" s="750">
        <f t="shared" si="2"/>
        <v>816.42000000000007</v>
      </c>
      <c r="K179" s="751"/>
    </row>
    <row r="180" spans="1:11" ht="11.25" customHeight="1">
      <c r="A180" s="603"/>
      <c r="B180" s="1049" t="s">
        <v>633</v>
      </c>
      <c r="C180" s="882"/>
      <c r="D180" s="1052" t="s">
        <v>634</v>
      </c>
      <c r="E180" s="882"/>
      <c r="F180" s="882"/>
      <c r="G180" s="882"/>
      <c r="H180" s="882"/>
      <c r="I180" s="882"/>
      <c r="J180" s="917"/>
      <c r="K180" s="763"/>
    </row>
    <row r="181" spans="1:11" ht="11.25" customHeight="1">
      <c r="A181" s="603"/>
      <c r="B181" s="1050"/>
      <c r="C181" s="882"/>
      <c r="D181" s="1053" t="s">
        <v>635</v>
      </c>
      <c r="E181" s="882"/>
      <c r="F181" s="882"/>
      <c r="G181" s="882"/>
      <c r="H181" s="882"/>
      <c r="I181" s="882"/>
      <c r="J181" s="917"/>
      <c r="K181" s="764"/>
    </row>
    <row r="182" spans="1:11" ht="11.25" customHeight="1">
      <c r="A182" s="603"/>
      <c r="B182" s="1051"/>
      <c r="C182" s="941"/>
      <c r="D182" s="1054" t="s">
        <v>636</v>
      </c>
      <c r="E182" s="941"/>
      <c r="F182" s="941"/>
      <c r="G182" s="941"/>
      <c r="H182" s="941"/>
      <c r="I182" s="941"/>
      <c r="J182" s="942"/>
      <c r="K182" s="763"/>
    </row>
    <row r="183" spans="1:11" ht="6.75" customHeight="1">
      <c r="A183" s="603"/>
      <c r="B183" s="1055"/>
      <c r="C183" s="884"/>
      <c r="D183" s="884"/>
      <c r="E183" s="884"/>
      <c r="F183" s="884"/>
      <c r="G183" s="884"/>
      <c r="H183" s="884"/>
      <c r="I183" s="884"/>
      <c r="J183" s="885"/>
      <c r="K183" s="765"/>
    </row>
    <row r="184" spans="1:11" ht="11.25" customHeight="1">
      <c r="A184" s="603"/>
      <c r="B184" s="1004" t="s">
        <v>637</v>
      </c>
      <c r="C184" s="884"/>
      <c r="D184" s="884"/>
      <c r="E184" s="884"/>
      <c r="F184" s="884"/>
      <c r="G184" s="884"/>
      <c r="H184" s="884"/>
      <c r="I184" s="884"/>
      <c r="J184" s="885"/>
      <c r="K184" s="617"/>
    </row>
    <row r="185" spans="1:11" ht="6.75" customHeight="1">
      <c r="A185" s="603"/>
      <c r="B185" s="1020"/>
      <c r="C185" s="884"/>
      <c r="D185" s="884"/>
      <c r="E185" s="884"/>
      <c r="F185" s="884"/>
      <c r="G185" s="884"/>
      <c r="H185" s="884"/>
      <c r="I185" s="884"/>
      <c r="J185" s="885"/>
      <c r="K185" s="714"/>
    </row>
    <row r="186" spans="1:11" ht="11.25" customHeight="1">
      <c r="A186" s="603"/>
      <c r="B186" s="1021" t="s">
        <v>778</v>
      </c>
      <c r="C186" s="884"/>
      <c r="D186" s="884"/>
      <c r="E186" s="884"/>
      <c r="F186" s="884"/>
      <c r="G186" s="884"/>
      <c r="H186" s="884"/>
      <c r="I186" s="884"/>
      <c r="J186" s="885"/>
      <c r="K186" s="715"/>
    </row>
    <row r="187" spans="1:11" ht="11.25" customHeight="1">
      <c r="A187" s="603"/>
      <c r="B187" s="976" t="s">
        <v>639</v>
      </c>
      <c r="C187" s="884"/>
      <c r="D187" s="884"/>
      <c r="E187" s="884"/>
      <c r="F187" s="884"/>
      <c r="G187" s="884"/>
      <c r="H187" s="884"/>
      <c r="I187" s="885"/>
      <c r="J187" s="747" t="s">
        <v>536</v>
      </c>
      <c r="K187" s="614"/>
    </row>
    <row r="188" spans="1:11" ht="11.25" customHeight="1">
      <c r="A188" s="603"/>
      <c r="B188" s="766" t="s">
        <v>463</v>
      </c>
      <c r="C188" s="1000" t="s">
        <v>640</v>
      </c>
      <c r="D188" s="884"/>
      <c r="E188" s="884"/>
      <c r="F188" s="884"/>
      <c r="G188" s="884"/>
      <c r="H188" s="884"/>
      <c r="I188" s="884"/>
      <c r="J188" s="703">
        <f>J63</f>
        <v>2348.2199999999998</v>
      </c>
      <c r="K188" s="704"/>
    </row>
    <row r="189" spans="1:11" ht="11.25" customHeight="1">
      <c r="A189" s="603"/>
      <c r="B189" s="766" t="s">
        <v>465</v>
      </c>
      <c r="C189" s="1000" t="s">
        <v>641</v>
      </c>
      <c r="D189" s="884"/>
      <c r="E189" s="884"/>
      <c r="F189" s="884"/>
      <c r="G189" s="884"/>
      <c r="H189" s="884"/>
      <c r="I189" s="884"/>
      <c r="J189" s="703">
        <f>J115</f>
        <v>1967.5500000000002</v>
      </c>
      <c r="K189" s="704"/>
    </row>
    <row r="190" spans="1:11" ht="11.25" customHeight="1">
      <c r="A190" s="603"/>
      <c r="B190" s="766" t="s">
        <v>467</v>
      </c>
      <c r="C190" s="1000" t="s">
        <v>642</v>
      </c>
      <c r="D190" s="884"/>
      <c r="E190" s="884"/>
      <c r="F190" s="884"/>
      <c r="G190" s="884"/>
      <c r="H190" s="884"/>
      <c r="I190" s="884"/>
      <c r="J190" s="703">
        <f>J124</f>
        <v>144.06</v>
      </c>
      <c r="K190" s="704"/>
    </row>
    <row r="191" spans="1:11" ht="11.25" customHeight="1">
      <c r="A191" s="603"/>
      <c r="B191" s="766" t="s">
        <v>469</v>
      </c>
      <c r="C191" s="1000" t="s">
        <v>643</v>
      </c>
      <c r="D191" s="884"/>
      <c r="E191" s="884"/>
      <c r="F191" s="884"/>
      <c r="G191" s="884"/>
      <c r="H191" s="884"/>
      <c r="I191" s="884"/>
      <c r="J191" s="703">
        <f>J150</f>
        <v>338.20119999999991</v>
      </c>
      <c r="K191" s="704"/>
    </row>
    <row r="192" spans="1:11" ht="11.25" customHeight="1">
      <c r="A192" s="603"/>
      <c r="B192" s="766" t="s">
        <v>511</v>
      </c>
      <c r="C192" s="1000" t="s">
        <v>644</v>
      </c>
      <c r="D192" s="884"/>
      <c r="E192" s="884"/>
      <c r="F192" s="884"/>
      <c r="G192" s="884"/>
      <c r="H192" s="884"/>
      <c r="I192" s="884"/>
      <c r="J192" s="703">
        <f>J157</f>
        <v>406.83</v>
      </c>
      <c r="K192" s="704"/>
    </row>
    <row r="193" spans="1:11" ht="11.25" customHeight="1">
      <c r="A193" s="603"/>
      <c r="B193" s="1001" t="s">
        <v>645</v>
      </c>
      <c r="C193" s="884"/>
      <c r="D193" s="884"/>
      <c r="E193" s="884"/>
      <c r="F193" s="884"/>
      <c r="G193" s="884"/>
      <c r="H193" s="884"/>
      <c r="I193" s="907"/>
      <c r="J193" s="741">
        <f>ROUND(SUM(J188:J192),2)</f>
        <v>5204.8599999999997</v>
      </c>
      <c r="K193" s="704"/>
    </row>
    <row r="194" spans="1:11" ht="11.25" customHeight="1">
      <c r="A194" s="603"/>
      <c r="B194" s="767" t="s">
        <v>513</v>
      </c>
      <c r="C194" s="1000" t="s">
        <v>617</v>
      </c>
      <c r="D194" s="884"/>
      <c r="E194" s="884"/>
      <c r="F194" s="884"/>
      <c r="G194" s="884"/>
      <c r="H194" s="884"/>
      <c r="I194" s="884"/>
      <c r="J194" s="703">
        <f>J177</f>
        <v>1459.74</v>
      </c>
      <c r="K194" s="704"/>
    </row>
    <row r="195" spans="1:11" ht="11.25" customHeight="1">
      <c r="A195" s="603"/>
      <c r="B195" s="1001" t="s">
        <v>646</v>
      </c>
      <c r="C195" s="884"/>
      <c r="D195" s="884"/>
      <c r="E195" s="884"/>
      <c r="F195" s="884"/>
      <c r="G195" s="884"/>
      <c r="H195" s="884"/>
      <c r="I195" s="907"/>
      <c r="J195" s="741">
        <f>J193+J194</f>
        <v>6664.5999999999995</v>
      </c>
      <c r="K195" s="704"/>
    </row>
    <row r="196" spans="1:11" ht="42" customHeight="1">
      <c r="A196" s="603"/>
      <c r="B196" s="1043" t="s">
        <v>647</v>
      </c>
      <c r="C196" s="884"/>
      <c r="D196" s="884"/>
      <c r="E196" s="884"/>
      <c r="F196" s="884"/>
      <c r="G196" s="884"/>
      <c r="H196" s="884"/>
      <c r="I196" s="884"/>
      <c r="J196" s="885"/>
      <c r="K196" s="768"/>
    </row>
    <row r="197" spans="1:11" ht="9" customHeight="1">
      <c r="A197" s="603"/>
      <c r="B197" s="1059"/>
      <c r="C197" s="884"/>
      <c r="D197" s="884"/>
      <c r="E197" s="884"/>
      <c r="F197" s="884"/>
      <c r="G197" s="884"/>
      <c r="H197" s="884"/>
      <c r="I197" s="884"/>
      <c r="J197" s="885"/>
      <c r="K197" s="769"/>
    </row>
    <row r="198" spans="1:11" ht="11.25" customHeight="1">
      <c r="A198" s="603"/>
      <c r="B198" s="770"/>
      <c r="C198" s="609"/>
      <c r="D198" s="609"/>
      <c r="E198" s="609"/>
      <c r="F198" s="609"/>
      <c r="G198" s="609"/>
      <c r="H198" s="609"/>
      <c r="I198" s="771"/>
      <c r="J198" s="772"/>
      <c r="K198" s="771"/>
    </row>
    <row r="199" spans="1:11" ht="11.25" customHeight="1">
      <c r="A199" s="603"/>
      <c r="B199" s="1045" t="s">
        <v>648</v>
      </c>
      <c r="C199" s="882"/>
      <c r="D199" s="882"/>
      <c r="E199" s="882"/>
      <c r="F199" s="882"/>
      <c r="G199" s="882"/>
      <c r="H199" s="882"/>
      <c r="I199" s="882"/>
      <c r="J199" s="917"/>
      <c r="K199" s="610"/>
    </row>
    <row r="200" spans="1:11" ht="11.25" customHeight="1">
      <c r="A200" s="603"/>
      <c r="B200" s="985" t="s">
        <v>649</v>
      </c>
      <c r="C200" s="884"/>
      <c r="D200" s="884"/>
      <c r="E200" s="885"/>
      <c r="F200" s="985" t="s">
        <v>650</v>
      </c>
      <c r="G200" s="885"/>
      <c r="H200" s="747" t="s">
        <v>651</v>
      </c>
      <c r="I200" s="985" t="s">
        <v>652</v>
      </c>
      <c r="J200" s="885"/>
      <c r="K200" s="614"/>
    </row>
    <row r="201" spans="1:11" ht="38.25" hidden="1" customHeight="1" outlineLevel="1">
      <c r="A201" s="603"/>
      <c r="B201" s="949" t="s">
        <v>653</v>
      </c>
      <c r="C201" s="884"/>
      <c r="D201" s="884"/>
      <c r="E201" s="885"/>
      <c r="F201" s="1027">
        <v>0</v>
      </c>
      <c r="G201" s="885"/>
      <c r="H201" s="773">
        <f t="shared" ref="H201:H202" si="3">E201*F201</f>
        <v>0</v>
      </c>
      <c r="I201" s="1027">
        <f t="shared" ref="I201:I203" si="4">F201*H201</f>
        <v>0</v>
      </c>
      <c r="J201" s="885"/>
      <c r="K201" s="774"/>
    </row>
    <row r="202" spans="1:11" ht="38.25" hidden="1" customHeight="1" outlineLevel="1">
      <c r="A202" s="603"/>
      <c r="B202" s="949" t="s">
        <v>654</v>
      </c>
      <c r="C202" s="884"/>
      <c r="D202" s="884"/>
      <c r="E202" s="885"/>
      <c r="F202" s="1027">
        <v>0</v>
      </c>
      <c r="G202" s="885"/>
      <c r="H202" s="773">
        <f t="shared" si="3"/>
        <v>0</v>
      </c>
      <c r="I202" s="1027">
        <f t="shared" si="4"/>
        <v>0</v>
      </c>
      <c r="J202" s="885"/>
      <c r="K202" s="774"/>
    </row>
    <row r="203" spans="1:11" ht="38.25" customHeight="1" collapsed="1">
      <c r="A203" s="603"/>
      <c r="B203" s="1046" t="str">
        <f>B3</f>
        <v>6410-15_TRATORISTA-em-Geral</v>
      </c>
      <c r="C203" s="884"/>
      <c r="D203" s="884"/>
      <c r="E203" s="885"/>
      <c r="F203" s="1047">
        <f>J195</f>
        <v>6664.5999999999995</v>
      </c>
      <c r="G203" s="885"/>
      <c r="H203" s="773">
        <f>I17</f>
        <v>1</v>
      </c>
      <c r="I203" s="1027">
        <f t="shared" si="4"/>
        <v>6664.5999999999995</v>
      </c>
      <c r="J203" s="885"/>
      <c r="K203" s="774"/>
    </row>
    <row r="204" spans="1:11" ht="38.25" hidden="1" customHeight="1" outlineLevel="1">
      <c r="A204" s="603"/>
      <c r="B204" s="949" t="s">
        <v>655</v>
      </c>
      <c r="C204" s="884"/>
      <c r="D204" s="884"/>
      <c r="E204" s="885"/>
      <c r="F204" s="1047">
        <v>0</v>
      </c>
      <c r="G204" s="885"/>
      <c r="H204" s="773">
        <f t="shared" ref="H204:I204" si="5">E204*G204</f>
        <v>0</v>
      </c>
      <c r="I204" s="1027">
        <f t="shared" si="5"/>
        <v>0</v>
      </c>
      <c r="J204" s="885"/>
      <c r="K204" s="774"/>
    </row>
    <row r="205" spans="1:11" ht="38.25" hidden="1" customHeight="1" outlineLevel="1">
      <c r="A205" s="603"/>
      <c r="B205" s="949" t="s">
        <v>656</v>
      </c>
      <c r="C205" s="884"/>
      <c r="D205" s="884"/>
      <c r="E205" s="885"/>
      <c r="F205" s="1047">
        <v>0</v>
      </c>
      <c r="G205" s="885"/>
      <c r="H205" s="773">
        <f t="shared" ref="H205:I205" si="6">E205*G205</f>
        <v>0</v>
      </c>
      <c r="I205" s="1027">
        <f t="shared" si="6"/>
        <v>0</v>
      </c>
      <c r="J205" s="885"/>
      <c r="K205" s="774"/>
    </row>
    <row r="206" spans="1:11" ht="38.25" hidden="1" customHeight="1" outlineLevel="1">
      <c r="A206" s="603"/>
      <c r="B206" s="1048" t="s">
        <v>779</v>
      </c>
      <c r="C206" s="884"/>
      <c r="D206" s="884"/>
      <c r="E206" s="885"/>
      <c r="F206" s="1027">
        <v>0</v>
      </c>
      <c r="G206" s="885"/>
      <c r="H206" s="773">
        <f t="shared" ref="H206:I206" si="7">E206*G206</f>
        <v>0</v>
      </c>
      <c r="I206" s="1027">
        <f t="shared" si="7"/>
        <v>0</v>
      </c>
      <c r="J206" s="885"/>
      <c r="K206" s="774"/>
    </row>
    <row r="207" spans="1:11" ht="11.25" customHeight="1" collapsed="1">
      <c r="A207" s="603"/>
      <c r="B207" s="1028" t="s">
        <v>658</v>
      </c>
      <c r="C207" s="884"/>
      <c r="D207" s="884"/>
      <c r="E207" s="884"/>
      <c r="F207" s="884"/>
      <c r="G207" s="885"/>
      <c r="H207" s="775">
        <f>SUM(H201:H206)</f>
        <v>1</v>
      </c>
      <c r="I207" s="1042">
        <f>SUM(I201:J206)</f>
        <v>6664.5999999999995</v>
      </c>
      <c r="J207" s="885"/>
      <c r="K207" s="776"/>
    </row>
    <row r="208" spans="1:11" ht="8.25" customHeight="1">
      <c r="A208" s="603"/>
      <c r="B208" s="1029"/>
      <c r="C208" s="1030"/>
      <c r="D208" s="1030"/>
      <c r="E208" s="1030"/>
      <c r="F208" s="1030"/>
      <c r="G208" s="1030"/>
      <c r="H208" s="1030"/>
      <c r="I208" s="1030"/>
      <c r="J208" s="1031"/>
      <c r="K208" s="714"/>
    </row>
    <row r="209" spans="1:11" ht="13.5" customHeight="1">
      <c r="A209" s="603"/>
      <c r="B209" s="1032" t="s">
        <v>659</v>
      </c>
      <c r="C209" s="941"/>
      <c r="D209" s="941"/>
      <c r="E209" s="941"/>
      <c r="F209" s="941"/>
      <c r="G209" s="941"/>
      <c r="H209" s="941"/>
      <c r="I209" s="941"/>
      <c r="J209" s="942"/>
      <c r="K209" s="617"/>
    </row>
    <row r="210" spans="1:11" ht="8.25" customHeight="1">
      <c r="A210" s="603"/>
      <c r="B210" s="1033"/>
      <c r="C210" s="884"/>
      <c r="D210" s="884"/>
      <c r="E210" s="884"/>
      <c r="F210" s="884"/>
      <c r="G210" s="884"/>
      <c r="H210" s="884"/>
      <c r="I210" s="884"/>
      <c r="J210" s="885"/>
      <c r="K210" s="777"/>
    </row>
    <row r="211" spans="1:11" ht="11.25" customHeight="1">
      <c r="A211" s="603"/>
      <c r="B211" s="1034" t="s">
        <v>660</v>
      </c>
      <c r="C211" s="884"/>
      <c r="D211" s="884"/>
      <c r="E211" s="884"/>
      <c r="F211" s="884"/>
      <c r="G211" s="885"/>
      <c r="H211" s="1036">
        <f>$I$207</f>
        <v>6664.5999999999995</v>
      </c>
      <c r="I211" s="884"/>
      <c r="J211" s="885"/>
      <c r="K211" s="778"/>
    </row>
    <row r="212" spans="1:11" ht="8.25" customHeight="1">
      <c r="A212" s="603"/>
      <c r="B212" s="1037"/>
      <c r="C212" s="889"/>
      <c r="D212" s="889"/>
      <c r="E212" s="889"/>
      <c r="F212" s="889"/>
      <c r="G212" s="889"/>
      <c r="H212" s="889"/>
      <c r="I212" s="889"/>
      <c r="J212" s="1038"/>
      <c r="K212" s="779"/>
    </row>
    <row r="213" spans="1:11" ht="11.25" customHeight="1">
      <c r="A213" s="603"/>
      <c r="B213" s="1034" t="s">
        <v>661</v>
      </c>
      <c r="C213" s="884"/>
      <c r="D213" s="884"/>
      <c r="E213" s="884"/>
      <c r="F213" s="884"/>
      <c r="G213" s="885"/>
      <c r="H213" s="1039">
        <f>$I$11</f>
        <v>20</v>
      </c>
      <c r="I213" s="884"/>
      <c r="J213" s="885"/>
      <c r="K213" s="780"/>
    </row>
    <row r="214" spans="1:11" ht="8.25" customHeight="1">
      <c r="A214" s="603"/>
      <c r="B214" s="1040"/>
      <c r="C214" s="884"/>
      <c r="D214" s="884"/>
      <c r="E214" s="884"/>
      <c r="F214" s="884"/>
      <c r="G214" s="884"/>
      <c r="H214" s="884"/>
      <c r="I214" s="884"/>
      <c r="J214" s="885"/>
      <c r="K214" s="781"/>
    </row>
    <row r="215" spans="1:11" ht="33.75" customHeight="1">
      <c r="A215" s="603"/>
      <c r="B215" s="1034" t="s">
        <v>780</v>
      </c>
      <c r="C215" s="884"/>
      <c r="D215" s="884"/>
      <c r="E215" s="884"/>
      <c r="F215" s="884"/>
      <c r="G215" s="885"/>
      <c r="H215" s="1041">
        <f>ROUND(H211*H213,2)</f>
        <v>133292</v>
      </c>
      <c r="I215" s="884"/>
      <c r="J215" s="885"/>
      <c r="K215" s="782"/>
    </row>
    <row r="216" spans="1:11" ht="7.5" customHeight="1">
      <c r="A216" s="603"/>
      <c r="B216" s="1035"/>
      <c r="C216" s="884"/>
      <c r="D216" s="884"/>
      <c r="E216" s="884"/>
      <c r="F216" s="884"/>
      <c r="G216" s="884"/>
      <c r="H216" s="884"/>
      <c r="I216" s="884"/>
      <c r="J216" s="885"/>
      <c r="K216" s="609"/>
    </row>
    <row r="217" spans="1:11" ht="11.25" customHeight="1">
      <c r="A217" s="603"/>
      <c r="B217" s="603"/>
      <c r="C217" s="603"/>
      <c r="D217" s="603"/>
      <c r="E217" s="603"/>
      <c r="F217" s="603"/>
      <c r="G217" s="603"/>
      <c r="H217" s="603"/>
      <c r="I217" s="603"/>
      <c r="J217" s="603"/>
      <c r="K217" s="603"/>
    </row>
  </sheetData>
  <mergeCells count="273">
    <mergeCell ref="C147:I147"/>
    <mergeCell ref="C148:I148"/>
    <mergeCell ref="C149:I149"/>
    <mergeCell ref="B150:I150"/>
    <mergeCell ref="B151:J151"/>
    <mergeCell ref="B152:J152"/>
    <mergeCell ref="C153:I153"/>
    <mergeCell ref="C154:I154"/>
    <mergeCell ref="C155:I155"/>
    <mergeCell ref="C156:I156"/>
    <mergeCell ref="B157:I157"/>
    <mergeCell ref="B158:J158"/>
    <mergeCell ref="B159:J159"/>
    <mergeCell ref="B161:J161"/>
    <mergeCell ref="C176:H176"/>
    <mergeCell ref="B177:I177"/>
    <mergeCell ref="B178:J178"/>
    <mergeCell ref="B179:H179"/>
    <mergeCell ref="B180:C182"/>
    <mergeCell ref="D180:J180"/>
    <mergeCell ref="D181:J181"/>
    <mergeCell ref="D182:J182"/>
    <mergeCell ref="B183:J183"/>
    <mergeCell ref="B184:J184"/>
    <mergeCell ref="B185:J185"/>
    <mergeCell ref="B186:J186"/>
    <mergeCell ref="B187:I18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B196:J196"/>
    <mergeCell ref="B197:J197"/>
    <mergeCell ref="B199:J199"/>
    <mergeCell ref="B200:E200"/>
    <mergeCell ref="F200:G200"/>
    <mergeCell ref="B201:E201"/>
    <mergeCell ref="F201:G201"/>
    <mergeCell ref="B202:E202"/>
    <mergeCell ref="F202:G202"/>
    <mergeCell ref="B203:E203"/>
    <mergeCell ref="F203:G203"/>
    <mergeCell ref="B204:E204"/>
    <mergeCell ref="F204:G204"/>
    <mergeCell ref="F205:G205"/>
    <mergeCell ref="B205:E205"/>
    <mergeCell ref="B206:E206"/>
    <mergeCell ref="F206:G206"/>
    <mergeCell ref="B207:G207"/>
    <mergeCell ref="B208:J208"/>
    <mergeCell ref="B209:J209"/>
    <mergeCell ref="B210:J210"/>
    <mergeCell ref="B215:G215"/>
    <mergeCell ref="B216:J216"/>
    <mergeCell ref="B211:G211"/>
    <mergeCell ref="H211:J211"/>
    <mergeCell ref="B212:J212"/>
    <mergeCell ref="B213:G213"/>
    <mergeCell ref="H213:J213"/>
    <mergeCell ref="B214:J214"/>
    <mergeCell ref="H215:J215"/>
    <mergeCell ref="C104:I104"/>
    <mergeCell ref="C105:I105"/>
    <mergeCell ref="C106:I106"/>
    <mergeCell ref="B107:J107"/>
    <mergeCell ref="B108:J108"/>
    <mergeCell ref="B109:J109"/>
    <mergeCell ref="B110:J110"/>
    <mergeCell ref="C111:I111"/>
    <mergeCell ref="C112:I112"/>
    <mergeCell ref="C113:I113"/>
    <mergeCell ref="C114:I114"/>
    <mergeCell ref="B115:I115"/>
    <mergeCell ref="B116:J116"/>
    <mergeCell ref="B117:J117"/>
    <mergeCell ref="C118:I118"/>
    <mergeCell ref="C119:I119"/>
    <mergeCell ref="C120:I120"/>
    <mergeCell ref="C121:I121"/>
    <mergeCell ref="C122:I122"/>
    <mergeCell ref="C123:H123"/>
    <mergeCell ref="B124:I124"/>
    <mergeCell ref="B125:J125"/>
    <mergeCell ref="B126:J126"/>
    <mergeCell ref="B127:J127"/>
    <mergeCell ref="B128:J128"/>
    <mergeCell ref="B130:J130"/>
    <mergeCell ref="B131:J131"/>
    <mergeCell ref="C132:I132"/>
    <mergeCell ref="C133:G133"/>
    <mergeCell ref="C134:I134"/>
    <mergeCell ref="C135:I135"/>
    <mergeCell ref="C136:I136"/>
    <mergeCell ref="C137:I137"/>
    <mergeCell ref="C138:I138"/>
    <mergeCell ref="B139:I139"/>
    <mergeCell ref="B140:J140"/>
    <mergeCell ref="B141:J141"/>
    <mergeCell ref="C142:I142"/>
    <mergeCell ref="C143:I143"/>
    <mergeCell ref="B144:I144"/>
    <mergeCell ref="B145:J145"/>
    <mergeCell ref="B146:J146"/>
    <mergeCell ref="C189:I189"/>
    <mergeCell ref="C190:I190"/>
    <mergeCell ref="C191:I191"/>
    <mergeCell ref="C162:H162"/>
    <mergeCell ref="B163:H163"/>
    <mergeCell ref="C164:H164"/>
    <mergeCell ref="B165:H165"/>
    <mergeCell ref="C166:H166"/>
    <mergeCell ref="B167:H167"/>
    <mergeCell ref="C168:H168"/>
    <mergeCell ref="C169:H169"/>
    <mergeCell ref="C170:H170"/>
    <mergeCell ref="C171:H171"/>
    <mergeCell ref="C172:H172"/>
    <mergeCell ref="C173:H173"/>
    <mergeCell ref="C174:H174"/>
    <mergeCell ref="C175:H175"/>
    <mergeCell ref="C188:I188"/>
    <mergeCell ref="C192:I192"/>
    <mergeCell ref="B193:I193"/>
    <mergeCell ref="C194:I194"/>
    <mergeCell ref="B195:I195"/>
    <mergeCell ref="B18:F18"/>
    <mergeCell ref="G18:H18"/>
    <mergeCell ref="I18:J18"/>
    <mergeCell ref="B19:F19"/>
    <mergeCell ref="G19:H19"/>
    <mergeCell ref="I19:J19"/>
    <mergeCell ref="I20:J20"/>
    <mergeCell ref="B20:H20"/>
    <mergeCell ref="B21:J21"/>
    <mergeCell ref="B22:J22"/>
    <mergeCell ref="B23:J23"/>
    <mergeCell ref="B24:J24"/>
    <mergeCell ref="B25:J25"/>
    <mergeCell ref="B26:J26"/>
    <mergeCell ref="C27:H27"/>
    <mergeCell ref="I27:J27"/>
    <mergeCell ref="C28:H28"/>
    <mergeCell ref="I28:J28"/>
    <mergeCell ref="C29:D29"/>
    <mergeCell ref="I29:J29"/>
    <mergeCell ref="I30:J30"/>
    <mergeCell ref="C30:H30"/>
    <mergeCell ref="C31:H31"/>
    <mergeCell ref="I31:J31"/>
    <mergeCell ref="C32:H32"/>
    <mergeCell ref="I32:J32"/>
    <mergeCell ref="G33:H33"/>
    <mergeCell ref="I33:J33"/>
    <mergeCell ref="B2:J2"/>
    <mergeCell ref="B3:J3"/>
    <mergeCell ref="B4:F4"/>
    <mergeCell ref="G4:J4"/>
    <mergeCell ref="B5:F5"/>
    <mergeCell ref="G5:J5"/>
    <mergeCell ref="B6:J6"/>
    <mergeCell ref="B7:J7"/>
    <mergeCell ref="C8:H8"/>
    <mergeCell ref="I8:J8"/>
    <mergeCell ref="C9:H9"/>
    <mergeCell ref="I9:J9"/>
    <mergeCell ref="C10:H10"/>
    <mergeCell ref="I10:J10"/>
    <mergeCell ref="G14:H14"/>
    <mergeCell ref="I14:J14"/>
    <mergeCell ref="C11:H11"/>
    <mergeCell ref="I11:J11"/>
    <mergeCell ref="B12:J12"/>
    <mergeCell ref="B13:F13"/>
    <mergeCell ref="G13:H13"/>
    <mergeCell ref="I13:J13"/>
    <mergeCell ref="B14:F14"/>
    <mergeCell ref="G17:H17"/>
    <mergeCell ref="I17:J17"/>
    <mergeCell ref="B15:F15"/>
    <mergeCell ref="G15:H15"/>
    <mergeCell ref="I15:J15"/>
    <mergeCell ref="B16:F16"/>
    <mergeCell ref="G16:H16"/>
    <mergeCell ref="I16:J16"/>
    <mergeCell ref="B17:F17"/>
    <mergeCell ref="C33:F33"/>
    <mergeCell ref="C34:F34"/>
    <mergeCell ref="G34:H34"/>
    <mergeCell ref="I34:J34"/>
    <mergeCell ref="C35:F35"/>
    <mergeCell ref="G35:H35"/>
    <mergeCell ref="I35:J35"/>
    <mergeCell ref="B68:J68"/>
    <mergeCell ref="C69:I69"/>
    <mergeCell ref="C46:H46"/>
    <mergeCell ref="C47:F47"/>
    <mergeCell ref="C48:E48"/>
    <mergeCell ref="F48:H48"/>
    <mergeCell ref="C49:H49"/>
    <mergeCell ref="C50:F50"/>
    <mergeCell ref="G50:H50"/>
    <mergeCell ref="C51:I51"/>
    <mergeCell ref="C52:I52"/>
    <mergeCell ref="C53:I53"/>
    <mergeCell ref="C54:E54"/>
    <mergeCell ref="F54:H54"/>
    <mergeCell ref="C55:E55"/>
    <mergeCell ref="F55:H55"/>
    <mergeCell ref="C56:I56"/>
    <mergeCell ref="C41:H41"/>
    <mergeCell ref="I41:J41"/>
    <mergeCell ref="B42:J42"/>
    <mergeCell ref="B43:J43"/>
    <mergeCell ref="B44:J44"/>
    <mergeCell ref="B45:J45"/>
    <mergeCell ref="C79:H79"/>
    <mergeCell ref="C80:D80"/>
    <mergeCell ref="C81:H81"/>
    <mergeCell ref="C70:H70"/>
    <mergeCell ref="C71:H71"/>
    <mergeCell ref="B72:I72"/>
    <mergeCell ref="B73:J73"/>
    <mergeCell ref="B74:J74"/>
    <mergeCell ref="B75:J75"/>
    <mergeCell ref="B76:J76"/>
    <mergeCell ref="C77:H77"/>
    <mergeCell ref="C78:H78"/>
    <mergeCell ref="C57:I57"/>
    <mergeCell ref="B58:I58"/>
    <mergeCell ref="C59:I59"/>
    <mergeCell ref="C60:I60"/>
    <mergeCell ref="B61:I61"/>
    <mergeCell ref="B62:J62"/>
    <mergeCell ref="C36:H36"/>
    <mergeCell ref="I36:J36"/>
    <mergeCell ref="C37:H37"/>
    <mergeCell ref="I37:J37"/>
    <mergeCell ref="C38:H38"/>
    <mergeCell ref="I38:J38"/>
    <mergeCell ref="I39:J39"/>
    <mergeCell ref="C39:H39"/>
    <mergeCell ref="C40:H40"/>
    <mergeCell ref="I40:J40"/>
    <mergeCell ref="B63:I63"/>
    <mergeCell ref="B64:J64"/>
    <mergeCell ref="B65:J65"/>
    <mergeCell ref="B66:J66"/>
    <mergeCell ref="B67:J67"/>
    <mergeCell ref="C97:I97"/>
    <mergeCell ref="C98:H98"/>
    <mergeCell ref="C99:H99"/>
    <mergeCell ref="C100:H100"/>
    <mergeCell ref="C82:H82"/>
    <mergeCell ref="C83:H83"/>
    <mergeCell ref="C84:H84"/>
    <mergeCell ref="C85:H85"/>
    <mergeCell ref="B86:H86"/>
    <mergeCell ref="B88:J88"/>
    <mergeCell ref="C101:I101"/>
    <mergeCell ref="C102:I102"/>
    <mergeCell ref="C103:I103"/>
    <mergeCell ref="B89:J89"/>
    <mergeCell ref="B90:J90"/>
    <mergeCell ref="C91:I91"/>
    <mergeCell ref="C92:H92"/>
    <mergeCell ref="C93:H93"/>
    <mergeCell ref="C94:H94"/>
    <mergeCell ref="C95:H95"/>
    <mergeCell ref="C96:H96"/>
  </mergeCells>
  <conditionalFormatting sqref="I49:I50">
    <cfRule type="cellIs" dxfId="89" priority="1" operator="equal">
      <formula>0</formula>
    </cfRule>
  </conditionalFormatting>
  <conditionalFormatting sqref="I48">
    <cfRule type="cellIs" dxfId="88" priority="2" operator="equal">
      <formula>0</formula>
    </cfRule>
  </conditionalFormatting>
  <printOptions horizontalCentered="1"/>
  <pageMargins left="0.11811023622047245" right="0.11811023622047245" top="0.19685039370078741" bottom="0.19685039370078741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6</vt:i4>
      </vt:variant>
    </vt:vector>
  </HeadingPairs>
  <TitlesOfParts>
    <vt:vector size="26" baseType="lpstr">
      <vt:lpstr>DADOS-CADASTRAIS</vt:lpstr>
      <vt:lpstr>CAMPUS.CONTRATANTE</vt:lpstr>
      <vt:lpstr>1-ABA-DE-CARREGAMENTO</vt:lpstr>
      <vt:lpstr>PROPOSTA DO SERVIÇO</vt:lpstr>
      <vt:lpstr>Uniformes - EPIs_TODOS</vt:lpstr>
      <vt:lpstr>Insumos_Base</vt:lpstr>
      <vt:lpstr>6210-05_CAPATAZ-Encarreg</vt:lpstr>
      <vt:lpstr>6210-05_PEAO-Trabalh.Agropec</vt:lpstr>
      <vt:lpstr>6410-15_TRATORISTA-em-Geral</vt:lpstr>
      <vt:lpstr>6410-15_TRATORISTA-em-GeID</vt:lpstr>
      <vt:lpstr>INT.LIBRA_CBO.2614-25_40.hs</vt:lpstr>
      <vt:lpstr>MONITOR_CBO.3341-10_20hs</vt:lpstr>
      <vt:lpstr>MONITOR_CBO.3341-10_40hs</vt:lpstr>
      <vt:lpstr>PSICOPED_CBO.2394-25_20hs</vt:lpstr>
      <vt:lpstr>PSICOPED_CBO.2394-25_40hs</vt:lpstr>
      <vt:lpstr>AUX.S.BUC_CBO.3224-15_20hs</vt:lpstr>
      <vt:lpstr>A NÃO TEM MAIS POSTOS-88</vt:lpstr>
      <vt:lpstr>A NÃO TEM MAIS POSTOS-99</vt:lpstr>
      <vt:lpstr>TOTALIZADORES_IFFar</vt:lpstr>
      <vt:lpstr>Plan1</vt:lpstr>
      <vt:lpstr>'1-ABA-DE-CARREGAMENTO'!Area_de_impressao</vt:lpstr>
      <vt:lpstr>'6210-05_CAPATAZ-Encarreg'!Area_de_impressao</vt:lpstr>
      <vt:lpstr>'6210-05_PEAO-Trabalh.Agropec'!Area_de_impressao</vt:lpstr>
      <vt:lpstr>'6410-15_TRATORISTA-em-Geral'!Area_de_impressao</vt:lpstr>
      <vt:lpstr>'PROPOSTA DO SERVIÇO'!Area_de_impressao</vt:lpstr>
      <vt:lpstr>'Uniformes - EPIs_TODOS'!Area_de_impressao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95809848087</dc:creator>
  <cp:lastModifiedBy>thome</cp:lastModifiedBy>
  <cp:lastPrinted>2022-10-19T16:40:54Z</cp:lastPrinted>
  <dcterms:created xsi:type="dcterms:W3CDTF">2022-10-19T16:28:55Z</dcterms:created>
  <dcterms:modified xsi:type="dcterms:W3CDTF">2022-10-19T17:56:55Z</dcterms:modified>
</cp:coreProperties>
</file>