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Override PartName="/xl/commentsmeta6" ContentType="application/binary"/>
  <Override PartName="/xl/commentsmeta7"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55" windowWidth="19815" windowHeight="9405" firstSheet="1" activeTab="3"/>
  </bookViews>
  <sheets>
    <sheet name="DADOS-CADASTRAIS" sheetId="1" r:id="rId1"/>
    <sheet name="CAMPUS.CONTRATANTE" sheetId="2" r:id="rId2"/>
    <sheet name="1-ABA-DE-CARREGAMENTO" sheetId="3" r:id="rId3"/>
    <sheet name="PROPOSTA DO SERVIÇO" sheetId="4" r:id="rId4"/>
    <sheet name="Uniformes - EPIs_TODOS" sheetId="5" r:id="rId5"/>
    <sheet name="Insumos_Base" sheetId="6" r:id="rId6"/>
    <sheet name="5132-05_COZINHEIRO_prepost_hs" sheetId="7" r:id="rId7"/>
    <sheet name="5132-05_COZINHEIRO_geral_hs" sheetId="8" r:id="rId8"/>
    <sheet name="5135-05_AUX.COZINHA_hs" sheetId="9" r:id="rId9"/>
    <sheet name="2020-10_JARDINEIRO_hs-" sheetId="10" r:id="rId10"/>
    <sheet name="A NÃO TEM MAIS POSTOS-11" sheetId="11" state="hidden" r:id="rId11"/>
    <sheet name="TOTALIZADORES_IFFar" sheetId="12" state="hidden" r:id="rId12"/>
    <sheet name="A NÃO TEM MAIS POSTOS-33" sheetId="13" state="hidden" r:id="rId13"/>
    <sheet name="A NÃO TEM MAIS POSTOS-44" sheetId="14" state="hidden" r:id="rId14"/>
    <sheet name="A NAO TEM MAIS POSTO 55" sheetId="15" state="hidden" r:id="rId15"/>
    <sheet name="A NAO TEM MAIS POSTO 66" sheetId="16" state="hidden" r:id="rId16"/>
    <sheet name="A NAO TEM MAIS POSTO 77" sheetId="17" state="hidden" r:id="rId17"/>
    <sheet name="A NÃO TEM MAIS POSTOS-88" sheetId="18" state="hidden" r:id="rId18"/>
    <sheet name="A NÃO TEM MAIS POSTOS-99" sheetId="19" state="hidden" r:id="rId19"/>
  </sheets>
  <calcPr calcId="145621"/>
  <extLst>
    <ext uri="GoogleSheetsCustomDataVersion2">
      <go:sheetsCustomData xmlns:go="http://customooxmlschemas.google.com/" r:id="rId23" roundtripDataChecksum="Zi04v9EQVMiT6d6LSl8etlQ1D6ifwsAmvi4WzFxSS7Y="/>
    </ext>
  </extLst>
</workbook>
</file>

<file path=xl/calcChain.xml><?xml version="1.0" encoding="utf-8"?>
<calcChain xmlns="http://schemas.openxmlformats.org/spreadsheetml/2006/main">
  <c r="H206" i="19" l="1"/>
  <c r="I206" i="19" s="1"/>
  <c r="H205" i="19"/>
  <c r="I205" i="19" s="1"/>
  <c r="I204" i="19"/>
  <c r="H204" i="19"/>
  <c r="I202" i="19"/>
  <c r="H202" i="19"/>
  <c r="H201" i="19"/>
  <c r="I171" i="19"/>
  <c r="I170" i="19"/>
  <c r="I166" i="19"/>
  <c r="I164" i="19"/>
  <c r="J157" i="19"/>
  <c r="J192" i="19" s="1"/>
  <c r="J149" i="19"/>
  <c r="I49" i="19"/>
  <c r="I48" i="19"/>
  <c r="I40" i="19"/>
  <c r="I9" i="19"/>
  <c r="I8" i="19"/>
  <c r="B6" i="19"/>
  <c r="G5" i="19"/>
  <c r="G4" i="19"/>
  <c r="H206" i="18"/>
  <c r="I206" i="18" s="1"/>
  <c r="H205" i="18"/>
  <c r="I205" i="18" s="1"/>
  <c r="H204" i="18"/>
  <c r="I204" i="18" s="1"/>
  <c r="H202" i="18"/>
  <c r="I202" i="18" s="1"/>
  <c r="H201" i="18"/>
  <c r="I171" i="18"/>
  <c r="I170" i="18"/>
  <c r="I166" i="18"/>
  <c r="I164" i="18"/>
  <c r="J157" i="18"/>
  <c r="J192" i="18" s="1"/>
  <c r="J149" i="18"/>
  <c r="I49" i="18"/>
  <c r="I48" i="18"/>
  <c r="I40" i="18"/>
  <c r="I9" i="18"/>
  <c r="I8" i="18"/>
  <c r="B6" i="18"/>
  <c r="G5" i="18"/>
  <c r="G4" i="18"/>
  <c r="H206" i="17"/>
  <c r="I206" i="17" s="1"/>
  <c r="H205" i="17"/>
  <c r="I205" i="17" s="1"/>
  <c r="H204" i="17"/>
  <c r="I204" i="17" s="1"/>
  <c r="H202" i="17"/>
  <c r="I202" i="17" s="1"/>
  <c r="H201" i="17"/>
  <c r="I171" i="17"/>
  <c r="I170" i="17"/>
  <c r="I166" i="17"/>
  <c r="I164" i="17"/>
  <c r="J157" i="17"/>
  <c r="J192" i="17" s="1"/>
  <c r="J149" i="17"/>
  <c r="I49" i="17"/>
  <c r="I48" i="17"/>
  <c r="I40" i="17"/>
  <c r="I9" i="17"/>
  <c r="I8" i="17"/>
  <c r="B6" i="17"/>
  <c r="G5" i="17"/>
  <c r="G4" i="17"/>
  <c r="H206" i="16"/>
  <c r="I206" i="16" s="1"/>
  <c r="I205" i="16"/>
  <c r="H205" i="16"/>
  <c r="I204" i="16"/>
  <c r="H204" i="16"/>
  <c r="I202" i="16"/>
  <c r="H202" i="16"/>
  <c r="H201" i="16"/>
  <c r="I171" i="16"/>
  <c r="I170" i="16"/>
  <c r="I166" i="16"/>
  <c r="I164" i="16"/>
  <c r="J157" i="16"/>
  <c r="J192" i="16" s="1"/>
  <c r="J149" i="16"/>
  <c r="I49" i="16"/>
  <c r="I48" i="16"/>
  <c r="I40" i="16"/>
  <c r="I9" i="16"/>
  <c r="I8" i="16"/>
  <c r="B6" i="16"/>
  <c r="G5" i="16"/>
  <c r="G4" i="16"/>
  <c r="I206" i="15"/>
  <c r="H206" i="15"/>
  <c r="H205" i="15"/>
  <c r="I205" i="15" s="1"/>
  <c r="I204" i="15"/>
  <c r="H204" i="15"/>
  <c r="I202" i="15"/>
  <c r="H202" i="15"/>
  <c r="I201" i="15"/>
  <c r="H201" i="15"/>
  <c r="I171" i="15"/>
  <c r="I170" i="15"/>
  <c r="I166" i="15"/>
  <c r="I164" i="15"/>
  <c r="J157" i="15"/>
  <c r="J192" i="15" s="1"/>
  <c r="J149" i="15"/>
  <c r="I49" i="15"/>
  <c r="I48" i="15"/>
  <c r="I40" i="15"/>
  <c r="I9" i="15"/>
  <c r="I8" i="15"/>
  <c r="B6" i="15"/>
  <c r="G5" i="15"/>
  <c r="G4" i="15"/>
  <c r="H206" i="14"/>
  <c r="I206" i="14" s="1"/>
  <c r="H205" i="14"/>
  <c r="I205" i="14" s="1"/>
  <c r="I204" i="14"/>
  <c r="H204" i="14"/>
  <c r="I202" i="14"/>
  <c r="H202" i="14"/>
  <c r="H201" i="14"/>
  <c r="I171" i="14"/>
  <c r="I170" i="14"/>
  <c r="I166" i="14"/>
  <c r="I164" i="14"/>
  <c r="J154" i="14"/>
  <c r="J157" i="14" s="1"/>
  <c r="J192" i="14" s="1"/>
  <c r="J149" i="14"/>
  <c r="I49" i="14"/>
  <c r="I48" i="14"/>
  <c r="I40" i="14"/>
  <c r="I11" i="14"/>
  <c r="H213" i="14" s="1"/>
  <c r="I9" i="14"/>
  <c r="I8" i="14"/>
  <c r="B6" i="14"/>
  <c r="G5" i="14"/>
  <c r="G4" i="14"/>
  <c r="H206" i="13"/>
  <c r="I206" i="13" s="1"/>
  <c r="H205" i="13"/>
  <c r="I205" i="13" s="1"/>
  <c r="I204" i="13"/>
  <c r="H204" i="13"/>
  <c r="I202" i="13"/>
  <c r="H202" i="13"/>
  <c r="H201" i="13"/>
  <c r="I171" i="13"/>
  <c r="I170" i="13"/>
  <c r="I166" i="13"/>
  <c r="I164" i="13"/>
  <c r="J154" i="13"/>
  <c r="J157" i="13" s="1"/>
  <c r="J192" i="13" s="1"/>
  <c r="J149" i="13"/>
  <c r="I49" i="13"/>
  <c r="I40" i="13"/>
  <c r="I11" i="13"/>
  <c r="H213" i="13" s="1"/>
  <c r="I9" i="13"/>
  <c r="I8" i="13"/>
  <c r="B6" i="13"/>
  <c r="G5" i="13"/>
  <c r="G4" i="13"/>
  <c r="D173" i="12"/>
  <c r="J163" i="12"/>
  <c r="H162" i="12"/>
  <c r="H173" i="12" s="1"/>
  <c r="G162" i="12"/>
  <c r="H161" i="12"/>
  <c r="G161" i="12"/>
  <c r="B161" i="12"/>
  <c r="B162" i="12" s="1"/>
  <c r="B163" i="12" s="1"/>
  <c r="B164" i="12" s="1"/>
  <c r="B165" i="12" s="1"/>
  <c r="B166" i="12" s="1"/>
  <c r="B167" i="12" s="1"/>
  <c r="B168" i="12" s="1"/>
  <c r="B169" i="12" s="1"/>
  <c r="B170" i="12" s="1"/>
  <c r="B171" i="12" s="1"/>
  <c r="B172" i="12" s="1"/>
  <c r="B173" i="12" s="1"/>
  <c r="D159" i="12"/>
  <c r="H148" i="12"/>
  <c r="G148" i="12"/>
  <c r="G147" i="12"/>
  <c r="H147" i="12" s="1"/>
  <c r="H159" i="12" s="1"/>
  <c r="B147" i="12"/>
  <c r="B148" i="12" s="1"/>
  <c r="B149" i="12" s="1"/>
  <c r="B150" i="12" s="1"/>
  <c r="B151" i="12" s="1"/>
  <c r="B152" i="12" s="1"/>
  <c r="B153" i="12" s="1"/>
  <c r="B154" i="12" s="1"/>
  <c r="B155" i="12" s="1"/>
  <c r="B156" i="12" s="1"/>
  <c r="B157" i="12" s="1"/>
  <c r="B158" i="12" s="1"/>
  <c r="B159" i="12" s="1"/>
  <c r="D145" i="12"/>
  <c r="B135" i="12"/>
  <c r="B136" i="12" s="1"/>
  <c r="B137" i="12" s="1"/>
  <c r="B138" i="12" s="1"/>
  <c r="B139" i="12" s="1"/>
  <c r="B140" i="12" s="1"/>
  <c r="B141" i="12" s="1"/>
  <c r="B142" i="12" s="1"/>
  <c r="B143" i="12" s="1"/>
  <c r="B144" i="12" s="1"/>
  <c r="B145" i="12" s="1"/>
  <c r="H134" i="12"/>
  <c r="G134" i="12"/>
  <c r="B134" i="12"/>
  <c r="H133" i="12"/>
  <c r="G133" i="12"/>
  <c r="B133" i="12"/>
  <c r="D131" i="12"/>
  <c r="B121" i="12"/>
  <c r="B122" i="12" s="1"/>
  <c r="B123" i="12" s="1"/>
  <c r="B124" i="12" s="1"/>
  <c r="B125" i="12" s="1"/>
  <c r="B126" i="12" s="1"/>
  <c r="B127" i="12" s="1"/>
  <c r="B128" i="12" s="1"/>
  <c r="B129" i="12" s="1"/>
  <c r="B130" i="12" s="1"/>
  <c r="B131" i="12" s="1"/>
  <c r="H120" i="12"/>
  <c r="G120" i="12"/>
  <c r="B120" i="12"/>
  <c r="G119" i="12"/>
  <c r="H119" i="12" s="1"/>
  <c r="H131" i="12" s="1"/>
  <c r="B119" i="12"/>
  <c r="D117" i="12"/>
  <c r="G106" i="12"/>
  <c r="H106" i="12" s="1"/>
  <c r="H105" i="12"/>
  <c r="H117" i="12" s="1"/>
  <c r="G105" i="12"/>
  <c r="B105" i="12"/>
  <c r="B106" i="12" s="1"/>
  <c r="B107" i="12" s="1"/>
  <c r="B108" i="12" s="1"/>
  <c r="B109" i="12" s="1"/>
  <c r="B110" i="12" s="1"/>
  <c r="B111" i="12" s="1"/>
  <c r="B112" i="12" s="1"/>
  <c r="B113" i="12" s="1"/>
  <c r="B114" i="12" s="1"/>
  <c r="B115" i="12" s="1"/>
  <c r="B116" i="12" s="1"/>
  <c r="B117" i="12" s="1"/>
  <c r="D103" i="12"/>
  <c r="B97" i="12"/>
  <c r="B98" i="12" s="1"/>
  <c r="B99" i="12" s="1"/>
  <c r="B100" i="12" s="1"/>
  <c r="B101" i="12" s="1"/>
  <c r="B102" i="12" s="1"/>
  <c r="B103" i="12" s="1"/>
  <c r="B94" i="12"/>
  <c r="B95" i="12" s="1"/>
  <c r="B96" i="12" s="1"/>
  <c r="G92" i="12"/>
  <c r="H92" i="12" s="1"/>
  <c r="B92" i="12"/>
  <c r="B93" i="12" s="1"/>
  <c r="G91" i="12"/>
  <c r="H91" i="12" s="1"/>
  <c r="B91" i="12"/>
  <c r="D89" i="12"/>
  <c r="H78" i="12"/>
  <c r="H89" i="12" s="1"/>
  <c r="G78" i="12"/>
  <c r="B77" i="12"/>
  <c r="B78" i="12" s="1"/>
  <c r="B79" i="12" s="1"/>
  <c r="B80" i="12" s="1"/>
  <c r="B81" i="12" s="1"/>
  <c r="B82" i="12" s="1"/>
  <c r="B83" i="12" s="1"/>
  <c r="B84" i="12" s="1"/>
  <c r="B85" i="12" s="1"/>
  <c r="B86" i="12" s="1"/>
  <c r="B87" i="12" s="1"/>
  <c r="B88" i="12" s="1"/>
  <c r="B89" i="12" s="1"/>
  <c r="D75" i="12"/>
  <c r="G64" i="12"/>
  <c r="H64" i="12" s="1"/>
  <c r="B64" i="12"/>
  <c r="B65" i="12" s="1"/>
  <c r="B66" i="12" s="1"/>
  <c r="B67" i="12" s="1"/>
  <c r="B68" i="12" s="1"/>
  <c r="B69" i="12" s="1"/>
  <c r="B70" i="12" s="1"/>
  <c r="B71" i="12" s="1"/>
  <c r="B72" i="12" s="1"/>
  <c r="B73" i="12" s="1"/>
  <c r="B74" i="12" s="1"/>
  <c r="B75" i="12" s="1"/>
  <c r="G63" i="12"/>
  <c r="H63" i="12" s="1"/>
  <c r="B63" i="12"/>
  <c r="D61" i="12"/>
  <c r="H50" i="12"/>
  <c r="G50" i="12"/>
  <c r="G49" i="12"/>
  <c r="H49" i="12" s="1"/>
  <c r="H61" i="12" s="1"/>
  <c r="B49" i="12"/>
  <c r="B50" i="12" s="1"/>
  <c r="B51" i="12" s="1"/>
  <c r="B52" i="12" s="1"/>
  <c r="B53" i="12" s="1"/>
  <c r="B54" i="12" s="1"/>
  <c r="B55" i="12" s="1"/>
  <c r="B56" i="12" s="1"/>
  <c r="B57" i="12" s="1"/>
  <c r="B58" i="12" s="1"/>
  <c r="B59" i="12" s="1"/>
  <c r="B60" i="12" s="1"/>
  <c r="B61" i="12" s="1"/>
  <c r="D47" i="12"/>
  <c r="B39" i="12"/>
  <c r="B40" i="12" s="1"/>
  <c r="B41" i="12" s="1"/>
  <c r="B42" i="12" s="1"/>
  <c r="B43" i="12" s="1"/>
  <c r="B44" i="12" s="1"/>
  <c r="B45" i="12" s="1"/>
  <c r="B46" i="12" s="1"/>
  <c r="B47" i="12" s="1"/>
  <c r="G36" i="12"/>
  <c r="H36" i="12" s="1"/>
  <c r="G35" i="12"/>
  <c r="H35" i="12" s="1"/>
  <c r="H47" i="12" s="1"/>
  <c r="B35" i="12"/>
  <c r="B36" i="12" s="1"/>
  <c r="B37" i="12" s="1"/>
  <c r="B38" i="12" s="1"/>
  <c r="D33" i="12"/>
  <c r="B23" i="12"/>
  <c r="B24" i="12" s="1"/>
  <c r="B25" i="12" s="1"/>
  <c r="B26" i="12" s="1"/>
  <c r="B27" i="12" s="1"/>
  <c r="B28" i="12" s="1"/>
  <c r="B29" i="12" s="1"/>
  <c r="B30" i="12" s="1"/>
  <c r="B31" i="12" s="1"/>
  <c r="B32" i="12" s="1"/>
  <c r="B33" i="12" s="1"/>
  <c r="H22" i="12"/>
  <c r="G22" i="12"/>
  <c r="B22" i="12"/>
  <c r="H21" i="12"/>
  <c r="H33" i="12" s="1"/>
  <c r="G21" i="12"/>
  <c r="B21" i="12"/>
  <c r="D19" i="12"/>
  <c r="B19" i="12"/>
  <c r="H8" i="12"/>
  <c r="G8" i="12"/>
  <c r="B8" i="12"/>
  <c r="B9" i="12" s="1"/>
  <c r="B10" i="12" s="1"/>
  <c r="B11" i="12" s="1"/>
  <c r="B12" i="12" s="1"/>
  <c r="B13" i="12" s="1"/>
  <c r="B14" i="12" s="1"/>
  <c r="B15" i="12" s="1"/>
  <c r="B16" i="12" s="1"/>
  <c r="B17" i="12" s="1"/>
  <c r="B18" i="12" s="1"/>
  <c r="G7" i="12"/>
  <c r="H7" i="12" s="1"/>
  <c r="H19" i="12" s="1"/>
  <c r="B7" i="12"/>
  <c r="H213" i="11"/>
  <c r="H206" i="11"/>
  <c r="I206" i="11" s="1"/>
  <c r="I205" i="11"/>
  <c r="H205" i="11"/>
  <c r="I204" i="11"/>
  <c r="H204" i="11"/>
  <c r="I202" i="11"/>
  <c r="H202" i="11"/>
  <c r="H201" i="11"/>
  <c r="I171" i="11"/>
  <c r="I170" i="11"/>
  <c r="I166" i="11"/>
  <c r="I164" i="11"/>
  <c r="J157" i="11"/>
  <c r="J192" i="11" s="1"/>
  <c r="J154" i="11"/>
  <c r="J149" i="11"/>
  <c r="I49" i="11"/>
  <c r="I40" i="11"/>
  <c r="I11" i="11"/>
  <c r="I9" i="11"/>
  <c r="I8" i="11"/>
  <c r="B6" i="11"/>
  <c r="G5" i="11"/>
  <c r="G4" i="11"/>
  <c r="I206" i="10"/>
  <c r="H206" i="10"/>
  <c r="I205" i="10"/>
  <c r="H205" i="10"/>
  <c r="H204" i="10"/>
  <c r="I204" i="10" s="1"/>
  <c r="H202" i="10"/>
  <c r="I202" i="10" s="1"/>
  <c r="I201" i="10"/>
  <c r="H201" i="10"/>
  <c r="I171" i="10"/>
  <c r="I170" i="10"/>
  <c r="I166" i="10"/>
  <c r="I164" i="10"/>
  <c r="J149" i="10"/>
  <c r="I40" i="10"/>
  <c r="I11" i="10"/>
  <c r="I9" i="10"/>
  <c r="I8" i="10"/>
  <c r="B6" i="10"/>
  <c r="G5" i="10"/>
  <c r="G4" i="10"/>
  <c r="H213" i="9"/>
  <c r="I206" i="9"/>
  <c r="H206" i="9"/>
  <c r="H205" i="9"/>
  <c r="I205" i="9" s="1"/>
  <c r="I204" i="9"/>
  <c r="H204" i="9"/>
  <c r="I202" i="9"/>
  <c r="H202" i="9"/>
  <c r="I201" i="9"/>
  <c r="H201" i="9"/>
  <c r="I171" i="9"/>
  <c r="I170" i="9"/>
  <c r="I166" i="9"/>
  <c r="I164" i="9"/>
  <c r="J149" i="9"/>
  <c r="I40" i="9"/>
  <c r="I11" i="9"/>
  <c r="I9" i="9"/>
  <c r="I8" i="9"/>
  <c r="B6" i="9"/>
  <c r="G5" i="9"/>
  <c r="G4" i="9"/>
  <c r="H206" i="8"/>
  <c r="I206" i="8" s="1"/>
  <c r="H205" i="8"/>
  <c r="I205" i="8" s="1"/>
  <c r="H204" i="8"/>
  <c r="I204" i="8" s="1"/>
  <c r="H202" i="8"/>
  <c r="I202" i="8" s="1"/>
  <c r="I201" i="8"/>
  <c r="H201" i="8"/>
  <c r="I171" i="8"/>
  <c r="I170" i="8"/>
  <c r="I166" i="8"/>
  <c r="I164" i="8"/>
  <c r="J149" i="8"/>
  <c r="I40" i="8"/>
  <c r="I11" i="8"/>
  <c r="H213" i="8" s="1"/>
  <c r="I9" i="8"/>
  <c r="I8" i="8"/>
  <c r="B6" i="8"/>
  <c r="G5" i="8"/>
  <c r="G4" i="8"/>
  <c r="I206" i="7"/>
  <c r="H206" i="7"/>
  <c r="H205" i="7"/>
  <c r="I205" i="7" s="1"/>
  <c r="H204" i="7"/>
  <c r="I204" i="7" s="1"/>
  <c r="H202" i="7"/>
  <c r="H201" i="7"/>
  <c r="I201" i="7" s="1"/>
  <c r="I171" i="7"/>
  <c r="I170" i="7"/>
  <c r="I166" i="7"/>
  <c r="I164" i="7"/>
  <c r="J149" i="7"/>
  <c r="I94" i="7"/>
  <c r="I80" i="7"/>
  <c r="I86" i="7" s="1"/>
  <c r="H80" i="7"/>
  <c r="F80" i="7"/>
  <c r="I41" i="7"/>
  <c r="I40" i="7"/>
  <c r="G203" i="7" s="1"/>
  <c r="I11" i="7"/>
  <c r="H213" i="7" s="1"/>
  <c r="I9" i="7"/>
  <c r="I8" i="7"/>
  <c r="B6" i="7"/>
  <c r="G5" i="7"/>
  <c r="G4" i="7"/>
  <c r="H127" i="5"/>
  <c r="G127" i="5"/>
  <c r="D127" i="5"/>
  <c r="C127" i="5"/>
  <c r="B127" i="5"/>
  <c r="H126" i="5"/>
  <c r="G126" i="5"/>
  <c r="E126" i="5"/>
  <c r="F126" i="5" s="1"/>
  <c r="D126" i="5"/>
  <c r="C126" i="5"/>
  <c r="B126" i="5"/>
  <c r="H125" i="5"/>
  <c r="G125" i="5"/>
  <c r="E125" i="5"/>
  <c r="D125" i="5"/>
  <c r="C125" i="5"/>
  <c r="B125" i="5"/>
  <c r="H124" i="5"/>
  <c r="G124" i="5"/>
  <c r="E124" i="5"/>
  <c r="F124" i="5" s="1"/>
  <c r="D124" i="5"/>
  <c r="C124" i="5"/>
  <c r="B124" i="5"/>
  <c r="H123" i="5"/>
  <c r="G123" i="5"/>
  <c r="E123" i="5" s="1"/>
  <c r="F123" i="5"/>
  <c r="D123" i="5"/>
  <c r="C123" i="5"/>
  <c r="B123" i="5"/>
  <c r="H122" i="5"/>
  <c r="G122" i="5"/>
  <c r="E122" i="5" s="1"/>
  <c r="F122" i="5" s="1"/>
  <c r="D122" i="5"/>
  <c r="C122" i="5"/>
  <c r="B122" i="5"/>
  <c r="H121" i="5"/>
  <c r="G121" i="5"/>
  <c r="D121" i="5"/>
  <c r="C121" i="5"/>
  <c r="B121" i="5"/>
  <c r="H120" i="5"/>
  <c r="G120" i="5"/>
  <c r="E120" i="5" s="1"/>
  <c r="F120" i="5" s="1"/>
  <c r="D120" i="5"/>
  <c r="C120" i="5"/>
  <c r="B120" i="5"/>
  <c r="H119" i="5"/>
  <c r="G119" i="5"/>
  <c r="E119" i="5" s="1"/>
  <c r="D119" i="5"/>
  <c r="C119" i="5"/>
  <c r="B119" i="5"/>
  <c r="H118" i="5"/>
  <c r="G118" i="5"/>
  <c r="E118" i="5" s="1"/>
  <c r="F118" i="5" s="1"/>
  <c r="D118" i="5"/>
  <c r="C118" i="5"/>
  <c r="B118" i="5"/>
  <c r="H117" i="5"/>
  <c r="G117" i="5"/>
  <c r="E117" i="5" s="1"/>
  <c r="F117" i="5" s="1"/>
  <c r="D117" i="5"/>
  <c r="C117" i="5"/>
  <c r="B117" i="5"/>
  <c r="H116" i="5"/>
  <c r="G116" i="5"/>
  <c r="E116" i="5" s="1"/>
  <c r="F116" i="5" s="1"/>
  <c r="D116" i="5"/>
  <c r="C116" i="5"/>
  <c r="B116" i="5"/>
  <c r="H115" i="5"/>
  <c r="E115" i="5" s="1"/>
  <c r="F115" i="5" s="1"/>
  <c r="G115" i="5"/>
  <c r="D115" i="5"/>
  <c r="C115" i="5"/>
  <c r="B115" i="5"/>
  <c r="H114" i="5"/>
  <c r="G114" i="5"/>
  <c r="E114" i="5" s="1"/>
  <c r="F114" i="5" s="1"/>
  <c r="D114" i="5"/>
  <c r="C114" i="5"/>
  <c r="B114" i="5"/>
  <c r="H109" i="5"/>
  <c r="G109" i="5"/>
  <c r="D109" i="5"/>
  <c r="C109" i="5"/>
  <c r="B109" i="5"/>
  <c r="H108" i="5"/>
  <c r="G108" i="5"/>
  <c r="D108" i="5"/>
  <c r="C108" i="5"/>
  <c r="B108" i="5"/>
  <c r="H107" i="5"/>
  <c r="G107" i="5"/>
  <c r="E107" i="5" s="1"/>
  <c r="F107" i="5" s="1"/>
  <c r="D107" i="5"/>
  <c r="C107" i="5"/>
  <c r="B107" i="5"/>
  <c r="H106" i="5"/>
  <c r="G106" i="5"/>
  <c r="D106" i="5"/>
  <c r="C106" i="5"/>
  <c r="B106" i="5"/>
  <c r="H105" i="5"/>
  <c r="G105" i="5"/>
  <c r="D105" i="5"/>
  <c r="C105" i="5"/>
  <c r="B105" i="5"/>
  <c r="H104" i="5"/>
  <c r="G104" i="5"/>
  <c r="E104" i="5" s="1"/>
  <c r="D104" i="5"/>
  <c r="C104" i="5"/>
  <c r="B104" i="5"/>
  <c r="H103" i="5"/>
  <c r="G103" i="5"/>
  <c r="D103" i="5"/>
  <c r="C103" i="5"/>
  <c r="B103" i="5"/>
  <c r="H102" i="5"/>
  <c r="G102" i="5"/>
  <c r="D102" i="5"/>
  <c r="C102" i="5"/>
  <c r="B102" i="5"/>
  <c r="H101" i="5"/>
  <c r="G101" i="5"/>
  <c r="E101" i="5" s="1"/>
  <c r="F101" i="5" s="1"/>
  <c r="D101" i="5"/>
  <c r="C101" i="5"/>
  <c r="B101" i="5"/>
  <c r="H100" i="5"/>
  <c r="G100" i="5"/>
  <c r="D100" i="5"/>
  <c r="C100" i="5"/>
  <c r="B100" i="5"/>
  <c r="H99" i="5"/>
  <c r="E99" i="5" s="1"/>
  <c r="F99" i="5" s="1"/>
  <c r="G99" i="5"/>
  <c r="D99" i="5"/>
  <c r="C99" i="5"/>
  <c r="B99" i="5"/>
  <c r="H98" i="5"/>
  <c r="G98" i="5"/>
  <c r="D98" i="5"/>
  <c r="C98" i="5"/>
  <c r="B98" i="5"/>
  <c r="H97" i="5"/>
  <c r="E97" i="5" s="1"/>
  <c r="F97" i="5" s="1"/>
  <c r="G97" i="5"/>
  <c r="D97" i="5"/>
  <c r="C97" i="5"/>
  <c r="B97" i="5"/>
  <c r="H96" i="5"/>
  <c r="G96" i="5"/>
  <c r="D96" i="5"/>
  <c r="C96" i="5"/>
  <c r="B96" i="5"/>
  <c r="H95" i="5"/>
  <c r="G95" i="5"/>
  <c r="E95" i="5" s="1"/>
  <c r="F95" i="5" s="1"/>
  <c r="D95" i="5"/>
  <c r="C95" i="5"/>
  <c r="B95" i="5"/>
  <c r="H94" i="5"/>
  <c r="G94" i="5"/>
  <c r="D94" i="5"/>
  <c r="C94" i="5"/>
  <c r="B94" i="5"/>
  <c r="H93" i="5"/>
  <c r="E93" i="5" s="1"/>
  <c r="F93" i="5" s="1"/>
  <c r="G93" i="5"/>
  <c r="D93" i="5"/>
  <c r="C93" i="5"/>
  <c r="B93" i="5"/>
  <c r="H92" i="5"/>
  <c r="G92" i="5"/>
  <c r="D92" i="5"/>
  <c r="C92" i="5"/>
  <c r="B92" i="5"/>
  <c r="H91" i="5"/>
  <c r="E91" i="5" s="1"/>
  <c r="F91" i="5" s="1"/>
  <c r="G91" i="5"/>
  <c r="D91" i="5"/>
  <c r="C91" i="5"/>
  <c r="B91" i="5"/>
  <c r="H90" i="5"/>
  <c r="G90" i="5"/>
  <c r="D90" i="5"/>
  <c r="C90" i="5"/>
  <c r="B90" i="5"/>
  <c r="H84" i="5"/>
  <c r="G84" i="5"/>
  <c r="E84" i="5" s="1"/>
  <c r="F84" i="5" s="1"/>
  <c r="D84" i="5"/>
  <c r="C84" i="5"/>
  <c r="B84" i="5"/>
  <c r="H83" i="5"/>
  <c r="G83" i="5"/>
  <c r="E83" i="5"/>
  <c r="F83" i="5" s="1"/>
  <c r="D83" i="5"/>
  <c r="C83" i="5"/>
  <c r="B83" i="5"/>
  <c r="H82" i="5"/>
  <c r="G82" i="5"/>
  <c r="E82" i="5"/>
  <c r="F82" i="5" s="1"/>
  <c r="D82" i="5"/>
  <c r="C82" i="5"/>
  <c r="B82" i="5"/>
  <c r="H81" i="5"/>
  <c r="G81" i="5"/>
  <c r="E81" i="5"/>
  <c r="F81" i="5" s="1"/>
  <c r="D81" i="5"/>
  <c r="C81" i="5"/>
  <c r="B81" i="5"/>
  <c r="H80" i="5"/>
  <c r="G80" i="5"/>
  <c r="E80" i="5" s="1"/>
  <c r="F80" i="5" s="1"/>
  <c r="D80" i="5"/>
  <c r="C80" i="5"/>
  <c r="B80" i="5"/>
  <c r="H79" i="5"/>
  <c r="G79" i="5"/>
  <c r="E79" i="5" s="1"/>
  <c r="F79" i="5" s="1"/>
  <c r="D79" i="5"/>
  <c r="C79" i="5"/>
  <c r="B79" i="5"/>
  <c r="H78" i="5"/>
  <c r="G78" i="5"/>
  <c r="E78" i="5" s="1"/>
  <c r="F78" i="5" s="1"/>
  <c r="D78" i="5"/>
  <c r="C78" i="5"/>
  <c r="B78" i="5"/>
  <c r="H77" i="5"/>
  <c r="G77" i="5"/>
  <c r="D77" i="5"/>
  <c r="C77" i="5"/>
  <c r="B77" i="5"/>
  <c r="H76" i="5"/>
  <c r="G76" i="5"/>
  <c r="E76" i="5" s="1"/>
  <c r="D76" i="5"/>
  <c r="C76" i="5"/>
  <c r="B76" i="5"/>
  <c r="H75" i="5"/>
  <c r="G75" i="5"/>
  <c r="E75" i="5" s="1"/>
  <c r="F75" i="5" s="1"/>
  <c r="D75" i="5"/>
  <c r="C75" i="5"/>
  <c r="B75" i="5"/>
  <c r="H74" i="5"/>
  <c r="G74" i="5"/>
  <c r="E74" i="5" s="1"/>
  <c r="F74" i="5" s="1"/>
  <c r="D74" i="5"/>
  <c r="C74" i="5"/>
  <c r="B74" i="5"/>
  <c r="H73" i="5"/>
  <c r="G73" i="5"/>
  <c r="E73" i="5" s="1"/>
  <c r="F73" i="5" s="1"/>
  <c r="D73" i="5"/>
  <c r="C73" i="5"/>
  <c r="B73" i="5"/>
  <c r="H68" i="5"/>
  <c r="G68" i="5"/>
  <c r="E68" i="5" s="1"/>
  <c r="F68" i="5" s="1"/>
  <c r="D68" i="5"/>
  <c r="C68" i="5"/>
  <c r="B68" i="5"/>
  <c r="H67" i="5"/>
  <c r="G67" i="5"/>
  <c r="E67" i="5" s="1"/>
  <c r="F67" i="5" s="1"/>
  <c r="D67" i="5"/>
  <c r="C67" i="5"/>
  <c r="B67" i="5"/>
  <c r="H66" i="5"/>
  <c r="G66" i="5"/>
  <c r="E66" i="5" s="1"/>
  <c r="F66" i="5" s="1"/>
  <c r="D66" i="5"/>
  <c r="C66" i="5"/>
  <c r="B66" i="5"/>
  <c r="H65" i="5"/>
  <c r="G65" i="5"/>
  <c r="D65" i="5"/>
  <c r="C65" i="5"/>
  <c r="B65" i="5"/>
  <c r="H64" i="5"/>
  <c r="G64" i="5"/>
  <c r="E64" i="5" s="1"/>
  <c r="F64" i="5" s="1"/>
  <c r="D64" i="5"/>
  <c r="C64" i="5"/>
  <c r="B64" i="5"/>
  <c r="H63" i="5"/>
  <c r="G63" i="5"/>
  <c r="D63" i="5"/>
  <c r="C63" i="5"/>
  <c r="B63" i="5"/>
  <c r="H62" i="5"/>
  <c r="G62" i="5"/>
  <c r="E62" i="5" s="1"/>
  <c r="F62" i="5" s="1"/>
  <c r="D62" i="5"/>
  <c r="C62" i="5"/>
  <c r="B62" i="5"/>
  <c r="H61" i="5"/>
  <c r="G61" i="5"/>
  <c r="E61" i="5" s="1"/>
  <c r="F61" i="5" s="1"/>
  <c r="D61" i="5"/>
  <c r="C61" i="5"/>
  <c r="B61" i="5"/>
  <c r="H60" i="5"/>
  <c r="G60" i="5"/>
  <c r="E60" i="5" s="1"/>
  <c r="F60" i="5" s="1"/>
  <c r="D60" i="5"/>
  <c r="C60" i="5"/>
  <c r="B60" i="5"/>
  <c r="H59" i="5"/>
  <c r="G59" i="5"/>
  <c r="E59" i="5" s="1"/>
  <c r="F59" i="5" s="1"/>
  <c r="D59" i="5"/>
  <c r="C59" i="5"/>
  <c r="B59" i="5"/>
  <c r="H58" i="5"/>
  <c r="G58" i="5"/>
  <c r="E58" i="5" s="1"/>
  <c r="F58" i="5" s="1"/>
  <c r="D58" i="5"/>
  <c r="C58" i="5"/>
  <c r="B58" i="5"/>
  <c r="H57" i="5"/>
  <c r="G57" i="5"/>
  <c r="D57" i="5"/>
  <c r="C57" i="5"/>
  <c r="B57" i="5"/>
  <c r="H56" i="5"/>
  <c r="G56" i="5"/>
  <c r="E56" i="5" s="1"/>
  <c r="F56" i="5" s="1"/>
  <c r="D56" i="5"/>
  <c r="C56" i="5"/>
  <c r="B56" i="5"/>
  <c r="H55" i="5"/>
  <c r="G55" i="5"/>
  <c r="D55" i="5"/>
  <c r="C55" i="5"/>
  <c r="B55" i="5"/>
  <c r="H54" i="5"/>
  <c r="G54" i="5"/>
  <c r="E54" i="5" s="1"/>
  <c r="F54" i="5" s="1"/>
  <c r="D54" i="5"/>
  <c r="C54" i="5"/>
  <c r="B54" i="5"/>
  <c r="H53" i="5"/>
  <c r="G53" i="5"/>
  <c r="D53" i="5"/>
  <c r="C53" i="5"/>
  <c r="B53" i="5"/>
  <c r="H52" i="5"/>
  <c r="G52" i="5"/>
  <c r="E52" i="5" s="1"/>
  <c r="F52" i="5" s="1"/>
  <c r="D52" i="5"/>
  <c r="C52" i="5"/>
  <c r="B52" i="5"/>
  <c r="H51" i="5"/>
  <c r="G51" i="5"/>
  <c r="D51" i="5"/>
  <c r="C51" i="5"/>
  <c r="B51" i="5"/>
  <c r="H50" i="5"/>
  <c r="G50" i="5"/>
  <c r="E50" i="5" s="1"/>
  <c r="F50" i="5" s="1"/>
  <c r="D50" i="5"/>
  <c r="C50" i="5"/>
  <c r="B50" i="5"/>
  <c r="H49" i="5"/>
  <c r="G49" i="5"/>
  <c r="E49" i="5" s="1"/>
  <c r="F49" i="5" s="1"/>
  <c r="D49" i="5"/>
  <c r="C49" i="5"/>
  <c r="B49" i="5"/>
  <c r="H48" i="5"/>
  <c r="G48" i="5"/>
  <c r="E48" i="5" s="1"/>
  <c r="F48" i="5" s="1"/>
  <c r="D48" i="5"/>
  <c r="C48" i="5"/>
  <c r="B48" i="5"/>
  <c r="H47" i="5"/>
  <c r="G47" i="5"/>
  <c r="D47" i="5"/>
  <c r="C47" i="5"/>
  <c r="B47" i="5"/>
  <c r="H46" i="5"/>
  <c r="G46" i="5"/>
  <c r="E46" i="5" s="1"/>
  <c r="F46" i="5" s="1"/>
  <c r="D46" i="5"/>
  <c r="C46" i="5"/>
  <c r="B46" i="5"/>
  <c r="H45" i="5"/>
  <c r="G45" i="5"/>
  <c r="D45" i="5"/>
  <c r="C45" i="5"/>
  <c r="B45" i="5"/>
  <c r="H44" i="5"/>
  <c r="G44" i="5"/>
  <c r="E44" i="5" s="1"/>
  <c r="F44" i="5" s="1"/>
  <c r="D44" i="5"/>
  <c r="C44" i="5"/>
  <c r="B44" i="5"/>
  <c r="H43" i="5"/>
  <c r="G43" i="5"/>
  <c r="E43" i="5" s="1"/>
  <c r="F43" i="5" s="1"/>
  <c r="D43" i="5"/>
  <c r="C43" i="5"/>
  <c r="B43" i="5"/>
  <c r="H42" i="5"/>
  <c r="G42" i="5"/>
  <c r="E42" i="5" s="1"/>
  <c r="F42" i="5" s="1"/>
  <c r="D42" i="5"/>
  <c r="C42" i="5"/>
  <c r="B42" i="5"/>
  <c r="H41" i="5"/>
  <c r="G41" i="5"/>
  <c r="D41" i="5"/>
  <c r="C41" i="5"/>
  <c r="B41" i="5"/>
  <c r="H40" i="5"/>
  <c r="G40" i="5"/>
  <c r="E40" i="5" s="1"/>
  <c r="F40" i="5" s="1"/>
  <c r="D40" i="5"/>
  <c r="C40" i="5"/>
  <c r="B40" i="5"/>
  <c r="H39" i="5"/>
  <c r="G39" i="5"/>
  <c r="D39" i="5"/>
  <c r="C39" i="5"/>
  <c r="B39" i="5"/>
  <c r="H38" i="5"/>
  <c r="G38" i="5"/>
  <c r="E38" i="5" s="1"/>
  <c r="F38" i="5" s="1"/>
  <c r="D38" i="5"/>
  <c r="C38" i="5"/>
  <c r="B38" i="5"/>
  <c r="H37" i="5"/>
  <c r="G37" i="5"/>
  <c r="E37" i="5" s="1"/>
  <c r="F37" i="5" s="1"/>
  <c r="D37" i="5"/>
  <c r="C37" i="5"/>
  <c r="B37" i="5"/>
  <c r="H36" i="5"/>
  <c r="G36" i="5"/>
  <c r="E36" i="5" s="1"/>
  <c r="F36" i="5" s="1"/>
  <c r="D36" i="5"/>
  <c r="C36" i="5"/>
  <c r="B36" i="5"/>
  <c r="H35" i="5"/>
  <c r="G35" i="5"/>
  <c r="D35" i="5"/>
  <c r="C35" i="5"/>
  <c r="B35" i="5"/>
  <c r="H34" i="5"/>
  <c r="G34" i="5"/>
  <c r="E34" i="5" s="1"/>
  <c r="F34" i="5" s="1"/>
  <c r="D34" i="5"/>
  <c r="C34" i="5"/>
  <c r="B34" i="5"/>
  <c r="H33" i="5"/>
  <c r="G33" i="5"/>
  <c r="D33" i="5"/>
  <c r="C33" i="5"/>
  <c r="B33" i="5"/>
  <c r="H32" i="5"/>
  <c r="G32" i="5"/>
  <c r="E32" i="5" s="1"/>
  <c r="F32" i="5" s="1"/>
  <c r="D32" i="5"/>
  <c r="C32" i="5"/>
  <c r="B32" i="5"/>
  <c r="H31" i="5"/>
  <c r="G31" i="5"/>
  <c r="E31" i="5" s="1"/>
  <c r="F31" i="5" s="1"/>
  <c r="D31" i="5"/>
  <c r="C31" i="5"/>
  <c r="B31" i="5"/>
  <c r="H30" i="5"/>
  <c r="G30" i="5"/>
  <c r="E30" i="5" s="1"/>
  <c r="F30" i="5" s="1"/>
  <c r="D30" i="5"/>
  <c r="C30" i="5"/>
  <c r="B30" i="5"/>
  <c r="H29" i="5"/>
  <c r="G29" i="5"/>
  <c r="D29" i="5"/>
  <c r="C29" i="5"/>
  <c r="B29" i="5"/>
  <c r="H28" i="5"/>
  <c r="G28" i="5"/>
  <c r="E28" i="5" s="1"/>
  <c r="F28" i="5" s="1"/>
  <c r="D28" i="5"/>
  <c r="C28" i="5"/>
  <c r="B28" i="5"/>
  <c r="H27" i="5"/>
  <c r="G27" i="5"/>
  <c r="D27" i="5"/>
  <c r="C27" i="5"/>
  <c r="B27" i="5"/>
  <c r="H26" i="5"/>
  <c r="G26" i="5"/>
  <c r="E26" i="5" s="1"/>
  <c r="F26" i="5" s="1"/>
  <c r="D26" i="5"/>
  <c r="C26" i="5"/>
  <c r="B26" i="5"/>
  <c r="H25" i="5"/>
  <c r="G25" i="5"/>
  <c r="E25" i="5" s="1"/>
  <c r="F25" i="5" s="1"/>
  <c r="D25" i="5"/>
  <c r="C25" i="5"/>
  <c r="B25" i="5"/>
  <c r="H24" i="5"/>
  <c r="G24" i="5"/>
  <c r="E24" i="5" s="1"/>
  <c r="F24" i="5" s="1"/>
  <c r="D24" i="5"/>
  <c r="C24" i="5"/>
  <c r="B24" i="5"/>
  <c r="H23" i="5"/>
  <c r="G23" i="5"/>
  <c r="E23" i="5" s="1"/>
  <c r="D23" i="5"/>
  <c r="C23" i="5"/>
  <c r="B23" i="5"/>
  <c r="H22" i="5"/>
  <c r="G22" i="5"/>
  <c r="E22" i="5" s="1"/>
  <c r="F22" i="5" s="1"/>
  <c r="D22" i="5"/>
  <c r="C22" i="5"/>
  <c r="B22" i="5"/>
  <c r="H21" i="5"/>
  <c r="G21" i="5"/>
  <c r="D21" i="5"/>
  <c r="C21" i="5"/>
  <c r="B21" i="5"/>
  <c r="H20" i="5"/>
  <c r="G20" i="5"/>
  <c r="E20" i="5" s="1"/>
  <c r="F20" i="5" s="1"/>
  <c r="D20" i="5"/>
  <c r="C20" i="5"/>
  <c r="B20" i="5"/>
  <c r="H19" i="5"/>
  <c r="G19" i="5"/>
  <c r="D19" i="5"/>
  <c r="C19" i="5"/>
  <c r="B19" i="5"/>
  <c r="H18" i="5"/>
  <c r="G18" i="5"/>
  <c r="E18" i="5" s="1"/>
  <c r="F18" i="5" s="1"/>
  <c r="D18" i="5"/>
  <c r="C18" i="5"/>
  <c r="B18" i="5"/>
  <c r="H17" i="5"/>
  <c r="G17" i="5"/>
  <c r="E17" i="5" s="1"/>
  <c r="D17" i="5"/>
  <c r="C17" i="5"/>
  <c r="B17" i="5"/>
  <c r="H16" i="5"/>
  <c r="G16" i="5"/>
  <c r="E16" i="5" s="1"/>
  <c r="F16" i="5" s="1"/>
  <c r="D16" i="5"/>
  <c r="C16" i="5"/>
  <c r="B16" i="5"/>
  <c r="H15" i="5"/>
  <c r="G15" i="5"/>
  <c r="D15" i="5"/>
  <c r="C15" i="5"/>
  <c r="B15" i="5"/>
  <c r="H14" i="5"/>
  <c r="G14" i="5"/>
  <c r="E14" i="5" s="1"/>
  <c r="F14" i="5" s="1"/>
  <c r="D14" i="5"/>
  <c r="C14" i="5"/>
  <c r="B14" i="5"/>
  <c r="H13" i="5"/>
  <c r="G13" i="5"/>
  <c r="D13" i="5"/>
  <c r="C13" i="5"/>
  <c r="B13" i="5"/>
  <c r="H12" i="5"/>
  <c r="G12" i="5"/>
  <c r="E12" i="5" s="1"/>
  <c r="F12" i="5" s="1"/>
  <c r="D12" i="5"/>
  <c r="C12" i="5"/>
  <c r="B12" i="5"/>
  <c r="H11" i="5"/>
  <c r="G11" i="5"/>
  <c r="E11" i="5" s="1"/>
  <c r="D11" i="5"/>
  <c r="C11" i="5"/>
  <c r="B11" i="5"/>
  <c r="H10" i="5"/>
  <c r="G10" i="5"/>
  <c r="E10" i="5" s="1"/>
  <c r="F10" i="5" s="1"/>
  <c r="D10" i="5"/>
  <c r="C10" i="5"/>
  <c r="B10" i="5"/>
  <c r="H9" i="5"/>
  <c r="G9" i="5"/>
  <c r="E9" i="5" s="1"/>
  <c r="F9" i="5" s="1"/>
  <c r="D9" i="5"/>
  <c r="C9" i="5"/>
  <c r="B9" i="5"/>
  <c r="H8" i="5"/>
  <c r="G8" i="5"/>
  <c r="E8" i="5" s="1"/>
  <c r="F8" i="5" s="1"/>
  <c r="D8" i="5"/>
  <c r="C8" i="5"/>
  <c r="B8" i="5"/>
  <c r="H7" i="5"/>
  <c r="G7" i="5"/>
  <c r="E7" i="5" s="1"/>
  <c r="F7" i="5" s="1"/>
  <c r="D7" i="5"/>
  <c r="C7" i="5"/>
  <c r="B7" i="5"/>
  <c r="H6" i="5"/>
  <c r="G6" i="5"/>
  <c r="E6" i="5" s="1"/>
  <c r="F6" i="5" s="1"/>
  <c r="D6" i="5"/>
  <c r="C6" i="5"/>
  <c r="B6" i="5"/>
  <c r="F25" i="4"/>
  <c r="F24" i="4"/>
  <c r="F23" i="4"/>
  <c r="J22" i="4"/>
  <c r="F22" i="4"/>
  <c r="F21" i="4"/>
  <c r="J20" i="4"/>
  <c r="F20" i="4"/>
  <c r="J19" i="4"/>
  <c r="F19" i="4"/>
  <c r="J18" i="4"/>
  <c r="F18" i="4"/>
  <c r="J17" i="4"/>
  <c r="F17" i="4"/>
  <c r="J16" i="4"/>
  <c r="F16" i="4"/>
  <c r="J15" i="4"/>
  <c r="F15" i="4"/>
  <c r="J14" i="4"/>
  <c r="F14" i="4"/>
  <c r="D10" i="4"/>
  <c r="J9" i="4"/>
  <c r="D9" i="4"/>
  <c r="D8" i="4"/>
  <c r="D7" i="4"/>
  <c r="J6" i="4"/>
  <c r="D6" i="4"/>
  <c r="D4" i="4"/>
  <c r="K94" i="3"/>
  <c r="J94" i="3"/>
  <c r="I11" i="15" s="1"/>
  <c r="N92" i="3"/>
  <c r="I17" i="19" s="1"/>
  <c r="M92" i="3"/>
  <c r="I17" i="18" s="1"/>
  <c r="L92" i="3"/>
  <c r="I17" i="17" s="1"/>
  <c r="K92" i="3"/>
  <c r="I17" i="16" s="1"/>
  <c r="J92" i="3"/>
  <c r="I92" i="3"/>
  <c r="I17" i="14" s="1"/>
  <c r="H92" i="3"/>
  <c r="I17" i="13" s="1"/>
  <c r="G92" i="3"/>
  <c r="I17" i="11" s="1"/>
  <c r="F92" i="3"/>
  <c r="I17" i="10" s="1"/>
  <c r="E92" i="3"/>
  <c r="I17" i="9" s="1"/>
  <c r="D92" i="3"/>
  <c r="C92" i="3"/>
  <c r="I17" i="7" s="1"/>
  <c r="C87" i="3"/>
  <c r="D87" i="3" s="1"/>
  <c r="N74" i="3"/>
  <c r="I95" i="19" s="1"/>
  <c r="M74" i="3"/>
  <c r="I95" i="18" s="1"/>
  <c r="L74" i="3"/>
  <c r="I95" i="17" s="1"/>
  <c r="K74" i="3"/>
  <c r="I95" i="16" s="1"/>
  <c r="J74" i="3"/>
  <c r="I95" i="15" s="1"/>
  <c r="I74" i="3"/>
  <c r="I95" i="14" s="1"/>
  <c r="H74" i="3"/>
  <c r="I95" i="13" s="1"/>
  <c r="G74" i="3"/>
  <c r="I95" i="11" s="1"/>
  <c r="F74" i="3"/>
  <c r="I95" i="10" s="1"/>
  <c r="E74" i="3"/>
  <c r="I95" i="9" s="1"/>
  <c r="D74" i="3"/>
  <c r="I95" i="8" s="1"/>
  <c r="C74" i="3"/>
  <c r="I95" i="7" s="1"/>
  <c r="D73" i="3"/>
  <c r="I94" i="8" s="1"/>
  <c r="C72" i="3"/>
  <c r="I93" i="7" s="1"/>
  <c r="F71" i="3"/>
  <c r="E71" i="3"/>
  <c r="D71" i="3"/>
  <c r="C71" i="3"/>
  <c r="N70" i="3"/>
  <c r="M70" i="3"/>
  <c r="L70" i="3"/>
  <c r="K70" i="3"/>
  <c r="J70" i="3"/>
  <c r="I70" i="3"/>
  <c r="H70" i="3"/>
  <c r="G70" i="3"/>
  <c r="F70" i="3"/>
  <c r="E70" i="3"/>
  <c r="D70" i="3"/>
  <c r="C70" i="3"/>
  <c r="E69" i="3"/>
  <c r="D69" i="3"/>
  <c r="C69" i="3"/>
  <c r="E67" i="3"/>
  <c r="D67" i="3"/>
  <c r="C67" i="3"/>
  <c r="E66" i="3"/>
  <c r="D66" i="3"/>
  <c r="C66" i="3"/>
  <c r="M65" i="3" s="1"/>
  <c r="I54" i="18" s="1"/>
  <c r="I62" i="3"/>
  <c r="I99" i="14" s="1"/>
  <c r="H62" i="3"/>
  <c r="I99" i="13" s="1"/>
  <c r="G62" i="3"/>
  <c r="I99" i="11" s="1"/>
  <c r="F62" i="3"/>
  <c r="I99" i="10" s="1"/>
  <c r="E62" i="3"/>
  <c r="I99" i="9" s="1"/>
  <c r="D62" i="3"/>
  <c r="I99" i="8" s="1"/>
  <c r="C62" i="3"/>
  <c r="I99" i="7" s="1"/>
  <c r="D58" i="3"/>
  <c r="H80" i="8" s="1"/>
  <c r="D57" i="3"/>
  <c r="N51" i="3"/>
  <c r="N52" i="3" s="1"/>
  <c r="M51" i="3"/>
  <c r="M52" i="3" s="1"/>
  <c r="L51" i="3"/>
  <c r="L52" i="3" s="1"/>
  <c r="K51" i="3"/>
  <c r="K52" i="3" s="1"/>
  <c r="J51" i="3"/>
  <c r="J52" i="3" s="1"/>
  <c r="I51" i="3"/>
  <c r="I52" i="3" s="1"/>
  <c r="H51" i="3"/>
  <c r="H52" i="3" s="1"/>
  <c r="G51" i="3"/>
  <c r="G52" i="3" s="1"/>
  <c r="F51" i="3"/>
  <c r="F52" i="3" s="1"/>
  <c r="E51" i="3"/>
  <c r="E52" i="3" s="1"/>
  <c r="D51" i="3"/>
  <c r="D52" i="3" s="1"/>
  <c r="C51" i="3"/>
  <c r="C52" i="3" s="1"/>
  <c r="E43" i="3"/>
  <c r="D43" i="3"/>
  <c r="C43" i="3"/>
  <c r="D42" i="3"/>
  <c r="I41" i="8" s="1"/>
  <c r="N40" i="3"/>
  <c r="G50" i="19" s="1"/>
  <c r="M40" i="3"/>
  <c r="G50" i="18" s="1"/>
  <c r="L40" i="3"/>
  <c r="G50" i="17" s="1"/>
  <c r="K40" i="3"/>
  <c r="G50" i="16" s="1"/>
  <c r="J40" i="3"/>
  <c r="G50" i="15" s="1"/>
  <c r="I40" i="3"/>
  <c r="G50" i="14" s="1"/>
  <c r="H40" i="3"/>
  <c r="G50" i="13" s="1"/>
  <c r="G40" i="3"/>
  <c r="G50" i="11" s="1"/>
  <c r="F40" i="3"/>
  <c r="G50" i="10" s="1"/>
  <c r="E40" i="3"/>
  <c r="G50" i="9" s="1"/>
  <c r="D40" i="3"/>
  <c r="G50" i="8" s="1"/>
  <c r="C40" i="3"/>
  <c r="G50" i="7" s="1"/>
  <c r="N38" i="3"/>
  <c r="F48" i="19" s="1"/>
  <c r="M38" i="3"/>
  <c r="F48" i="18" s="1"/>
  <c r="L38" i="3"/>
  <c r="F48" i="17" s="1"/>
  <c r="K38" i="3"/>
  <c r="F48" i="16" s="1"/>
  <c r="J38" i="3"/>
  <c r="F48" i="15" s="1"/>
  <c r="I38" i="3"/>
  <c r="F48" i="14" s="1"/>
  <c r="H38" i="3"/>
  <c r="F48" i="13" s="1"/>
  <c r="G38" i="3"/>
  <c r="F48" i="11" s="1"/>
  <c r="F38" i="3"/>
  <c r="F48" i="10" s="1"/>
  <c r="E38" i="3"/>
  <c r="F48" i="9" s="1"/>
  <c r="D38" i="3"/>
  <c r="F48" i="8" s="1"/>
  <c r="C38" i="3"/>
  <c r="F48" i="7" s="1"/>
  <c r="N37" i="3"/>
  <c r="F29" i="19" s="1"/>
  <c r="M37" i="3"/>
  <c r="F29" i="18" s="1"/>
  <c r="L37" i="3"/>
  <c r="F29" i="17" s="1"/>
  <c r="K37" i="3"/>
  <c r="F29" i="16" s="1"/>
  <c r="J37" i="3"/>
  <c r="F29" i="15" s="1"/>
  <c r="I37" i="3"/>
  <c r="F29" i="14" s="1"/>
  <c r="H37" i="3"/>
  <c r="F29" i="13" s="1"/>
  <c r="G37" i="3"/>
  <c r="F29" i="11" s="1"/>
  <c r="F37" i="3"/>
  <c r="F29" i="10" s="1"/>
  <c r="E37" i="3"/>
  <c r="F29" i="9" s="1"/>
  <c r="D37" i="3"/>
  <c r="F29" i="8" s="1"/>
  <c r="C37" i="3"/>
  <c r="F29" i="7" s="1"/>
  <c r="N35" i="3"/>
  <c r="I10" i="19" s="1"/>
  <c r="M35" i="3"/>
  <c r="I10" i="18" s="1"/>
  <c r="L35" i="3"/>
  <c r="M76" i="3" s="1"/>
  <c r="J104" i="18" s="1"/>
  <c r="K35" i="3"/>
  <c r="J35" i="3"/>
  <c r="I35" i="3"/>
  <c r="H35" i="3"/>
  <c r="G35" i="3"/>
  <c r="F35" i="3"/>
  <c r="E35" i="3"/>
  <c r="D35" i="3"/>
  <c r="D64" i="3" s="1"/>
  <c r="C35" i="3"/>
  <c r="N33" i="3"/>
  <c r="M33" i="3"/>
  <c r="L33" i="3"/>
  <c r="K33" i="3"/>
  <c r="J33" i="3"/>
  <c r="I33" i="3"/>
  <c r="H33" i="3"/>
  <c r="G33" i="3"/>
  <c r="F33" i="3"/>
  <c r="E33" i="3"/>
  <c r="D33" i="3"/>
  <c r="C33" i="3"/>
  <c r="C11" i="3"/>
  <c r="K37" i="2"/>
  <c r="K36" i="2"/>
  <c r="K35" i="2"/>
  <c r="B30" i="2"/>
  <c r="B31" i="2" s="1"/>
  <c r="B32" i="2" s="1"/>
  <c r="B33" i="2" s="1"/>
  <c r="B34" i="2" s="1"/>
  <c r="B35" i="2" s="1"/>
  <c r="B36" i="2" s="1"/>
  <c r="B37" i="2" s="1"/>
  <c r="B38" i="2" s="1"/>
  <c r="B39" i="2" s="1"/>
  <c r="B40" i="2" s="1"/>
  <c r="B41" i="2" s="1"/>
  <c r="B42" i="2" s="1"/>
  <c r="B43" i="2" s="1"/>
  <c r="B44" i="2" s="1"/>
  <c r="BN29" i="2"/>
  <c r="B29" i="2"/>
  <c r="B28" i="2"/>
  <c r="HM25" i="2"/>
  <c r="HL25" i="2"/>
  <c r="HK25" i="2"/>
  <c r="HJ25" i="2"/>
  <c r="HI25" i="2"/>
  <c r="HH25" i="2"/>
  <c r="HG25" i="2"/>
  <c r="HF25" i="2"/>
  <c r="HE25" i="2"/>
  <c r="HD25" i="2"/>
  <c r="HC25" i="2"/>
  <c r="HB25" i="2"/>
  <c r="HA25" i="2"/>
  <c r="GZ25" i="2"/>
  <c r="GY25" i="2"/>
  <c r="GX25" i="2"/>
  <c r="GW25" i="2"/>
  <c r="GV25" i="2"/>
  <c r="GU25" i="2"/>
  <c r="GT25" i="2"/>
  <c r="GS25" i="2"/>
  <c r="GR25" i="2"/>
  <c r="GQ25" i="2"/>
  <c r="GP25" i="2"/>
  <c r="GO25" i="2"/>
  <c r="GN25" i="2"/>
  <c r="GM25" i="2"/>
  <c r="GL22" i="2"/>
  <c r="FU22" i="2"/>
  <c r="FD22" i="2"/>
  <c r="EM22" i="2"/>
  <c r="DV22" i="2"/>
  <c r="DE22" i="2"/>
  <c r="DD22" i="2"/>
  <c r="DC22" i="2"/>
  <c r="DB22" i="2"/>
  <c r="DA22" i="2"/>
  <c r="CZ22" i="2"/>
  <c r="CW22" i="2"/>
  <c r="CV22" i="2"/>
  <c r="CU22" i="2"/>
  <c r="CT22" i="2"/>
  <c r="CS22" i="2"/>
  <c r="CR22" i="2"/>
  <c r="CQ22" i="2"/>
  <c r="CP22" i="2"/>
  <c r="CO22" i="2"/>
  <c r="CN22" i="2"/>
  <c r="CM22" i="2"/>
  <c r="CL22" i="2"/>
  <c r="CK22" i="2"/>
  <c r="CJ22" i="2"/>
  <c r="CI22" i="2"/>
  <c r="CF22" i="2"/>
  <c r="CE22" i="2"/>
  <c r="CD22" i="2"/>
  <c r="CC22" i="2"/>
  <c r="CB22" i="2"/>
  <c r="CA22" i="2"/>
  <c r="BZ22" i="2"/>
  <c r="BY22" i="2"/>
  <c r="BX22" i="2"/>
  <c r="BW22" i="2"/>
  <c r="BV22" i="2"/>
  <c r="BU22" i="2"/>
  <c r="BT22" i="2"/>
  <c r="BS22" i="2"/>
  <c r="BR22" i="2"/>
  <c r="BO22" i="2"/>
  <c r="BN22" i="2"/>
  <c r="BM22" i="2"/>
  <c r="BL22" i="2"/>
  <c r="BK22" i="2"/>
  <c r="BJ22" i="2"/>
  <c r="BI22" i="2"/>
  <c r="BH22" i="2"/>
  <c r="BG22" i="2"/>
  <c r="BF22" i="2"/>
  <c r="BE22" i="2"/>
  <c r="BD22" i="2"/>
  <c r="BC22" i="2"/>
  <c r="BB22" i="2"/>
  <c r="BA22" i="2"/>
  <c r="AX22" i="2"/>
  <c r="AW22" i="2"/>
  <c r="AV22" i="2"/>
  <c r="AU22" i="2"/>
  <c r="AT22" i="2"/>
  <c r="AS22" i="2"/>
  <c r="AR22" i="2"/>
  <c r="AQ22" i="2"/>
  <c r="AP22" i="2"/>
  <c r="AO22" i="2"/>
  <c r="X22" i="2"/>
  <c r="G22" i="2"/>
  <c r="HN22" i="2" s="1"/>
  <c r="HN21" i="2"/>
  <c r="HC21" i="2"/>
  <c r="GW21" i="2"/>
  <c r="GV21" i="2"/>
  <c r="GF21" i="2"/>
  <c r="GE21" i="2"/>
  <c r="FO21" i="2"/>
  <c r="FN21" i="2"/>
  <c r="EX21" i="2"/>
  <c r="EW21" i="2"/>
  <c r="EG21" i="2"/>
  <c r="EF21" i="2"/>
  <c r="DP21" i="2"/>
  <c r="DO21" i="2"/>
  <c r="CY21" i="2"/>
  <c r="CX21" i="2"/>
  <c r="CH21" i="2"/>
  <c r="CG21" i="2"/>
  <c r="BQ21" i="2"/>
  <c r="BP21" i="2"/>
  <c r="AZ21" i="2"/>
  <c r="AY21" i="2"/>
  <c r="AI21" i="2"/>
  <c r="AH21" i="2"/>
  <c r="R21" i="2"/>
  <c r="Q21" i="2"/>
  <c r="HN20" i="2"/>
  <c r="HC20" i="2"/>
  <c r="GW20" i="2"/>
  <c r="GV20" i="2"/>
  <c r="GF20" i="2"/>
  <c r="GE20" i="2"/>
  <c r="FO20" i="2"/>
  <c r="FN20" i="2"/>
  <c r="EX20" i="2"/>
  <c r="EW20" i="2"/>
  <c r="EG20" i="2"/>
  <c r="EF20" i="2"/>
  <c r="DP20" i="2"/>
  <c r="DO20" i="2"/>
  <c r="CY20" i="2"/>
  <c r="CX20" i="2"/>
  <c r="CH20" i="2"/>
  <c r="CG20" i="2"/>
  <c r="BQ20" i="2"/>
  <c r="BP20" i="2"/>
  <c r="AZ20" i="2"/>
  <c r="AY20" i="2"/>
  <c r="AI20" i="2"/>
  <c r="AH20" i="2"/>
  <c r="R20" i="2"/>
  <c r="Q20" i="2"/>
  <c r="HN19" i="2"/>
  <c r="HC19" i="2"/>
  <c r="GW19" i="2"/>
  <c r="GV19" i="2"/>
  <c r="GF19" i="2"/>
  <c r="GE19" i="2"/>
  <c r="FO19" i="2"/>
  <c r="FN19" i="2"/>
  <c r="EX19" i="2"/>
  <c r="EW19" i="2"/>
  <c r="EG19" i="2"/>
  <c r="EF19" i="2"/>
  <c r="DP19" i="2"/>
  <c r="DO19" i="2"/>
  <c r="CY19" i="2"/>
  <c r="CX19" i="2"/>
  <c r="CH19" i="2"/>
  <c r="CG19" i="2"/>
  <c r="BQ19" i="2"/>
  <c r="BP19" i="2"/>
  <c r="AZ19" i="2"/>
  <c r="AY19" i="2"/>
  <c r="AI19" i="2"/>
  <c r="AH19" i="2"/>
  <c r="R19" i="2"/>
  <c r="Q19" i="2"/>
  <c r="HN18" i="2"/>
  <c r="HC18" i="2"/>
  <c r="GW18" i="2"/>
  <c r="GV18" i="2"/>
  <c r="GF18" i="2"/>
  <c r="GE18" i="2"/>
  <c r="FO18" i="2"/>
  <c r="FN18" i="2"/>
  <c r="EX18" i="2"/>
  <c r="EW18" i="2"/>
  <c r="EG18" i="2"/>
  <c r="EF18" i="2"/>
  <c r="DP18" i="2"/>
  <c r="DO18" i="2"/>
  <c r="CY18" i="2"/>
  <c r="CX18" i="2"/>
  <c r="CH18" i="2"/>
  <c r="CG18" i="2"/>
  <c r="BQ18" i="2"/>
  <c r="BP18" i="2"/>
  <c r="AZ18" i="2"/>
  <c r="AY18" i="2"/>
  <c r="AI18" i="2"/>
  <c r="AH18" i="2"/>
  <c r="R18" i="2"/>
  <c r="Q18" i="2"/>
  <c r="HN17" i="2"/>
  <c r="HC17" i="2"/>
  <c r="GW17" i="2"/>
  <c r="GV17" i="2"/>
  <c r="GF17" i="2"/>
  <c r="GE17" i="2"/>
  <c r="FO17" i="2"/>
  <c r="FN17" i="2"/>
  <c r="EX17" i="2"/>
  <c r="EW17" i="2"/>
  <c r="EG17" i="2"/>
  <c r="EF17" i="2"/>
  <c r="DP17" i="2"/>
  <c r="DO17" i="2"/>
  <c r="CY17" i="2"/>
  <c r="CX17" i="2"/>
  <c r="CH17" i="2"/>
  <c r="CG17" i="2"/>
  <c r="BQ17" i="2"/>
  <c r="BP17" i="2"/>
  <c r="AZ17" i="2"/>
  <c r="AY17" i="2"/>
  <c r="AI17" i="2"/>
  <c r="AH17" i="2"/>
  <c r="R17" i="2"/>
  <c r="Q17" i="2"/>
  <c r="HN16" i="2"/>
  <c r="HC16" i="2"/>
  <c r="GW16" i="2"/>
  <c r="GV16" i="2"/>
  <c r="GF16" i="2"/>
  <c r="GE16" i="2"/>
  <c r="FO16" i="2"/>
  <c r="FN16" i="2"/>
  <c r="EX16" i="2"/>
  <c r="EW16" i="2"/>
  <c r="EG16" i="2"/>
  <c r="EF16" i="2"/>
  <c r="DP16" i="2"/>
  <c r="DO16" i="2"/>
  <c r="CY16" i="2"/>
  <c r="CX16" i="2"/>
  <c r="CH16" i="2"/>
  <c r="CG16" i="2"/>
  <c r="BQ16" i="2"/>
  <c r="BP16" i="2"/>
  <c r="AZ16" i="2"/>
  <c r="AY16" i="2"/>
  <c r="AI16" i="2"/>
  <c r="AH16" i="2"/>
  <c r="R16" i="2"/>
  <c r="Q16" i="2"/>
  <c r="HN15" i="2"/>
  <c r="HC15" i="2"/>
  <c r="GW15" i="2"/>
  <c r="GV15" i="2"/>
  <c r="GF15" i="2"/>
  <c r="GE15" i="2"/>
  <c r="FO15" i="2"/>
  <c r="FN15" i="2"/>
  <c r="EX15" i="2"/>
  <c r="EW15" i="2"/>
  <c r="EG15" i="2"/>
  <c r="EF15" i="2"/>
  <c r="DP15" i="2"/>
  <c r="DO15" i="2"/>
  <c r="CY15" i="2"/>
  <c r="CX15" i="2"/>
  <c r="CH15" i="2"/>
  <c r="CG15" i="2"/>
  <c r="BQ15" i="2"/>
  <c r="BP15" i="2"/>
  <c r="AZ15" i="2"/>
  <c r="AY15" i="2"/>
  <c r="AI15" i="2"/>
  <c r="AH15" i="2"/>
  <c r="R15" i="2"/>
  <c r="Q15" i="2"/>
  <c r="HN14" i="2"/>
  <c r="HC14" i="2"/>
  <c r="GW14" i="2"/>
  <c r="GV14" i="2"/>
  <c r="GF14" i="2"/>
  <c r="GE14" i="2"/>
  <c r="FO14" i="2"/>
  <c r="FN14" i="2"/>
  <c r="EX14" i="2"/>
  <c r="EW14" i="2"/>
  <c r="EG14" i="2"/>
  <c r="EF14" i="2"/>
  <c r="DP14" i="2"/>
  <c r="DO14" i="2"/>
  <c r="CY14" i="2"/>
  <c r="CX14" i="2"/>
  <c r="CH14" i="2"/>
  <c r="CG14" i="2"/>
  <c r="BQ14" i="2"/>
  <c r="BP14" i="2"/>
  <c r="AZ14" i="2"/>
  <c r="AY14" i="2"/>
  <c r="AI14" i="2"/>
  <c r="AH14" i="2"/>
  <c r="R14" i="2"/>
  <c r="Q14" i="2"/>
  <c r="HN13" i="2"/>
  <c r="HC13" i="2"/>
  <c r="GW13" i="2"/>
  <c r="GV13" i="2"/>
  <c r="GF13" i="2"/>
  <c r="GE13" i="2"/>
  <c r="FO13" i="2"/>
  <c r="FN13" i="2"/>
  <c r="EX13" i="2"/>
  <c r="EW13" i="2"/>
  <c r="EG13" i="2"/>
  <c r="EF13" i="2"/>
  <c r="DP13" i="2"/>
  <c r="I68" i="3" s="1"/>
  <c r="DO13" i="2"/>
  <c r="CY13" i="2"/>
  <c r="CX13" i="2"/>
  <c r="CH13" i="2"/>
  <c r="CG13" i="2"/>
  <c r="BQ13" i="2"/>
  <c r="BP13" i="2"/>
  <c r="AZ13" i="2"/>
  <c r="AY13" i="2"/>
  <c r="AI13" i="2"/>
  <c r="AH13" i="2"/>
  <c r="R13" i="2"/>
  <c r="C68" i="3" s="1"/>
  <c r="Q13" i="2"/>
  <c r="HN12" i="2"/>
  <c r="HC12" i="2"/>
  <c r="GW12" i="2"/>
  <c r="GV12" i="2"/>
  <c r="GF12" i="2"/>
  <c r="GE12" i="2"/>
  <c r="FO12" i="2"/>
  <c r="FN12" i="2"/>
  <c r="EX12" i="2"/>
  <c r="EW12" i="2"/>
  <c r="EG12" i="2"/>
  <c r="EF12" i="2"/>
  <c r="DP12" i="2"/>
  <c r="DO12" i="2"/>
  <c r="CY12" i="2"/>
  <c r="CX12" i="2"/>
  <c r="CH12" i="2"/>
  <c r="CG12" i="2"/>
  <c r="BQ12" i="2"/>
  <c r="BP12" i="2"/>
  <c r="AZ12" i="2"/>
  <c r="AY12" i="2"/>
  <c r="AI12" i="2"/>
  <c r="AH12" i="2"/>
  <c r="R12" i="2"/>
  <c r="Q12" i="2"/>
  <c r="HN11" i="2"/>
  <c r="HC11" i="2"/>
  <c r="GW11" i="2"/>
  <c r="GV11" i="2"/>
  <c r="GF11" i="2"/>
  <c r="GE11" i="2"/>
  <c r="FO11" i="2"/>
  <c r="FN11" i="2"/>
  <c r="EX11" i="2"/>
  <c r="EW11" i="2"/>
  <c r="EG11" i="2"/>
  <c r="EF11" i="2"/>
  <c r="DP11" i="2"/>
  <c r="DO11" i="2"/>
  <c r="CY11" i="2"/>
  <c r="CX11" i="2"/>
  <c r="CH11" i="2"/>
  <c r="CG11" i="2"/>
  <c r="BQ11" i="2"/>
  <c r="BP11" i="2"/>
  <c r="AZ11" i="2"/>
  <c r="AY11" i="2"/>
  <c r="AI11" i="2"/>
  <c r="AH11" i="2"/>
  <c r="R11" i="2"/>
  <c r="Q11" i="2"/>
  <c r="HN10" i="2"/>
  <c r="HC10" i="2"/>
  <c r="HC22" i="2" s="1"/>
  <c r="GW10" i="2"/>
  <c r="GV10" i="2"/>
  <c r="GF10" i="2"/>
  <c r="GE10" i="2"/>
  <c r="FO10" i="2"/>
  <c r="FN10" i="2"/>
  <c r="EX10" i="2"/>
  <c r="EW10" i="2"/>
  <c r="EG10" i="2"/>
  <c r="EF10" i="2"/>
  <c r="DP10" i="2"/>
  <c r="DO10" i="2"/>
  <c r="CY10" i="2"/>
  <c r="CY22" i="2" s="1"/>
  <c r="CX10" i="2"/>
  <c r="CX22" i="2" s="1"/>
  <c r="CH10" i="2"/>
  <c r="CH22" i="2" s="1"/>
  <c r="CG10" i="2"/>
  <c r="CG22" i="2" s="1"/>
  <c r="BQ10" i="2"/>
  <c r="BQ22" i="2" s="1"/>
  <c r="BP10" i="2"/>
  <c r="BP22" i="2" s="1"/>
  <c r="AZ10" i="2"/>
  <c r="AZ22" i="2" s="1"/>
  <c r="AY10" i="2"/>
  <c r="AY22" i="2" s="1"/>
  <c r="AI10" i="2"/>
  <c r="AH10" i="2"/>
  <c r="R10" i="2"/>
  <c r="Q10" i="2"/>
  <c r="X5" i="2"/>
  <c r="AO5" i="2" s="1"/>
  <c r="G4" i="2"/>
  <c r="H4" i="2" s="1"/>
  <c r="I4" i="2" s="1"/>
  <c r="J4" i="2" s="1"/>
  <c r="K4" i="2" s="1"/>
  <c r="L4" i="2" s="1"/>
  <c r="M4" i="2" s="1"/>
  <c r="N4" i="2" s="1"/>
  <c r="O4" i="2" s="1"/>
  <c r="P4" i="2" s="1"/>
  <c r="Q4" i="2" s="1"/>
  <c r="R4" i="2" s="1"/>
  <c r="S4" i="2" s="1"/>
  <c r="T4" i="2" s="1"/>
  <c r="U4" i="2" s="1"/>
  <c r="V4" i="2" s="1"/>
  <c r="W4" i="2" s="1"/>
  <c r="X4" i="2" s="1"/>
  <c r="Y4" i="2" s="1"/>
  <c r="Z4" i="2" s="1"/>
  <c r="AA4" i="2" s="1"/>
  <c r="AB4" i="2" s="1"/>
  <c r="AC4" i="2" s="1"/>
  <c r="AD4" i="2" s="1"/>
  <c r="AE4" i="2" s="1"/>
  <c r="AF4" i="2" s="1"/>
  <c r="AG4" i="2" s="1"/>
  <c r="AH4" i="2" s="1"/>
  <c r="AI4" i="2" s="1"/>
  <c r="AJ4" i="2" s="1"/>
  <c r="AK4" i="2" s="1"/>
  <c r="AL4" i="2" s="1"/>
  <c r="AM4" i="2" s="1"/>
  <c r="AN4" i="2" s="1"/>
  <c r="AO4" i="2" s="1"/>
  <c r="AP4" i="2" s="1"/>
  <c r="AQ4" i="2" s="1"/>
  <c r="AR4" i="2" s="1"/>
  <c r="AS4" i="2" s="1"/>
  <c r="AT4" i="2" s="1"/>
  <c r="AU4" i="2" s="1"/>
  <c r="AV4" i="2" s="1"/>
  <c r="AW4" i="2" s="1"/>
  <c r="AX4" i="2" s="1"/>
  <c r="AY4" i="2" s="1"/>
  <c r="AZ4" i="2" s="1"/>
  <c r="BA4" i="2" s="1"/>
  <c r="BB4" i="2" s="1"/>
  <c r="BC4" i="2" s="1"/>
  <c r="BD4" i="2" s="1"/>
  <c r="BE4" i="2" s="1"/>
  <c r="BF4" i="2" s="1"/>
  <c r="BG4" i="2" s="1"/>
  <c r="BH4" i="2" s="1"/>
  <c r="BI4" i="2" s="1"/>
  <c r="BJ4" i="2" s="1"/>
  <c r="BK4" i="2" s="1"/>
  <c r="BL4" i="2" s="1"/>
  <c r="BM4" i="2" s="1"/>
  <c r="BN4" i="2" s="1"/>
  <c r="BO4" i="2" s="1"/>
  <c r="BP4" i="2" s="1"/>
  <c r="BQ4" i="2" s="1"/>
  <c r="BR4" i="2" s="1"/>
  <c r="BS4" i="2" s="1"/>
  <c r="BT4" i="2" s="1"/>
  <c r="BU4" i="2" s="1"/>
  <c r="BV4" i="2" s="1"/>
  <c r="BW4" i="2" s="1"/>
  <c r="BX4" i="2" s="1"/>
  <c r="BY4" i="2" s="1"/>
  <c r="BZ4" i="2" s="1"/>
  <c r="CA4" i="2" s="1"/>
  <c r="CB4" i="2" s="1"/>
  <c r="CC4" i="2" s="1"/>
  <c r="CD4" i="2" s="1"/>
  <c r="CE4" i="2" s="1"/>
  <c r="CF4" i="2" s="1"/>
  <c r="CG4" i="2" s="1"/>
  <c r="CH4" i="2" s="1"/>
  <c r="CI4" i="2" s="1"/>
  <c r="CJ4" i="2" s="1"/>
  <c r="CK4" i="2" s="1"/>
  <c r="CL4" i="2" s="1"/>
  <c r="CM4" i="2" s="1"/>
  <c r="CN4" i="2" s="1"/>
  <c r="CO4" i="2" s="1"/>
  <c r="CP4" i="2" s="1"/>
  <c r="CQ4" i="2" s="1"/>
  <c r="CR4" i="2" s="1"/>
  <c r="CS4" i="2" s="1"/>
  <c r="CT4" i="2" s="1"/>
  <c r="CU4" i="2" s="1"/>
  <c r="CV4" i="2" s="1"/>
  <c r="CW4" i="2" s="1"/>
  <c r="CX4" i="2" s="1"/>
  <c r="CY4" i="2" s="1"/>
  <c r="CZ4" i="2" s="1"/>
  <c r="DA4" i="2" s="1"/>
  <c r="DB4" i="2" s="1"/>
  <c r="DC4" i="2" s="1"/>
  <c r="DD4" i="2" s="1"/>
  <c r="DE4" i="2" s="1"/>
  <c r="DF4" i="2" s="1"/>
  <c r="DG4" i="2" s="1"/>
  <c r="DH4" i="2" s="1"/>
  <c r="DI4" i="2" s="1"/>
  <c r="DJ4" i="2" s="1"/>
  <c r="DK4" i="2" s="1"/>
  <c r="DL4" i="2" s="1"/>
  <c r="DM4" i="2" s="1"/>
  <c r="DN4" i="2" s="1"/>
  <c r="DO4" i="2" s="1"/>
  <c r="DP4" i="2" s="1"/>
  <c r="DQ4" i="2" s="1"/>
  <c r="DR4" i="2" s="1"/>
  <c r="DS4" i="2" s="1"/>
  <c r="DT4" i="2" s="1"/>
  <c r="DU4" i="2" s="1"/>
  <c r="DV4" i="2" s="1"/>
  <c r="DW4" i="2" s="1"/>
  <c r="DX4" i="2" s="1"/>
  <c r="DY4" i="2" s="1"/>
  <c r="DZ4" i="2" s="1"/>
  <c r="EA4" i="2" s="1"/>
  <c r="EB4" i="2" s="1"/>
  <c r="EC4" i="2" s="1"/>
  <c r="ED4" i="2" s="1"/>
  <c r="EE4" i="2" s="1"/>
  <c r="EF4" i="2" s="1"/>
  <c r="EG4" i="2" s="1"/>
  <c r="EH4" i="2" s="1"/>
  <c r="EI4" i="2" s="1"/>
  <c r="EJ4" i="2" s="1"/>
  <c r="EK4" i="2" s="1"/>
  <c r="EL4" i="2" s="1"/>
  <c r="EM4" i="2" s="1"/>
  <c r="EN4" i="2" s="1"/>
  <c r="EO4" i="2" s="1"/>
  <c r="EP4" i="2" s="1"/>
  <c r="EQ4" i="2" s="1"/>
  <c r="ER4" i="2" s="1"/>
  <c r="ES4" i="2" s="1"/>
  <c r="ET4" i="2" s="1"/>
  <c r="EU4" i="2" s="1"/>
  <c r="EV4" i="2" s="1"/>
  <c r="EW4" i="2" s="1"/>
  <c r="EX4" i="2" s="1"/>
  <c r="EY4" i="2" s="1"/>
  <c r="EZ4" i="2" s="1"/>
  <c r="FA4" i="2" s="1"/>
  <c r="FB4" i="2" s="1"/>
  <c r="FC4" i="2" s="1"/>
  <c r="FD4" i="2" s="1"/>
  <c r="FE4" i="2" s="1"/>
  <c r="FF4" i="2" s="1"/>
  <c r="FG4" i="2" s="1"/>
  <c r="FH4" i="2" s="1"/>
  <c r="FI4" i="2" s="1"/>
  <c r="FJ4" i="2" s="1"/>
  <c r="FK4" i="2" s="1"/>
  <c r="FL4" i="2" s="1"/>
  <c r="FM4" i="2" s="1"/>
  <c r="FN4" i="2" s="1"/>
  <c r="FO4" i="2" s="1"/>
  <c r="FP4" i="2" s="1"/>
  <c r="FQ4" i="2" s="1"/>
  <c r="FR4" i="2" s="1"/>
  <c r="FS4" i="2" s="1"/>
  <c r="FT4" i="2" s="1"/>
  <c r="FU4" i="2" s="1"/>
  <c r="FV4" i="2" s="1"/>
  <c r="FW4" i="2" s="1"/>
  <c r="FX4" i="2" s="1"/>
  <c r="FY4" i="2" s="1"/>
  <c r="FZ4" i="2" s="1"/>
  <c r="GA4" i="2" s="1"/>
  <c r="GB4" i="2" s="1"/>
  <c r="GC4" i="2" s="1"/>
  <c r="GD4" i="2" s="1"/>
  <c r="GE4" i="2" s="1"/>
  <c r="GF4" i="2" s="1"/>
  <c r="GG4" i="2" s="1"/>
  <c r="GH4" i="2" s="1"/>
  <c r="GI4" i="2" s="1"/>
  <c r="GJ4" i="2" s="1"/>
  <c r="GK4" i="2" s="1"/>
  <c r="GL4" i="2" s="1"/>
  <c r="GM4" i="2" s="1"/>
  <c r="GN4" i="2" s="1"/>
  <c r="GO4" i="2" s="1"/>
  <c r="GP4" i="2" s="1"/>
  <c r="GQ4" i="2" s="1"/>
  <c r="GR4" i="2" s="1"/>
  <c r="GS4" i="2" s="1"/>
  <c r="GT4" i="2" s="1"/>
  <c r="GU4" i="2" s="1"/>
  <c r="GV4" i="2" s="1"/>
  <c r="GW4" i="2" s="1"/>
  <c r="GX4" i="2" s="1"/>
  <c r="GY4" i="2" s="1"/>
  <c r="GZ4" i="2" s="1"/>
  <c r="HA4" i="2" s="1"/>
  <c r="HB4" i="2" s="1"/>
  <c r="HC4" i="2" s="1"/>
  <c r="F4" i="2"/>
  <c r="BG3" i="2"/>
  <c r="I3" i="2"/>
  <c r="J3" i="2" s="1"/>
  <c r="K3" i="2" s="1"/>
  <c r="L3" i="2" s="1"/>
  <c r="M3" i="2" s="1"/>
  <c r="N3" i="2" s="1"/>
  <c r="O3" i="2" s="1"/>
  <c r="P3" i="2" s="1"/>
  <c r="Q3" i="2" s="1"/>
  <c r="R3" i="2" s="1"/>
  <c r="S3" i="2" s="1"/>
  <c r="T3" i="2" s="1"/>
  <c r="U3" i="2" s="1"/>
  <c r="V3" i="2" s="1"/>
  <c r="W3" i="2" s="1"/>
  <c r="G1" i="2"/>
  <c r="H1" i="2" s="1"/>
  <c r="I1" i="2" s="1"/>
  <c r="J1" i="2" s="1"/>
  <c r="K1" i="2" s="1"/>
  <c r="L1" i="2" s="1"/>
  <c r="M1" i="2" s="1"/>
  <c r="N1" i="2" s="1"/>
  <c r="O1" i="2" s="1"/>
  <c r="P1" i="2" s="1"/>
  <c r="Q1" i="2" s="1"/>
  <c r="R1" i="2" s="1"/>
  <c r="S1" i="2" s="1"/>
  <c r="T1" i="2" s="1"/>
  <c r="U1" i="2" s="1"/>
  <c r="V1" i="2" s="1"/>
  <c r="W1" i="2" s="1"/>
  <c r="X1" i="2" s="1"/>
  <c r="Y1" i="2" s="1"/>
  <c r="Z1" i="2" s="1"/>
  <c r="AA1" i="2" s="1"/>
  <c r="AB1" i="2" s="1"/>
  <c r="AC1" i="2" s="1"/>
  <c r="AD1" i="2" s="1"/>
  <c r="AE1" i="2" s="1"/>
  <c r="AF1" i="2" s="1"/>
  <c r="AG1" i="2" s="1"/>
  <c r="AH1" i="2" s="1"/>
  <c r="AI1" i="2" s="1"/>
  <c r="AJ1" i="2" s="1"/>
  <c r="AK1" i="2" s="1"/>
  <c r="AL1" i="2" s="1"/>
  <c r="AM1" i="2" s="1"/>
  <c r="AN1" i="2" s="1"/>
  <c r="AO1" i="2" s="1"/>
  <c r="AP1" i="2" s="1"/>
  <c r="AQ1" i="2" s="1"/>
  <c r="AR1" i="2" s="1"/>
  <c r="AS1" i="2" s="1"/>
  <c r="AT1" i="2" s="1"/>
  <c r="AU1" i="2" s="1"/>
  <c r="AV1" i="2" s="1"/>
  <c r="AW1" i="2" s="1"/>
  <c r="AX1" i="2" s="1"/>
  <c r="AY1" i="2" s="1"/>
  <c r="AZ1" i="2" s="1"/>
  <c r="BA1" i="2" s="1"/>
  <c r="BB1" i="2" s="1"/>
  <c r="BC1" i="2" s="1"/>
  <c r="BD1" i="2" s="1"/>
  <c r="BE1" i="2" s="1"/>
  <c r="BF1" i="2" s="1"/>
  <c r="BG1" i="2" s="1"/>
  <c r="BH1" i="2" s="1"/>
  <c r="BI1" i="2" s="1"/>
  <c r="BJ1" i="2" s="1"/>
  <c r="BK1" i="2" s="1"/>
  <c r="BL1" i="2" s="1"/>
  <c r="BM1" i="2" s="1"/>
  <c r="BN1" i="2" s="1"/>
  <c r="BO1" i="2" s="1"/>
  <c r="BP1" i="2" s="1"/>
  <c r="BQ1" i="2" s="1"/>
  <c r="BR1" i="2" s="1"/>
  <c r="BS1" i="2" s="1"/>
  <c r="BT1" i="2" s="1"/>
  <c r="BU1" i="2" s="1"/>
  <c r="BV1" i="2" s="1"/>
  <c r="BW1" i="2" s="1"/>
  <c r="BX1" i="2" s="1"/>
  <c r="BY1" i="2" s="1"/>
  <c r="BZ1" i="2" s="1"/>
  <c r="CA1" i="2" s="1"/>
  <c r="CB1" i="2" s="1"/>
  <c r="CC1" i="2" s="1"/>
  <c r="CD1" i="2" s="1"/>
  <c r="CE1" i="2" s="1"/>
  <c r="CF1" i="2" s="1"/>
  <c r="CG1" i="2" s="1"/>
  <c r="CH1" i="2" s="1"/>
  <c r="CI1" i="2" s="1"/>
  <c r="CJ1" i="2" s="1"/>
  <c r="CK1" i="2" s="1"/>
  <c r="CL1" i="2" s="1"/>
  <c r="CM1" i="2" s="1"/>
  <c r="CN1" i="2" s="1"/>
  <c r="CO1" i="2" s="1"/>
  <c r="CP1" i="2" s="1"/>
  <c r="CQ1" i="2" s="1"/>
  <c r="CR1" i="2" s="1"/>
  <c r="CS1" i="2" s="1"/>
  <c r="CT1" i="2" s="1"/>
  <c r="CU1" i="2" s="1"/>
  <c r="CV1" i="2" s="1"/>
  <c r="CW1" i="2" s="1"/>
  <c r="CX1" i="2" s="1"/>
  <c r="CY1" i="2" s="1"/>
  <c r="CZ1" i="2" s="1"/>
  <c r="DA1" i="2" s="1"/>
  <c r="DB1" i="2" s="1"/>
  <c r="DC1" i="2" s="1"/>
  <c r="DD1" i="2" s="1"/>
  <c r="DE1" i="2" s="1"/>
  <c r="DF1" i="2" s="1"/>
  <c r="DG1" i="2" s="1"/>
  <c r="DH1" i="2" s="1"/>
  <c r="DI1" i="2" s="1"/>
  <c r="DJ1" i="2" s="1"/>
  <c r="DK1" i="2" s="1"/>
  <c r="DL1" i="2" s="1"/>
  <c r="DM1" i="2" s="1"/>
  <c r="DN1" i="2" s="1"/>
  <c r="DO1" i="2" s="1"/>
  <c r="DP1" i="2" s="1"/>
  <c r="DQ1" i="2" s="1"/>
  <c r="DR1" i="2" s="1"/>
  <c r="DS1" i="2" s="1"/>
  <c r="DT1" i="2" s="1"/>
  <c r="DU1" i="2" s="1"/>
  <c r="DV1" i="2" s="1"/>
  <c r="DW1" i="2" s="1"/>
  <c r="DX1" i="2" s="1"/>
  <c r="DY1" i="2" s="1"/>
  <c r="DZ1" i="2" s="1"/>
  <c r="EA1" i="2" s="1"/>
  <c r="EB1" i="2" s="1"/>
  <c r="EC1" i="2" s="1"/>
  <c r="ED1" i="2" s="1"/>
  <c r="EE1" i="2" s="1"/>
  <c r="EF1" i="2" s="1"/>
  <c r="EG1" i="2" s="1"/>
  <c r="EH1" i="2" s="1"/>
  <c r="EI1" i="2" s="1"/>
  <c r="EJ1" i="2" s="1"/>
  <c r="EK1" i="2" s="1"/>
  <c r="EL1" i="2" s="1"/>
  <c r="EM1" i="2" s="1"/>
  <c r="EN1" i="2" s="1"/>
  <c r="EO1" i="2" s="1"/>
  <c r="EP1" i="2" s="1"/>
  <c r="EQ1" i="2" s="1"/>
  <c r="ER1" i="2" s="1"/>
  <c r="ES1" i="2" s="1"/>
  <c r="ET1" i="2" s="1"/>
  <c r="EU1" i="2" s="1"/>
  <c r="EV1" i="2" s="1"/>
  <c r="EW1" i="2" s="1"/>
  <c r="EX1" i="2" s="1"/>
  <c r="EY1" i="2" s="1"/>
  <c r="EZ1" i="2" s="1"/>
  <c r="FA1" i="2" s="1"/>
  <c r="FB1" i="2" s="1"/>
  <c r="FC1" i="2" s="1"/>
  <c r="FD1" i="2" s="1"/>
  <c r="FE1" i="2" s="1"/>
  <c r="FF1" i="2" s="1"/>
  <c r="FG1" i="2" s="1"/>
  <c r="FH1" i="2" s="1"/>
  <c r="FI1" i="2" s="1"/>
  <c r="FJ1" i="2" s="1"/>
  <c r="FK1" i="2" s="1"/>
  <c r="FL1" i="2" s="1"/>
  <c r="FM1" i="2" s="1"/>
  <c r="FN1" i="2" s="1"/>
  <c r="FO1" i="2" s="1"/>
  <c r="FP1" i="2" s="1"/>
  <c r="FQ1" i="2" s="1"/>
  <c r="FR1" i="2" s="1"/>
  <c r="FS1" i="2" s="1"/>
  <c r="FT1" i="2" s="1"/>
  <c r="FU1" i="2" s="1"/>
  <c r="FV1" i="2" s="1"/>
  <c r="FW1" i="2" s="1"/>
  <c r="FX1" i="2" s="1"/>
  <c r="FY1" i="2" s="1"/>
  <c r="FZ1" i="2" s="1"/>
  <c r="GA1" i="2" s="1"/>
  <c r="GB1" i="2" s="1"/>
  <c r="GC1" i="2" s="1"/>
  <c r="GD1" i="2" s="1"/>
  <c r="GE1" i="2" s="1"/>
  <c r="GF1" i="2" s="1"/>
  <c r="GG1" i="2" s="1"/>
  <c r="GH1" i="2" s="1"/>
  <c r="GI1" i="2" s="1"/>
  <c r="GJ1" i="2" s="1"/>
  <c r="GK1" i="2" s="1"/>
  <c r="GL1" i="2" s="1"/>
  <c r="GM1" i="2" s="1"/>
  <c r="GN1" i="2" s="1"/>
  <c r="GO1" i="2" s="1"/>
  <c r="GP1" i="2" s="1"/>
  <c r="GQ1" i="2" s="1"/>
  <c r="GR1" i="2" s="1"/>
  <c r="GS1" i="2" s="1"/>
  <c r="GT1" i="2" s="1"/>
  <c r="GU1" i="2" s="1"/>
  <c r="GV1" i="2" s="1"/>
  <c r="GW1" i="2" s="1"/>
  <c r="GX1" i="2" s="1"/>
  <c r="GY1" i="2" s="1"/>
  <c r="GZ1" i="2" s="1"/>
  <c r="HA1" i="2" s="1"/>
  <c r="HB1" i="2" s="1"/>
  <c r="HC1" i="2" s="1"/>
  <c r="F1" i="2"/>
  <c r="O31" i="1"/>
  <c r="E4" i="1"/>
  <c r="F4" i="1" s="1"/>
  <c r="G4" i="1" s="1"/>
  <c r="H4" i="1" s="1"/>
  <c r="I4" i="1" s="1"/>
  <c r="J4" i="1" s="1"/>
  <c r="K4" i="1" s="1"/>
  <c r="L4" i="1" s="1"/>
  <c r="M4" i="1" s="1"/>
  <c r="N4" i="1" s="1"/>
  <c r="O4" i="1" s="1"/>
  <c r="P4" i="1" s="1"/>
  <c r="Q4" i="1" s="1"/>
  <c r="D4" i="1"/>
  <c r="D36" i="2"/>
  <c r="D40" i="2"/>
  <c r="D39" i="2"/>
  <c r="D28" i="2"/>
  <c r="D35" i="2"/>
  <c r="D44" i="2"/>
  <c r="D31" i="2"/>
  <c r="D37" i="2"/>
  <c r="D42" i="2"/>
  <c r="D34" i="2"/>
  <c r="D33" i="2"/>
  <c r="D43" i="2"/>
  <c r="C44" i="2"/>
  <c r="D29" i="2"/>
  <c r="D32" i="2"/>
  <c r="D38" i="2"/>
  <c r="D41" i="2"/>
  <c r="D27" i="2"/>
  <c r="D30" i="2"/>
  <c r="G68" i="3" l="1"/>
  <c r="M68" i="3"/>
  <c r="I55" i="18" s="1"/>
  <c r="F11" i="5"/>
  <c r="E102" i="5"/>
  <c r="F102" i="5" s="1"/>
  <c r="E108" i="5"/>
  <c r="F108" i="5" s="1"/>
  <c r="E51" i="5"/>
  <c r="F51" i="5" s="1"/>
  <c r="E105" i="5"/>
  <c r="F105" i="5" s="1"/>
  <c r="E106" i="5"/>
  <c r="F106" i="5" s="1"/>
  <c r="E41" i="5"/>
  <c r="F41" i="5" s="1"/>
  <c r="E121" i="5"/>
  <c r="F121" i="5" s="1"/>
  <c r="E47" i="5"/>
  <c r="E65" i="5"/>
  <c r="F65" i="5" s="1"/>
  <c r="E92" i="5"/>
  <c r="E98" i="5"/>
  <c r="E103" i="5"/>
  <c r="F103" i="5" s="1"/>
  <c r="E109" i="5"/>
  <c r="F109" i="5" s="1"/>
  <c r="F44" i="3"/>
  <c r="I49" i="10" s="1"/>
  <c r="E15" i="5"/>
  <c r="F15" i="5" s="1"/>
  <c r="E29" i="5"/>
  <c r="F29" i="5" s="1"/>
  <c r="E39" i="5"/>
  <c r="F39" i="5" s="1"/>
  <c r="F23" i="5"/>
  <c r="E27" i="5"/>
  <c r="F27" i="5" s="1"/>
  <c r="E96" i="5"/>
  <c r="F96" i="5" s="1"/>
  <c r="E100" i="5"/>
  <c r="F100" i="5" s="1"/>
  <c r="F125" i="5"/>
  <c r="E17" i="4"/>
  <c r="E23" i="4"/>
  <c r="E77" i="5"/>
  <c r="F77" i="5" s="1"/>
  <c r="F17" i="5"/>
  <c r="E35" i="5"/>
  <c r="E45" i="5"/>
  <c r="F45" i="5" s="1"/>
  <c r="F119" i="5"/>
  <c r="E127" i="5"/>
  <c r="F127" i="5" s="1"/>
  <c r="J62" i="3"/>
  <c r="E21" i="5"/>
  <c r="F21" i="5" s="1"/>
  <c r="E33" i="5"/>
  <c r="F33" i="5" s="1"/>
  <c r="E53" i="5"/>
  <c r="F53" i="5" s="1"/>
  <c r="E90" i="5"/>
  <c r="F90" i="5" s="1"/>
  <c r="E94" i="5"/>
  <c r="F94" i="5" s="1"/>
  <c r="C28" i="2"/>
  <c r="C30" i="2"/>
  <c r="C32" i="2"/>
  <c r="C27" i="2"/>
  <c r="C29" i="2"/>
  <c r="C31" i="2"/>
  <c r="H29" i="7"/>
  <c r="H47" i="7"/>
  <c r="D14" i="4"/>
  <c r="C63" i="3"/>
  <c r="C60" i="3"/>
  <c r="I98" i="7" s="1"/>
  <c r="H47" i="14"/>
  <c r="H29" i="14"/>
  <c r="D20" i="4"/>
  <c r="I63" i="3"/>
  <c r="I60" i="3"/>
  <c r="I29" i="7"/>
  <c r="H47" i="8"/>
  <c r="H29" i="8"/>
  <c r="D15" i="4"/>
  <c r="C64" i="3"/>
  <c r="D60" i="3"/>
  <c r="I98" i="8" s="1"/>
  <c r="D63" i="3"/>
  <c r="H47" i="15"/>
  <c r="H29" i="15"/>
  <c r="D21" i="4"/>
  <c r="J63" i="3"/>
  <c r="J60" i="3"/>
  <c r="H47" i="9"/>
  <c r="H29" i="9"/>
  <c r="E63" i="3"/>
  <c r="E60" i="3"/>
  <c r="I98" i="9" s="1"/>
  <c r="D16" i="4"/>
  <c r="H29" i="16"/>
  <c r="H47" i="16"/>
  <c r="K63" i="3"/>
  <c r="K60" i="3"/>
  <c r="D22" i="4"/>
  <c r="H29" i="10"/>
  <c r="D17" i="4"/>
  <c r="F63" i="3"/>
  <c r="F60" i="3"/>
  <c r="I98" i="10" s="1"/>
  <c r="H47" i="10"/>
  <c r="H47" i="17"/>
  <c r="H29" i="17"/>
  <c r="D23" i="4"/>
  <c r="M61" i="3"/>
  <c r="I100" i="18" s="1"/>
  <c r="M60" i="3"/>
  <c r="L63" i="3"/>
  <c r="L60" i="3"/>
  <c r="I98" i="17" s="1"/>
  <c r="N61" i="3"/>
  <c r="I100" i="19" s="1"/>
  <c r="N60" i="3"/>
  <c r="H29" i="11"/>
  <c r="H47" i="11"/>
  <c r="G63" i="3"/>
  <c r="G60" i="3"/>
  <c r="I98" i="11" s="1"/>
  <c r="D18" i="4"/>
  <c r="H29" i="18"/>
  <c r="H47" i="18"/>
  <c r="M63" i="3"/>
  <c r="D24" i="4"/>
  <c r="DE5" i="2"/>
  <c r="GL5" i="2"/>
  <c r="CN5" i="2"/>
  <c r="FU5" i="2"/>
  <c r="BW5" i="2"/>
  <c r="FD5" i="2"/>
  <c r="BF5" i="2"/>
  <c r="EM5" i="2"/>
  <c r="DV5" i="2"/>
  <c r="H47" i="13"/>
  <c r="H29" i="13"/>
  <c r="D19" i="4"/>
  <c r="H60" i="3"/>
  <c r="H63" i="3"/>
  <c r="H47" i="19"/>
  <c r="H29" i="19"/>
  <c r="D25" i="4"/>
  <c r="N63" i="3"/>
  <c r="B13" i="18"/>
  <c r="B13" i="19"/>
  <c r="B2" i="17"/>
  <c r="B2" i="18"/>
  <c r="B2" i="19"/>
  <c r="B13" i="17"/>
  <c r="B2" i="15"/>
  <c r="B2" i="14"/>
  <c r="B2" i="13"/>
  <c r="B2" i="16"/>
  <c r="B13" i="15"/>
  <c r="B13" i="14"/>
  <c r="B13" i="11"/>
  <c r="B13" i="16"/>
  <c r="B2" i="11"/>
  <c r="B13" i="13"/>
  <c r="B2" i="10"/>
  <c r="B13" i="9"/>
  <c r="B13" i="7"/>
  <c r="B13" i="8"/>
  <c r="B13" i="10"/>
  <c r="B2" i="7"/>
  <c r="B2" i="9"/>
  <c r="B83" i="3"/>
  <c r="I27" i="13"/>
  <c r="B3" i="13"/>
  <c r="C12" i="12"/>
  <c r="C26" i="12" s="1"/>
  <c r="C40" i="12" s="1"/>
  <c r="C54" i="12" s="1"/>
  <c r="C68" i="12" s="1"/>
  <c r="C82" i="12" s="1"/>
  <c r="C96" i="12" s="1"/>
  <c r="C110" i="12" s="1"/>
  <c r="C124" i="12" s="1"/>
  <c r="C138" i="12" s="1"/>
  <c r="C152" i="12" s="1"/>
  <c r="C166" i="12" s="1"/>
  <c r="C19" i="4"/>
  <c r="I27" i="19"/>
  <c r="B3" i="19"/>
  <c r="C18" i="12"/>
  <c r="C32" i="12" s="1"/>
  <c r="C46" i="12" s="1"/>
  <c r="C60" i="12" s="1"/>
  <c r="C74" i="12" s="1"/>
  <c r="C88" i="12" s="1"/>
  <c r="C102" i="12" s="1"/>
  <c r="C116" i="12" s="1"/>
  <c r="C130" i="12" s="1"/>
  <c r="C144" i="12" s="1"/>
  <c r="C158" i="12" s="1"/>
  <c r="C172" i="12" s="1"/>
  <c r="C25" i="4"/>
  <c r="I10" i="13"/>
  <c r="H79" i="3"/>
  <c r="J101" i="13" s="1"/>
  <c r="H77" i="3"/>
  <c r="H76" i="3"/>
  <c r="J104" i="13" s="1"/>
  <c r="H75" i="3"/>
  <c r="I96" i="13" s="1"/>
  <c r="H36" i="3"/>
  <c r="I31" i="13" s="1"/>
  <c r="N36" i="3"/>
  <c r="I31" i="19" s="1"/>
  <c r="I29" i="13"/>
  <c r="I29" i="19"/>
  <c r="H39" i="3"/>
  <c r="I48" i="13" s="1"/>
  <c r="H41" i="3"/>
  <c r="I50" i="13" s="1"/>
  <c r="N41" i="3"/>
  <c r="I50" i="19" s="1"/>
  <c r="H49" i="3"/>
  <c r="H56" i="3" s="1"/>
  <c r="H84" i="3" s="1"/>
  <c r="H91" i="3" s="1"/>
  <c r="N49" i="3"/>
  <c r="N56" i="3" s="1"/>
  <c r="N84" i="3" s="1"/>
  <c r="N91" i="3" s="1"/>
  <c r="M75" i="3"/>
  <c r="I96" i="18" s="1"/>
  <c r="M78" i="3"/>
  <c r="J103" i="18" s="1"/>
  <c r="E128" i="5"/>
  <c r="J155" i="10" s="1"/>
  <c r="C7" i="12"/>
  <c r="C21" i="12" s="1"/>
  <c r="C35" i="12" s="1"/>
  <c r="C49" i="12" s="1"/>
  <c r="C63" i="12" s="1"/>
  <c r="C77" i="12" s="1"/>
  <c r="C91" i="12" s="1"/>
  <c r="C105" i="12" s="1"/>
  <c r="C119" i="12" s="1"/>
  <c r="C133" i="12" s="1"/>
  <c r="C147" i="12" s="1"/>
  <c r="C161" i="12" s="1"/>
  <c r="I27" i="7"/>
  <c r="B3" i="7"/>
  <c r="C14" i="4"/>
  <c r="I27" i="14"/>
  <c r="B3" i="14"/>
  <c r="C13" i="12"/>
  <c r="C27" i="12" s="1"/>
  <c r="C41" i="12" s="1"/>
  <c r="C55" i="12" s="1"/>
  <c r="C69" i="12" s="1"/>
  <c r="C83" i="12" s="1"/>
  <c r="C97" i="12" s="1"/>
  <c r="C111" i="12" s="1"/>
  <c r="C125" i="12" s="1"/>
  <c r="C139" i="12" s="1"/>
  <c r="C153" i="12" s="1"/>
  <c r="C167" i="12" s="1"/>
  <c r="C20" i="4"/>
  <c r="I10" i="7"/>
  <c r="E78" i="3"/>
  <c r="J103" i="9" s="1"/>
  <c r="D78" i="3"/>
  <c r="J103" i="8" s="1"/>
  <c r="C79" i="3"/>
  <c r="J101" i="7" s="1"/>
  <c r="C78" i="3"/>
  <c r="J103" i="7" s="1"/>
  <c r="C77" i="3"/>
  <c r="J102" i="7" s="1"/>
  <c r="C76" i="3"/>
  <c r="J104" i="7" s="1"/>
  <c r="C75" i="3"/>
  <c r="C61" i="3"/>
  <c r="I100" i="7" s="1"/>
  <c r="I10" i="14"/>
  <c r="I79" i="3"/>
  <c r="J101" i="14" s="1"/>
  <c r="I77" i="3"/>
  <c r="I76" i="3"/>
  <c r="J104" i="14" s="1"/>
  <c r="I75" i="3"/>
  <c r="I96" i="14" s="1"/>
  <c r="I64" i="3"/>
  <c r="I98" i="14" s="1"/>
  <c r="I61" i="3"/>
  <c r="I100" i="14" s="1"/>
  <c r="C36" i="3"/>
  <c r="I31" i="7" s="1"/>
  <c r="I36" i="3"/>
  <c r="I31" i="14" s="1"/>
  <c r="I29" i="14"/>
  <c r="C39" i="3"/>
  <c r="I48" i="7" s="1"/>
  <c r="C41" i="3"/>
  <c r="I50" i="7" s="1"/>
  <c r="J50" i="7" s="1"/>
  <c r="I41" i="3"/>
  <c r="I50" i="14" s="1"/>
  <c r="C49" i="3"/>
  <c r="C56" i="3" s="1"/>
  <c r="C84" i="3" s="1"/>
  <c r="C91" i="3" s="1"/>
  <c r="I49" i="3"/>
  <c r="I56" i="3" s="1"/>
  <c r="I84" i="3" s="1"/>
  <c r="I91" i="3" s="1"/>
  <c r="I99" i="15"/>
  <c r="K62" i="3"/>
  <c r="L65" i="3"/>
  <c r="I54" i="17" s="1"/>
  <c r="F65" i="3"/>
  <c r="K65" i="3"/>
  <c r="I54" i="16" s="1"/>
  <c r="E65" i="3"/>
  <c r="J65" i="3"/>
  <c r="I54" i="15" s="1"/>
  <c r="D65" i="3"/>
  <c r="N65" i="3"/>
  <c r="I54" i="19" s="1"/>
  <c r="H65" i="3"/>
  <c r="G76" i="3"/>
  <c r="J104" i="11" s="1"/>
  <c r="G79" i="3"/>
  <c r="J101" i="11" s="1"/>
  <c r="C12" i="4"/>
  <c r="C8" i="12"/>
  <c r="C22" i="12" s="1"/>
  <c r="C36" i="12" s="1"/>
  <c r="C50" i="12" s="1"/>
  <c r="C64" i="12" s="1"/>
  <c r="C78" i="12" s="1"/>
  <c r="C92" i="12" s="1"/>
  <c r="C106" i="12" s="1"/>
  <c r="C120" i="12" s="1"/>
  <c r="C134" i="12" s="1"/>
  <c r="C148" i="12" s="1"/>
  <c r="C162" i="12" s="1"/>
  <c r="I27" i="8"/>
  <c r="B3" i="8"/>
  <c r="I27" i="15"/>
  <c r="B3" i="15"/>
  <c r="C14" i="12"/>
  <c r="C28" i="12" s="1"/>
  <c r="C42" i="12" s="1"/>
  <c r="C56" i="12" s="1"/>
  <c r="C70" i="12" s="1"/>
  <c r="C84" i="12" s="1"/>
  <c r="C98" i="12" s="1"/>
  <c r="C112" i="12" s="1"/>
  <c r="C126" i="12" s="1"/>
  <c r="C140" i="12" s="1"/>
  <c r="C154" i="12" s="1"/>
  <c r="C168" i="12" s="1"/>
  <c r="I10" i="8"/>
  <c r="F78" i="3"/>
  <c r="D79" i="3"/>
  <c r="J101" i="8" s="1"/>
  <c r="D77" i="3"/>
  <c r="J102" i="8" s="1"/>
  <c r="D76" i="3"/>
  <c r="J104" i="8" s="1"/>
  <c r="D75" i="3"/>
  <c r="I10" i="15"/>
  <c r="J78" i="3"/>
  <c r="J103" i="15" s="1"/>
  <c r="J77" i="3"/>
  <c r="J102" i="15" s="1"/>
  <c r="J76" i="3"/>
  <c r="J104" i="15" s="1"/>
  <c r="J75" i="3"/>
  <c r="I96" i="15" s="1"/>
  <c r="D36" i="3"/>
  <c r="I31" i="8" s="1"/>
  <c r="J36" i="3"/>
  <c r="I31" i="15" s="1"/>
  <c r="I29" i="8"/>
  <c r="I29" i="15"/>
  <c r="D39" i="3"/>
  <c r="I48" i="8" s="1"/>
  <c r="D41" i="3"/>
  <c r="I50" i="8" s="1"/>
  <c r="J50" i="8" s="1"/>
  <c r="J41" i="3"/>
  <c r="I50" i="15" s="1"/>
  <c r="E42" i="3"/>
  <c r="D49" i="3"/>
  <c r="D56" i="3" s="1"/>
  <c r="D84" i="3" s="1"/>
  <c r="D91" i="3" s="1"/>
  <c r="J49" i="3"/>
  <c r="J56" i="3" s="1"/>
  <c r="J84" i="3" s="1"/>
  <c r="J91" i="3" s="1"/>
  <c r="D61" i="3"/>
  <c r="I100" i="8" s="1"/>
  <c r="H64" i="3"/>
  <c r="I98" i="13" s="1"/>
  <c r="C21" i="4"/>
  <c r="C9" i="12"/>
  <c r="C23" i="12" s="1"/>
  <c r="C37" i="12" s="1"/>
  <c r="C51" i="12" s="1"/>
  <c r="C65" i="12" s="1"/>
  <c r="C79" i="12" s="1"/>
  <c r="C93" i="12" s="1"/>
  <c r="C107" i="12" s="1"/>
  <c r="C121" i="12" s="1"/>
  <c r="C135" i="12" s="1"/>
  <c r="C149" i="12" s="1"/>
  <c r="C163" i="12" s="1"/>
  <c r="B3" i="9"/>
  <c r="C16" i="4"/>
  <c r="I27" i="9"/>
  <c r="I27" i="16"/>
  <c r="B3" i="16"/>
  <c r="C15" i="12"/>
  <c r="C29" i="12" s="1"/>
  <c r="C43" i="12" s="1"/>
  <c r="C57" i="12" s="1"/>
  <c r="C71" i="12" s="1"/>
  <c r="C85" i="12" s="1"/>
  <c r="C99" i="12" s="1"/>
  <c r="C113" i="12" s="1"/>
  <c r="C127" i="12" s="1"/>
  <c r="C141" i="12" s="1"/>
  <c r="C155" i="12" s="1"/>
  <c r="C169" i="12" s="1"/>
  <c r="C22" i="4"/>
  <c r="I10" i="9"/>
  <c r="F75" i="3"/>
  <c r="E79" i="3"/>
  <c r="J101" i="9" s="1"/>
  <c r="E77" i="3"/>
  <c r="J102" i="9" s="1"/>
  <c r="E76" i="3"/>
  <c r="J104" i="9" s="1"/>
  <c r="E75" i="3"/>
  <c r="E64" i="3"/>
  <c r="E61" i="3"/>
  <c r="I100" i="9" s="1"/>
  <c r="I78" i="3"/>
  <c r="H78" i="3"/>
  <c r="I10" i="16"/>
  <c r="K78" i="3"/>
  <c r="J103" i="16" s="1"/>
  <c r="K77" i="3"/>
  <c r="J102" i="16" s="1"/>
  <c r="K76" i="3"/>
  <c r="J104" i="16" s="1"/>
  <c r="K75" i="3"/>
  <c r="I96" i="16" s="1"/>
  <c r="K61" i="3"/>
  <c r="I100" i="16" s="1"/>
  <c r="E36" i="3"/>
  <c r="I31" i="9" s="1"/>
  <c r="K36" i="3"/>
  <c r="I31" i="16" s="1"/>
  <c r="I29" i="9"/>
  <c r="I29" i="16"/>
  <c r="E39" i="3"/>
  <c r="I48" i="9" s="1"/>
  <c r="E41" i="3"/>
  <c r="I50" i="9" s="1"/>
  <c r="J50" i="9" s="1"/>
  <c r="K41" i="3"/>
  <c r="I50" i="16" s="1"/>
  <c r="C44" i="3"/>
  <c r="I49" i="7" s="1"/>
  <c r="E49" i="3"/>
  <c r="E56" i="3" s="1"/>
  <c r="E84" i="3" s="1"/>
  <c r="E91" i="3" s="1"/>
  <c r="K49" i="3"/>
  <c r="K56" i="3" s="1"/>
  <c r="K84" i="3" s="1"/>
  <c r="K91" i="3" s="1"/>
  <c r="H61" i="3"/>
  <c r="I100" i="13" s="1"/>
  <c r="C65" i="3"/>
  <c r="K17" i="4"/>
  <c r="E19" i="5"/>
  <c r="F19" i="5" s="1"/>
  <c r="F35" i="5"/>
  <c r="F47" i="5"/>
  <c r="B2" i="8"/>
  <c r="C10" i="12"/>
  <c r="C24" i="12" s="1"/>
  <c r="C38" i="12" s="1"/>
  <c r="C52" i="12" s="1"/>
  <c r="C66" i="12" s="1"/>
  <c r="C80" i="12" s="1"/>
  <c r="C94" i="12" s="1"/>
  <c r="C108" i="12" s="1"/>
  <c r="C122" i="12" s="1"/>
  <c r="C136" i="12" s="1"/>
  <c r="C150" i="12" s="1"/>
  <c r="C164" i="12" s="1"/>
  <c r="I27" i="10"/>
  <c r="B3" i="10"/>
  <c r="C17" i="4"/>
  <c r="I27" i="17"/>
  <c r="B3" i="17"/>
  <c r="C16" i="12"/>
  <c r="C30" i="12" s="1"/>
  <c r="C44" i="12" s="1"/>
  <c r="C58" i="12" s="1"/>
  <c r="C72" i="12" s="1"/>
  <c r="C86" i="12" s="1"/>
  <c r="C100" i="12" s="1"/>
  <c r="C114" i="12" s="1"/>
  <c r="C128" i="12" s="1"/>
  <c r="C142" i="12" s="1"/>
  <c r="C156" i="12" s="1"/>
  <c r="C170" i="12" s="1"/>
  <c r="C23" i="4"/>
  <c r="I10" i="10"/>
  <c r="F79" i="3"/>
  <c r="J101" i="10" s="1"/>
  <c r="F77" i="3"/>
  <c r="J102" i="10" s="1"/>
  <c r="F76" i="3"/>
  <c r="J104" i="10" s="1"/>
  <c r="F64" i="3"/>
  <c r="F61" i="3"/>
  <c r="I100" i="10" s="1"/>
  <c r="I10" i="17"/>
  <c r="L78" i="3"/>
  <c r="J103" i="17" s="1"/>
  <c r="L77" i="3"/>
  <c r="J102" i="17" s="1"/>
  <c r="L76" i="3"/>
  <c r="J104" i="17" s="1"/>
  <c r="L75" i="3"/>
  <c r="I96" i="17" s="1"/>
  <c r="L61" i="3"/>
  <c r="I100" i="17" s="1"/>
  <c r="N78" i="3"/>
  <c r="J103" i="19" s="1"/>
  <c r="N77" i="3"/>
  <c r="J102" i="19" s="1"/>
  <c r="N76" i="3"/>
  <c r="J104" i="19" s="1"/>
  <c r="N75" i="3"/>
  <c r="I96" i="19" s="1"/>
  <c r="F36" i="3"/>
  <c r="I31" i="10" s="1"/>
  <c r="L36" i="3"/>
  <c r="I31" i="17" s="1"/>
  <c r="I29" i="10"/>
  <c r="I29" i="17"/>
  <c r="F39" i="3"/>
  <c r="I48" i="10" s="1"/>
  <c r="F41" i="3"/>
  <c r="I50" i="10" s="1"/>
  <c r="J50" i="10" s="1"/>
  <c r="L41" i="3"/>
  <c r="I50" i="17" s="1"/>
  <c r="D44" i="3"/>
  <c r="I49" i="8" s="1"/>
  <c r="F49" i="3"/>
  <c r="F56" i="3" s="1"/>
  <c r="F84" i="3" s="1"/>
  <c r="F91" i="3" s="1"/>
  <c r="L49" i="3"/>
  <c r="L56" i="3" s="1"/>
  <c r="L84" i="3" s="1"/>
  <c r="L91" i="3" s="1"/>
  <c r="J61" i="3"/>
  <c r="I100" i="15" s="1"/>
  <c r="G65" i="3"/>
  <c r="L68" i="3"/>
  <c r="I55" i="17" s="1"/>
  <c r="M77" i="3"/>
  <c r="J102" i="18" s="1"/>
  <c r="I17" i="8"/>
  <c r="E15" i="4"/>
  <c r="K15" i="4" s="1"/>
  <c r="I17" i="15"/>
  <c r="E21" i="4"/>
  <c r="I11" i="16"/>
  <c r="L94" i="3"/>
  <c r="I202" i="7"/>
  <c r="C11" i="12"/>
  <c r="C25" i="12" s="1"/>
  <c r="C39" i="12" s="1"/>
  <c r="C53" i="12" s="1"/>
  <c r="C67" i="12" s="1"/>
  <c r="C81" i="12" s="1"/>
  <c r="C95" i="12" s="1"/>
  <c r="C109" i="12" s="1"/>
  <c r="C123" i="12" s="1"/>
  <c r="C137" i="12" s="1"/>
  <c r="C151" i="12" s="1"/>
  <c r="C165" i="12" s="1"/>
  <c r="I27" i="11"/>
  <c r="B3" i="11"/>
  <c r="C18" i="4"/>
  <c r="I27" i="18"/>
  <c r="B3" i="18"/>
  <c r="C17" i="12"/>
  <c r="C31" i="12" s="1"/>
  <c r="C45" i="12" s="1"/>
  <c r="C59" i="12" s="1"/>
  <c r="C73" i="12" s="1"/>
  <c r="C87" i="12" s="1"/>
  <c r="C101" i="12" s="1"/>
  <c r="C115" i="12" s="1"/>
  <c r="C129" i="12" s="1"/>
  <c r="C143" i="12" s="1"/>
  <c r="C157" i="12" s="1"/>
  <c r="C171" i="12" s="1"/>
  <c r="C24" i="4"/>
  <c r="I10" i="11"/>
  <c r="G64" i="3"/>
  <c r="G61" i="3"/>
  <c r="I100" i="11" s="1"/>
  <c r="G80" i="3"/>
  <c r="J105" i="11" s="1"/>
  <c r="G36" i="3"/>
  <c r="I31" i="11" s="1"/>
  <c r="M36" i="3"/>
  <c r="I31" i="18" s="1"/>
  <c r="I29" i="11"/>
  <c r="I29" i="18"/>
  <c r="G39" i="3"/>
  <c r="I48" i="11" s="1"/>
  <c r="G41" i="3"/>
  <c r="I50" i="11" s="1"/>
  <c r="M41" i="3"/>
  <c r="I50" i="18" s="1"/>
  <c r="E44" i="3"/>
  <c r="I49" i="9" s="1"/>
  <c r="G49" i="3"/>
  <c r="G56" i="3" s="1"/>
  <c r="G84" i="3" s="1"/>
  <c r="G91" i="3" s="1"/>
  <c r="M49" i="3"/>
  <c r="M56" i="3" s="1"/>
  <c r="M84" i="3" s="1"/>
  <c r="M91" i="3" s="1"/>
  <c r="F80" i="8"/>
  <c r="I80" i="8" s="1"/>
  <c r="I86" i="8" s="1"/>
  <c r="E57" i="3"/>
  <c r="E58" i="3"/>
  <c r="I65" i="3"/>
  <c r="G75" i="3"/>
  <c r="I96" i="11" s="1"/>
  <c r="G78" i="3"/>
  <c r="I176" i="18"/>
  <c r="I179" i="18" s="1"/>
  <c r="I176" i="19"/>
  <c r="I176" i="16"/>
  <c r="I179" i="16" s="1"/>
  <c r="I176" i="17"/>
  <c r="I179" i="17" s="1"/>
  <c r="I176" i="14"/>
  <c r="I179" i="14" s="1"/>
  <c r="I176" i="13"/>
  <c r="I179" i="13" s="1"/>
  <c r="I176" i="15"/>
  <c r="I179" i="15" s="1"/>
  <c r="I176" i="11"/>
  <c r="I176" i="8"/>
  <c r="I179" i="8" s="1"/>
  <c r="I176" i="10"/>
  <c r="I179" i="10" s="1"/>
  <c r="I176" i="9"/>
  <c r="I176" i="7"/>
  <c r="I179" i="7" s="1"/>
  <c r="E87" i="3"/>
  <c r="F87" i="3" s="1"/>
  <c r="G87" i="3" s="1"/>
  <c r="H87" i="3" s="1"/>
  <c r="I87" i="3" s="1"/>
  <c r="J87" i="3" s="1"/>
  <c r="K87" i="3" s="1"/>
  <c r="L87" i="3" s="1"/>
  <c r="M87" i="3" s="1"/>
  <c r="N87" i="3" s="1"/>
  <c r="C15" i="4"/>
  <c r="E13" i="5"/>
  <c r="F13" i="5" s="1"/>
  <c r="H68" i="3"/>
  <c r="N68" i="3"/>
  <c r="I55" i="19" s="1"/>
  <c r="H203" i="9"/>
  <c r="H207" i="9" s="1"/>
  <c r="I20" i="9"/>
  <c r="H203" i="16"/>
  <c r="I20" i="16"/>
  <c r="E16" i="4"/>
  <c r="K16" i="4" s="1"/>
  <c r="J21" i="4"/>
  <c r="E22" i="4"/>
  <c r="K22" i="4" s="1"/>
  <c r="E63" i="5"/>
  <c r="F63" i="5" s="1"/>
  <c r="F92" i="5"/>
  <c r="H203" i="10"/>
  <c r="H207" i="10" s="1"/>
  <c r="I20" i="10"/>
  <c r="I20" i="17"/>
  <c r="H203" i="17"/>
  <c r="H207" i="17" s="1"/>
  <c r="D68" i="3"/>
  <c r="J68" i="3"/>
  <c r="I55" i="15" s="1"/>
  <c r="H203" i="11"/>
  <c r="H207" i="11" s="1"/>
  <c r="I20" i="11"/>
  <c r="I20" i="18"/>
  <c r="H203" i="18"/>
  <c r="H207" i="18" s="1"/>
  <c r="E14" i="4"/>
  <c r="K14" i="4" s="1"/>
  <c r="E20" i="4"/>
  <c r="K20" i="4" s="1"/>
  <c r="E55" i="5"/>
  <c r="F55" i="5" s="1"/>
  <c r="E57" i="5"/>
  <c r="F57" i="5" s="1"/>
  <c r="F104" i="5"/>
  <c r="E68" i="3"/>
  <c r="K68" i="3"/>
  <c r="I55" i="16" s="1"/>
  <c r="D72" i="3"/>
  <c r="E73" i="3"/>
  <c r="I20" i="13"/>
  <c r="H203" i="13"/>
  <c r="H207" i="13" s="1"/>
  <c r="H203" i="19"/>
  <c r="H207" i="19" s="1"/>
  <c r="I20" i="19"/>
  <c r="E19" i="4"/>
  <c r="K19" i="4" s="1"/>
  <c r="E25" i="4"/>
  <c r="F68" i="3"/>
  <c r="H203" i="7"/>
  <c r="H207" i="7" s="1"/>
  <c r="I20" i="7"/>
  <c r="I20" i="14"/>
  <c r="H203" i="14"/>
  <c r="H207" i="14" s="1"/>
  <c r="H213" i="15"/>
  <c r="E18" i="4"/>
  <c r="K18" i="4" s="1"/>
  <c r="E24" i="4"/>
  <c r="F76" i="5"/>
  <c r="F98" i="5"/>
  <c r="I133" i="7"/>
  <c r="J48" i="8"/>
  <c r="I179" i="9"/>
  <c r="H213" i="10"/>
  <c r="I201" i="11"/>
  <c r="I179" i="11"/>
  <c r="H103" i="12"/>
  <c r="H145" i="12"/>
  <c r="H175" i="12" s="1"/>
  <c r="H75" i="12"/>
  <c r="D175" i="12"/>
  <c r="I179" i="19"/>
  <c r="I201" i="13"/>
  <c r="I201" i="14"/>
  <c r="H207" i="16"/>
  <c r="I201" i="19"/>
  <c r="I201" i="18"/>
  <c r="I201" i="17"/>
  <c r="I201" i="16"/>
  <c r="I98" i="16" l="1"/>
  <c r="E110" i="5"/>
  <c r="J154" i="10" s="1"/>
  <c r="J157" i="10" s="1"/>
  <c r="J192" i="10" s="1"/>
  <c r="J97" i="14"/>
  <c r="I98" i="15"/>
  <c r="J97" i="15" s="1"/>
  <c r="H80" i="9"/>
  <c r="F58" i="3"/>
  <c r="F80" i="9"/>
  <c r="F57" i="3"/>
  <c r="B203" i="18"/>
  <c r="B17" i="18"/>
  <c r="I20" i="15"/>
  <c r="H203" i="15"/>
  <c r="H207" i="15" s="1"/>
  <c r="B203" i="17"/>
  <c r="B17" i="17"/>
  <c r="B203" i="16"/>
  <c r="B17" i="16"/>
  <c r="B17" i="14"/>
  <c r="B203" i="14"/>
  <c r="B17" i="13"/>
  <c r="B203" i="13"/>
  <c r="I98" i="19"/>
  <c r="I94" i="9"/>
  <c r="F73" i="3"/>
  <c r="K21" i="4"/>
  <c r="I133" i="8"/>
  <c r="J97" i="13"/>
  <c r="B17" i="15"/>
  <c r="B203" i="15"/>
  <c r="I99" i="16"/>
  <c r="J97" i="16" s="1"/>
  <c r="L62" i="3"/>
  <c r="I38" i="7"/>
  <c r="I32" i="7"/>
  <c r="J47" i="7"/>
  <c r="J97" i="7"/>
  <c r="I38" i="18"/>
  <c r="I32" i="18"/>
  <c r="J47" i="18"/>
  <c r="H203" i="8"/>
  <c r="H207" i="8" s="1"/>
  <c r="I20" i="8"/>
  <c r="I38" i="17"/>
  <c r="I32" i="17"/>
  <c r="J47" i="17"/>
  <c r="I38" i="16"/>
  <c r="J47" i="16"/>
  <c r="I32" i="16"/>
  <c r="B17" i="19"/>
  <c r="B203" i="19"/>
  <c r="J97" i="11"/>
  <c r="J97" i="8"/>
  <c r="J50" i="18"/>
  <c r="I93" i="8"/>
  <c r="E72" i="3"/>
  <c r="J47" i="11"/>
  <c r="I32" i="11"/>
  <c r="B203" i="11"/>
  <c r="B17" i="11"/>
  <c r="I11" i="17"/>
  <c r="J23" i="4"/>
  <c r="K23" i="4" s="1"/>
  <c r="M94" i="3"/>
  <c r="I32" i="10"/>
  <c r="J47" i="10"/>
  <c r="B203" i="10"/>
  <c r="B17" i="10"/>
  <c r="I38" i="9"/>
  <c r="J47" i="9"/>
  <c r="I32" i="9"/>
  <c r="I38" i="15"/>
  <c r="I32" i="15"/>
  <c r="J47" i="15"/>
  <c r="B203" i="8"/>
  <c r="B17" i="8"/>
  <c r="I38" i="14"/>
  <c r="I32" i="14"/>
  <c r="J47" i="14"/>
  <c r="B203" i="7"/>
  <c r="B17" i="7"/>
  <c r="I38" i="19"/>
  <c r="I32" i="19"/>
  <c r="J47" i="19"/>
  <c r="J97" i="9"/>
  <c r="E85" i="5"/>
  <c r="E69" i="5"/>
  <c r="E26" i="4"/>
  <c r="H213" i="16"/>
  <c r="J50" i="17"/>
  <c r="J50" i="16"/>
  <c r="B17" i="9"/>
  <c r="B203" i="9"/>
  <c r="I38" i="8"/>
  <c r="J47" i="8"/>
  <c r="I32" i="8"/>
  <c r="I38" i="13"/>
  <c r="I32" i="13"/>
  <c r="J47" i="13"/>
  <c r="I98" i="18"/>
  <c r="J97" i="10"/>
  <c r="I41" i="18"/>
  <c r="I41" i="19"/>
  <c r="J50" i="19" s="1"/>
  <c r="I41" i="17"/>
  <c r="I41" i="16"/>
  <c r="I41" i="15"/>
  <c r="J50" i="15" s="1"/>
  <c r="I41" i="14"/>
  <c r="I41" i="11"/>
  <c r="J50" i="11" s="1"/>
  <c r="I41" i="9"/>
  <c r="I41" i="10"/>
  <c r="I41" i="13"/>
  <c r="J50" i="13" s="1"/>
  <c r="F42" i="3"/>
  <c r="G42" i="3" s="1"/>
  <c r="H42" i="3" s="1"/>
  <c r="I42" i="3" s="1"/>
  <c r="J42" i="3" s="1"/>
  <c r="K42" i="3" s="1"/>
  <c r="L42" i="3" s="1"/>
  <c r="M42" i="3" s="1"/>
  <c r="N42" i="3" s="1"/>
  <c r="J50" i="14"/>
  <c r="I92" i="14" l="1"/>
  <c r="J49" i="14"/>
  <c r="J48" i="14"/>
  <c r="I39" i="15"/>
  <c r="J53" i="15" s="1"/>
  <c r="I36" i="15"/>
  <c r="J51" i="15" s="1"/>
  <c r="J48" i="17"/>
  <c r="J54" i="17" s="1"/>
  <c r="I92" i="17"/>
  <c r="J49" i="17"/>
  <c r="I39" i="18"/>
  <c r="J53" i="18" s="1"/>
  <c r="I36" i="18"/>
  <c r="J51" i="18" s="1"/>
  <c r="J48" i="7"/>
  <c r="I92" i="7"/>
  <c r="J49" i="7"/>
  <c r="I39" i="8"/>
  <c r="J53" i="8" s="1"/>
  <c r="I34" i="8"/>
  <c r="J60" i="8" s="1"/>
  <c r="J61" i="8" s="1"/>
  <c r="I92" i="10"/>
  <c r="I96" i="10" s="1"/>
  <c r="J49" i="10"/>
  <c r="J48" i="10"/>
  <c r="I39" i="17"/>
  <c r="J53" i="17" s="1"/>
  <c r="I36" i="17"/>
  <c r="J51" i="17" s="1"/>
  <c r="I34" i="7"/>
  <c r="J60" i="7" s="1"/>
  <c r="J61" i="7" s="1"/>
  <c r="I39" i="7"/>
  <c r="J53" i="7" s="1"/>
  <c r="I94" i="10"/>
  <c r="G73" i="3"/>
  <c r="H80" i="10"/>
  <c r="G58" i="3"/>
  <c r="J155" i="8"/>
  <c r="J155" i="7"/>
  <c r="J155" i="9"/>
  <c r="J154" i="8"/>
  <c r="J154" i="7"/>
  <c r="J154" i="9"/>
  <c r="I36" i="19"/>
  <c r="J51" i="19" s="1"/>
  <c r="I39" i="19"/>
  <c r="J53" i="19" s="1"/>
  <c r="I34" i="9"/>
  <c r="J60" i="9" s="1"/>
  <c r="J61" i="9" s="1"/>
  <c r="I39" i="9"/>
  <c r="J53" i="9" s="1"/>
  <c r="I39" i="10"/>
  <c r="J53" i="10" s="1"/>
  <c r="I38" i="10"/>
  <c r="I34" i="10"/>
  <c r="J60" i="10" s="1"/>
  <c r="J61" i="10" s="1"/>
  <c r="I34" i="11"/>
  <c r="J60" i="11" s="1"/>
  <c r="J61" i="11" s="1"/>
  <c r="I39" i="11"/>
  <c r="J53" i="11" s="1"/>
  <c r="I38" i="11"/>
  <c r="J49" i="9"/>
  <c r="J48" i="9"/>
  <c r="I33" i="9" s="1"/>
  <c r="I35" i="9" s="1"/>
  <c r="J52" i="9" s="1"/>
  <c r="I92" i="9"/>
  <c r="I96" i="9" s="1"/>
  <c r="I11" i="18"/>
  <c r="J24" i="4"/>
  <c r="K24" i="4" s="1"/>
  <c r="N94" i="3"/>
  <c r="J48" i="11"/>
  <c r="I92" i="11"/>
  <c r="J49" i="11"/>
  <c r="I36" i="16"/>
  <c r="J51" i="16" s="1"/>
  <c r="I39" i="16"/>
  <c r="J53" i="16" s="1"/>
  <c r="I33" i="10"/>
  <c r="I35" i="10" s="1"/>
  <c r="F80" i="10"/>
  <c r="I80" i="10" s="1"/>
  <c r="I86" i="10" s="1"/>
  <c r="G57" i="3"/>
  <c r="I92" i="13"/>
  <c r="J49" i="13"/>
  <c r="J48" i="13"/>
  <c r="I39" i="13"/>
  <c r="J53" i="13" s="1"/>
  <c r="I34" i="13"/>
  <c r="J60" i="13" s="1"/>
  <c r="J61" i="13" s="1"/>
  <c r="I92" i="16"/>
  <c r="J48" i="16"/>
  <c r="J49" i="16"/>
  <c r="I80" i="9"/>
  <c r="I86" i="9" s="1"/>
  <c r="J49" i="19"/>
  <c r="J48" i="19"/>
  <c r="I92" i="19"/>
  <c r="I39" i="14"/>
  <c r="J53" i="14" s="1"/>
  <c r="I34" i="14"/>
  <c r="J60" i="14" s="1"/>
  <c r="J61" i="14" s="1"/>
  <c r="I33" i="14"/>
  <c r="I35" i="14" s="1"/>
  <c r="I92" i="8"/>
  <c r="I96" i="8" s="1"/>
  <c r="J49" i="8"/>
  <c r="I33" i="8"/>
  <c r="I35" i="8" s="1"/>
  <c r="J52" i="8" s="1"/>
  <c r="E38" i="8"/>
  <c r="I92" i="15"/>
  <c r="J49" i="15"/>
  <c r="J48" i="15"/>
  <c r="H213" i="17"/>
  <c r="I93" i="9"/>
  <c r="J92" i="9" s="1"/>
  <c r="J106" i="9" s="1"/>
  <c r="J114" i="9" s="1"/>
  <c r="F72" i="3"/>
  <c r="J48" i="18"/>
  <c r="I92" i="18"/>
  <c r="J49" i="18"/>
  <c r="I99" i="17"/>
  <c r="J97" i="17" s="1"/>
  <c r="M62" i="3"/>
  <c r="J54" i="18" l="1"/>
  <c r="J54" i="19"/>
  <c r="I33" i="18"/>
  <c r="I33" i="16"/>
  <c r="I37" i="16" s="1"/>
  <c r="J157" i="9"/>
  <c r="J192" i="9" s="1"/>
  <c r="I33" i="17"/>
  <c r="I34" i="17" s="1"/>
  <c r="J60" i="17" s="1"/>
  <c r="J61" i="17" s="1"/>
  <c r="H213" i="18"/>
  <c r="J52" i="10"/>
  <c r="I55" i="10"/>
  <c r="J55" i="10" s="1"/>
  <c r="I54" i="14"/>
  <c r="J54" i="14" s="1"/>
  <c r="I37" i="14"/>
  <c r="I55" i="14" s="1"/>
  <c r="J55" i="14" s="1"/>
  <c r="I36" i="14"/>
  <c r="I51" i="14" s="1"/>
  <c r="J51" i="14" s="1"/>
  <c r="J55" i="18"/>
  <c r="J56" i="18" s="1"/>
  <c r="H80" i="11"/>
  <c r="H58" i="3"/>
  <c r="I96" i="7"/>
  <c r="J92" i="7"/>
  <c r="J106" i="7" s="1"/>
  <c r="J114" i="7" s="1"/>
  <c r="J55" i="15"/>
  <c r="J54" i="15"/>
  <c r="I37" i="8"/>
  <c r="I55" i="8" s="1"/>
  <c r="J55" i="8" s="1"/>
  <c r="I36" i="8"/>
  <c r="I51" i="8" s="1"/>
  <c r="J51" i="8" s="1"/>
  <c r="I54" i="8"/>
  <c r="J54" i="8" s="1"/>
  <c r="I133" i="9"/>
  <c r="I37" i="10"/>
  <c r="I54" i="10" s="1"/>
  <c r="J54" i="10" s="1"/>
  <c r="I36" i="10"/>
  <c r="I51" i="10" s="1"/>
  <c r="J51" i="10" s="1"/>
  <c r="I55" i="11"/>
  <c r="J55" i="11" s="1"/>
  <c r="J157" i="7"/>
  <c r="J192" i="7" s="1"/>
  <c r="I33" i="7"/>
  <c r="I36" i="9"/>
  <c r="I51" i="9" s="1"/>
  <c r="J51" i="9" s="1"/>
  <c r="I37" i="9"/>
  <c r="I55" i="9" s="1"/>
  <c r="J55" i="9" s="1"/>
  <c r="I54" i="9"/>
  <c r="J54" i="9" s="1"/>
  <c r="J157" i="8"/>
  <c r="J192" i="8" s="1"/>
  <c r="I94" i="11"/>
  <c r="H73" i="3"/>
  <c r="J55" i="17"/>
  <c r="J56" i="17"/>
  <c r="I93" i="10"/>
  <c r="J92" i="10" s="1"/>
  <c r="J106" i="10" s="1"/>
  <c r="J114" i="10" s="1"/>
  <c r="G72" i="3"/>
  <c r="J55" i="19"/>
  <c r="J56" i="19" s="1"/>
  <c r="I33" i="11"/>
  <c r="I35" i="11" s="1"/>
  <c r="I99" i="18"/>
  <c r="J97" i="18" s="1"/>
  <c r="N62" i="3"/>
  <c r="I99" i="19" s="1"/>
  <c r="J97" i="19" s="1"/>
  <c r="I33" i="15"/>
  <c r="I33" i="19"/>
  <c r="F80" i="11"/>
  <c r="I80" i="11" s="1"/>
  <c r="I86" i="11" s="1"/>
  <c r="H57" i="3"/>
  <c r="I11" i="19"/>
  <c r="J25" i="4"/>
  <c r="K25" i="4" s="1"/>
  <c r="J52" i="14"/>
  <c r="J92" i="8"/>
  <c r="J106" i="8" s="1"/>
  <c r="J114" i="8" s="1"/>
  <c r="I35" i="18"/>
  <c r="J52" i="18" s="1"/>
  <c r="I34" i="18"/>
  <c r="J60" i="18" s="1"/>
  <c r="J61" i="18" s="1"/>
  <c r="I37" i="18"/>
  <c r="J55" i="16"/>
  <c r="J54" i="16"/>
  <c r="I33" i="13"/>
  <c r="I35" i="13" s="1"/>
  <c r="I133" i="10"/>
  <c r="J56" i="10" l="1"/>
  <c r="I35" i="17"/>
  <c r="J52" i="17" s="1"/>
  <c r="J58" i="17" s="1"/>
  <c r="I35" i="16"/>
  <c r="J52" i="16" s="1"/>
  <c r="I34" i="16"/>
  <c r="J60" i="16" s="1"/>
  <c r="J61" i="16" s="1"/>
  <c r="I37" i="17"/>
  <c r="J56" i="8"/>
  <c r="J58" i="8" s="1"/>
  <c r="J56" i="14"/>
  <c r="J58" i="14" s="1"/>
  <c r="J58" i="10"/>
  <c r="J56" i="9"/>
  <c r="J58" i="9" s="1"/>
  <c r="J58" i="18"/>
  <c r="H80" i="13"/>
  <c r="I58" i="3"/>
  <c r="I54" i="13"/>
  <c r="J54" i="13" s="1"/>
  <c r="I37" i="13"/>
  <c r="I55" i="13" s="1"/>
  <c r="J55" i="13" s="1"/>
  <c r="I36" i="13"/>
  <c r="I51" i="13" s="1"/>
  <c r="J51" i="13" s="1"/>
  <c r="J52" i="13"/>
  <c r="H213" i="19"/>
  <c r="I94" i="13"/>
  <c r="I73" i="3"/>
  <c r="I35" i="7"/>
  <c r="I36" i="7"/>
  <c r="I51" i="7" s="1"/>
  <c r="J51" i="7" s="1"/>
  <c r="F80" i="13"/>
  <c r="I80" i="13" s="1"/>
  <c r="I86" i="13" s="1"/>
  <c r="I57" i="3"/>
  <c r="I37" i="11"/>
  <c r="I54" i="11" s="1"/>
  <c r="J54" i="11" s="1"/>
  <c r="J56" i="11" s="1"/>
  <c r="I36" i="11"/>
  <c r="I51" i="11" s="1"/>
  <c r="J51" i="11" s="1"/>
  <c r="I93" i="11"/>
  <c r="J92" i="11" s="1"/>
  <c r="H72" i="3"/>
  <c r="J56" i="15"/>
  <c r="I133" i="11"/>
  <c r="J52" i="11"/>
  <c r="I35" i="19"/>
  <c r="J52" i="19" s="1"/>
  <c r="J58" i="19" s="1"/>
  <c r="I34" i="19"/>
  <c r="J60" i="19" s="1"/>
  <c r="J61" i="19" s="1"/>
  <c r="I37" i="19"/>
  <c r="J56" i="16"/>
  <c r="J58" i="16" s="1"/>
  <c r="I37" i="15"/>
  <c r="I35" i="15"/>
  <c r="J52" i="15" s="1"/>
  <c r="I34" i="15"/>
  <c r="J60" i="15" s="1"/>
  <c r="J61" i="15" s="1"/>
  <c r="J58" i="15" l="1"/>
  <c r="J58" i="11"/>
  <c r="G77" i="3" s="1"/>
  <c r="J102" i="11" s="1"/>
  <c r="J106" i="11" s="1"/>
  <c r="J114" i="11" s="1"/>
  <c r="J121" i="14"/>
  <c r="C129" i="14"/>
  <c r="J71" i="14"/>
  <c r="J72" i="14" s="1"/>
  <c r="J123" i="14"/>
  <c r="J63" i="14"/>
  <c r="J70" i="14"/>
  <c r="J71" i="10"/>
  <c r="J70" i="10"/>
  <c r="J72" i="10" s="1"/>
  <c r="J112" i="10" s="1"/>
  <c r="J123" i="10"/>
  <c r="J63" i="10"/>
  <c r="J188" i="10" s="1"/>
  <c r="J121" i="10"/>
  <c r="J122" i="10" s="1"/>
  <c r="C129" i="10"/>
  <c r="J133" i="10"/>
  <c r="J71" i="9"/>
  <c r="J121" i="9"/>
  <c r="J122" i="9" s="1"/>
  <c r="J70" i="9"/>
  <c r="J63" i="9"/>
  <c r="C129" i="9"/>
  <c r="J123" i="9"/>
  <c r="J133" i="9"/>
  <c r="J70" i="8"/>
  <c r="C129" i="8"/>
  <c r="J63" i="8"/>
  <c r="J188" i="8" s="1"/>
  <c r="J71" i="8"/>
  <c r="J123" i="8"/>
  <c r="J133" i="8"/>
  <c r="J121" i="8"/>
  <c r="J122" i="8" s="1"/>
  <c r="C129" i="16"/>
  <c r="J123" i="16"/>
  <c r="J71" i="16"/>
  <c r="J70" i="16"/>
  <c r="J63" i="16"/>
  <c r="J121" i="16"/>
  <c r="J80" i="10"/>
  <c r="J70" i="11"/>
  <c r="C129" i="11"/>
  <c r="J63" i="11"/>
  <c r="J123" i="11"/>
  <c r="J121" i="11"/>
  <c r="J122" i="11" s="1"/>
  <c r="J71" i="11"/>
  <c r="J133" i="11"/>
  <c r="I54" i="7"/>
  <c r="J54" i="7" s="1"/>
  <c r="I37" i="7"/>
  <c r="I55" i="7" s="1"/>
  <c r="J55" i="7" s="1"/>
  <c r="J52" i="7"/>
  <c r="J71" i="18"/>
  <c r="J70" i="18"/>
  <c r="J63" i="18"/>
  <c r="C129" i="18"/>
  <c r="J123" i="18"/>
  <c r="J121" i="18"/>
  <c r="J123" i="19"/>
  <c r="J71" i="19"/>
  <c r="J70" i="19"/>
  <c r="J72" i="19" s="1"/>
  <c r="J112" i="19" s="1"/>
  <c r="J63" i="19"/>
  <c r="C129" i="19"/>
  <c r="I94" i="14"/>
  <c r="J73" i="3"/>
  <c r="F80" i="14"/>
  <c r="J57" i="3"/>
  <c r="J56" i="13"/>
  <c r="J58" i="13" s="1"/>
  <c r="J63" i="15"/>
  <c r="C129" i="15"/>
  <c r="J123" i="15"/>
  <c r="J71" i="15"/>
  <c r="J70" i="15"/>
  <c r="J121" i="15"/>
  <c r="J188" i="9"/>
  <c r="J70" i="17"/>
  <c r="J63" i="17"/>
  <c r="C129" i="17"/>
  <c r="J123" i="17"/>
  <c r="J71" i="17"/>
  <c r="J121" i="17"/>
  <c r="I133" i="13"/>
  <c r="J121" i="19"/>
  <c r="H80" i="14"/>
  <c r="J58" i="3"/>
  <c r="J188" i="14"/>
  <c r="J119" i="9"/>
  <c r="I93" i="13"/>
  <c r="J92" i="13" s="1"/>
  <c r="J106" i="13" s="1"/>
  <c r="J114" i="13" s="1"/>
  <c r="I72" i="3"/>
  <c r="J72" i="18" l="1"/>
  <c r="J72" i="9"/>
  <c r="J81" i="9" s="1"/>
  <c r="J72" i="16"/>
  <c r="J112" i="16" s="1"/>
  <c r="J112" i="9"/>
  <c r="J79" i="9"/>
  <c r="J78" i="10"/>
  <c r="J79" i="19"/>
  <c r="J83" i="19"/>
  <c r="J85" i="9"/>
  <c r="J80" i="9"/>
  <c r="J119" i="17"/>
  <c r="J84" i="10"/>
  <c r="J78" i="9"/>
  <c r="J81" i="10"/>
  <c r="J78" i="18"/>
  <c r="J85" i="10"/>
  <c r="J83" i="9"/>
  <c r="J79" i="18"/>
  <c r="J85" i="18"/>
  <c r="J83" i="10"/>
  <c r="J79" i="10"/>
  <c r="J72" i="11"/>
  <c r="J80" i="11" s="1"/>
  <c r="J119" i="14"/>
  <c r="J120" i="14" s="1"/>
  <c r="J79" i="16"/>
  <c r="J72" i="15"/>
  <c r="J112" i="15" s="1"/>
  <c r="J81" i="19"/>
  <c r="J81" i="18"/>
  <c r="J82" i="16"/>
  <c r="J82" i="10"/>
  <c r="J119" i="10"/>
  <c r="J72" i="8"/>
  <c r="J119" i="8"/>
  <c r="J56" i="7"/>
  <c r="J58" i="7" s="1"/>
  <c r="J84" i="9"/>
  <c r="J188" i="15"/>
  <c r="F80" i="15"/>
  <c r="K57" i="3"/>
  <c r="I94" i="15"/>
  <c r="K73" i="3"/>
  <c r="J188" i="19"/>
  <c r="J188" i="18"/>
  <c r="C129" i="13"/>
  <c r="J133" i="13"/>
  <c r="J123" i="13"/>
  <c r="J71" i="13"/>
  <c r="J70" i="13"/>
  <c r="J121" i="13"/>
  <c r="J122" i="13" s="1"/>
  <c r="J63" i="13"/>
  <c r="J188" i="16"/>
  <c r="J120" i="17"/>
  <c r="J119" i="16"/>
  <c r="H80" i="15"/>
  <c r="K58" i="3"/>
  <c r="I80" i="14"/>
  <c r="I86" i="14" s="1"/>
  <c r="J79" i="15"/>
  <c r="J82" i="19"/>
  <c r="J84" i="19"/>
  <c r="J188" i="11"/>
  <c r="J78" i="16"/>
  <c r="J119" i="15"/>
  <c r="J119" i="19"/>
  <c r="J82" i="18"/>
  <c r="J84" i="18"/>
  <c r="J84" i="16"/>
  <c r="J81" i="16"/>
  <c r="J188" i="17"/>
  <c r="J112" i="14"/>
  <c r="J82" i="14"/>
  <c r="J79" i="14"/>
  <c r="J83" i="14"/>
  <c r="J85" i="14"/>
  <c r="J81" i="14"/>
  <c r="J78" i="14"/>
  <c r="J84" i="14"/>
  <c r="I93" i="14"/>
  <c r="J92" i="14" s="1"/>
  <c r="J106" i="14" s="1"/>
  <c r="J114" i="14" s="1"/>
  <c r="J72" i="3"/>
  <c r="J120" i="9"/>
  <c r="J124" i="9" s="1"/>
  <c r="J72" i="17"/>
  <c r="J78" i="15"/>
  <c r="J78" i="19"/>
  <c r="J85" i="19"/>
  <c r="J119" i="18"/>
  <c r="J81" i="11"/>
  <c r="J119" i="11"/>
  <c r="J85" i="11" l="1"/>
  <c r="J78" i="11"/>
  <c r="J84" i="15"/>
  <c r="J85" i="15"/>
  <c r="J83" i="16"/>
  <c r="J85" i="16"/>
  <c r="J82" i="9"/>
  <c r="J112" i="18"/>
  <c r="J83" i="18"/>
  <c r="J83" i="11"/>
  <c r="J86" i="9"/>
  <c r="J113" i="9" s="1"/>
  <c r="J115" i="9" s="1"/>
  <c r="F129" i="9" s="1"/>
  <c r="J84" i="11"/>
  <c r="J81" i="15"/>
  <c r="J86" i="10"/>
  <c r="J113" i="10" s="1"/>
  <c r="J115" i="10" s="1"/>
  <c r="F129" i="10" s="1"/>
  <c r="J72" i="13"/>
  <c r="J112" i="13" s="1"/>
  <c r="J83" i="15"/>
  <c r="J82" i="15"/>
  <c r="J112" i="11"/>
  <c r="J82" i="11"/>
  <c r="J79" i="11"/>
  <c r="J120" i="10"/>
  <c r="J124" i="10" s="1"/>
  <c r="J81" i="8"/>
  <c r="J85" i="8"/>
  <c r="J78" i="8"/>
  <c r="J80" i="8"/>
  <c r="J83" i="8"/>
  <c r="J112" i="8"/>
  <c r="J84" i="8"/>
  <c r="J79" i="8"/>
  <c r="J82" i="8"/>
  <c r="J120" i="8"/>
  <c r="J124" i="8" s="1"/>
  <c r="J63" i="7"/>
  <c r="J188" i="7" s="1"/>
  <c r="J71" i="7"/>
  <c r="J133" i="7"/>
  <c r="J123" i="7"/>
  <c r="J121" i="7"/>
  <c r="J122" i="7" s="1"/>
  <c r="J70" i="7"/>
  <c r="C129" i="7"/>
  <c r="J120" i="19"/>
  <c r="I133" i="14"/>
  <c r="J133" i="14" s="1"/>
  <c r="J122" i="14"/>
  <c r="J124" i="14" s="1"/>
  <c r="J137" i="14"/>
  <c r="I94" i="16"/>
  <c r="L73" i="3"/>
  <c r="H80" i="16"/>
  <c r="L58" i="3"/>
  <c r="J84" i="13"/>
  <c r="J78" i="13"/>
  <c r="J120" i="15"/>
  <c r="F80" i="16"/>
  <c r="L57" i="3"/>
  <c r="I93" i="15"/>
  <c r="J92" i="15" s="1"/>
  <c r="J106" i="15" s="1"/>
  <c r="J114" i="15" s="1"/>
  <c r="K72" i="3"/>
  <c r="J120" i="16"/>
  <c r="J188" i="13"/>
  <c r="J119" i="13"/>
  <c r="I80" i="15"/>
  <c r="J120" i="18"/>
  <c r="J189" i="10"/>
  <c r="J120" i="11"/>
  <c r="J124" i="11"/>
  <c r="J112" i="17"/>
  <c r="J79" i="17"/>
  <c r="J85" i="17"/>
  <c r="J83" i="17"/>
  <c r="J81" i="17"/>
  <c r="J78" i="17"/>
  <c r="J84" i="17"/>
  <c r="J82" i="17"/>
  <c r="J80" i="14"/>
  <c r="J86" i="14" s="1"/>
  <c r="J113" i="14" s="1"/>
  <c r="J115" i="14" s="1"/>
  <c r="I129" i="9"/>
  <c r="J129" i="9" s="1"/>
  <c r="J190" i="9"/>
  <c r="J137" i="9"/>
  <c r="J82" i="13" l="1"/>
  <c r="J79" i="13"/>
  <c r="J80" i="13"/>
  <c r="J83" i="13"/>
  <c r="J189" i="9"/>
  <c r="J85" i="13"/>
  <c r="J81" i="13"/>
  <c r="J86" i="11"/>
  <c r="J113" i="11" s="1"/>
  <c r="J115" i="11" s="1"/>
  <c r="J189" i="11" s="1"/>
  <c r="J137" i="10"/>
  <c r="J190" i="10"/>
  <c r="I129" i="10"/>
  <c r="J129" i="10" s="1"/>
  <c r="I129" i="8"/>
  <c r="J137" i="8"/>
  <c r="J190" i="8"/>
  <c r="J86" i="8"/>
  <c r="J113" i="8" s="1"/>
  <c r="J115" i="8" s="1"/>
  <c r="J119" i="7"/>
  <c r="J72" i="7"/>
  <c r="F129" i="14"/>
  <c r="J189" i="14"/>
  <c r="I129" i="11"/>
  <c r="J190" i="11"/>
  <c r="J137" i="11"/>
  <c r="H80" i="17"/>
  <c r="M58" i="3"/>
  <c r="I93" i="16"/>
  <c r="J92" i="16" s="1"/>
  <c r="J106" i="16" s="1"/>
  <c r="J114" i="16" s="1"/>
  <c r="L72" i="3"/>
  <c r="I94" i="17"/>
  <c r="M73" i="3"/>
  <c r="J190" i="14"/>
  <c r="I129" i="14"/>
  <c r="I86" i="15"/>
  <c r="J80" i="15"/>
  <c r="J86" i="15" s="1"/>
  <c r="J113" i="15" s="1"/>
  <c r="J115" i="15" s="1"/>
  <c r="J136" i="9"/>
  <c r="J135" i="9"/>
  <c r="J134" i="9"/>
  <c r="J138" i="9"/>
  <c r="J120" i="13"/>
  <c r="J124" i="13" s="1"/>
  <c r="F80" i="17"/>
  <c r="I80" i="17" s="1"/>
  <c r="M57" i="3"/>
  <c r="F129" i="11"/>
  <c r="I80" i="16"/>
  <c r="J86" i="13" l="1"/>
  <c r="J113" i="13" s="1"/>
  <c r="J115" i="13" s="1"/>
  <c r="J139" i="9"/>
  <c r="J148" i="9" s="1"/>
  <c r="J150" i="9" s="1"/>
  <c r="J191" i="9" s="1"/>
  <c r="J193" i="9" s="1"/>
  <c r="J136" i="10"/>
  <c r="J135" i="10"/>
  <c r="J134" i="10"/>
  <c r="J138" i="10"/>
  <c r="J163" i="9"/>
  <c r="J164" i="9" s="1"/>
  <c r="J165" i="9" s="1"/>
  <c r="J166" i="9" s="1"/>
  <c r="J167" i="9" s="1"/>
  <c r="J189" i="8"/>
  <c r="F129" i="8"/>
  <c r="J129" i="8" s="1"/>
  <c r="J112" i="7"/>
  <c r="J84" i="7"/>
  <c r="J82" i="7"/>
  <c r="J78" i="7"/>
  <c r="J85" i="7"/>
  <c r="J80" i="7"/>
  <c r="J83" i="7"/>
  <c r="J79" i="7"/>
  <c r="J81" i="7"/>
  <c r="J120" i="7"/>
  <c r="J124" i="7" s="1"/>
  <c r="I86" i="17"/>
  <c r="J80" i="17"/>
  <c r="J86" i="17" s="1"/>
  <c r="J113" i="17" s="1"/>
  <c r="F129" i="15"/>
  <c r="J189" i="15"/>
  <c r="I93" i="17"/>
  <c r="J92" i="17" s="1"/>
  <c r="J106" i="17" s="1"/>
  <c r="J114" i="17" s="1"/>
  <c r="M72" i="3"/>
  <c r="H80" i="18"/>
  <c r="N58" i="3"/>
  <c r="H80" i="19" s="1"/>
  <c r="I133" i="15"/>
  <c r="J133" i="15" s="1"/>
  <c r="J122" i="15"/>
  <c r="J124" i="15" s="1"/>
  <c r="J129" i="11"/>
  <c r="J190" i="13"/>
  <c r="I129" i="13"/>
  <c r="J137" i="13"/>
  <c r="I86" i="16"/>
  <c r="J80" i="16"/>
  <c r="J86" i="16" s="1"/>
  <c r="J113" i="16" s="1"/>
  <c r="J115" i="16" s="1"/>
  <c r="F129" i="13"/>
  <c r="J189" i="13"/>
  <c r="F80" i="18"/>
  <c r="I80" i="18" s="1"/>
  <c r="N57" i="3"/>
  <c r="F80" i="19" s="1"/>
  <c r="I80" i="19" s="1"/>
  <c r="I94" i="18"/>
  <c r="N73" i="3"/>
  <c r="I94" i="19" s="1"/>
  <c r="J129" i="14"/>
  <c r="J115" i="17" l="1"/>
  <c r="J139" i="10"/>
  <c r="J148" i="10" s="1"/>
  <c r="J150" i="10" s="1"/>
  <c r="J138" i="8"/>
  <c r="J136" i="8"/>
  <c r="J135" i="8"/>
  <c r="J134" i="8"/>
  <c r="J86" i="7"/>
  <c r="J113" i="7" s="1"/>
  <c r="J190" i="7"/>
  <c r="I129" i="7"/>
  <c r="J137" i="7"/>
  <c r="J115" i="7"/>
  <c r="J190" i="15"/>
  <c r="I129" i="15"/>
  <c r="J170" i="9"/>
  <c r="J176" i="9"/>
  <c r="J171" i="9"/>
  <c r="J135" i="14"/>
  <c r="J134" i="14"/>
  <c r="J138" i="14"/>
  <c r="J136" i="14"/>
  <c r="J129" i="13"/>
  <c r="I86" i="18"/>
  <c r="J80" i="18"/>
  <c r="J86" i="18" s="1"/>
  <c r="J113" i="18" s="1"/>
  <c r="I133" i="16"/>
  <c r="J133" i="16" s="1"/>
  <c r="J122" i="16"/>
  <c r="J124" i="16" s="1"/>
  <c r="J137" i="16"/>
  <c r="J129" i="15"/>
  <c r="I86" i="19"/>
  <c r="J80" i="19"/>
  <c r="J86" i="19" s="1"/>
  <c r="J113" i="19" s="1"/>
  <c r="J189" i="16"/>
  <c r="F129" i="16"/>
  <c r="J135" i="11"/>
  <c r="J134" i="11"/>
  <c r="J138" i="11"/>
  <c r="J136" i="11"/>
  <c r="I93" i="18"/>
  <c r="J92" i="18" s="1"/>
  <c r="J106" i="18" s="1"/>
  <c r="J114" i="18" s="1"/>
  <c r="N72" i="3"/>
  <c r="I93" i="19" s="1"/>
  <c r="J92" i="19" s="1"/>
  <c r="J106" i="19" s="1"/>
  <c r="J114" i="19" s="1"/>
  <c r="F129" i="17"/>
  <c r="J189" i="17"/>
  <c r="J137" i="15"/>
  <c r="I133" i="17"/>
  <c r="J133" i="17" s="1"/>
  <c r="J122" i="17"/>
  <c r="J124" i="17" s="1"/>
  <c r="J137" i="17" s="1"/>
  <c r="J115" i="18" l="1"/>
  <c r="J179" i="9"/>
  <c r="J191" i="10"/>
  <c r="J193" i="10" s="1"/>
  <c r="J163" i="10"/>
  <c r="J164" i="10" s="1"/>
  <c r="J139" i="8"/>
  <c r="J148" i="8" s="1"/>
  <c r="J150" i="8" s="1"/>
  <c r="F129" i="7"/>
  <c r="J129" i="7" s="1"/>
  <c r="J189" i="7"/>
  <c r="J189" i="18"/>
  <c r="F129" i="18"/>
  <c r="J135" i="15"/>
  <c r="J134" i="15"/>
  <c r="J138" i="15"/>
  <c r="J136" i="15"/>
  <c r="J122" i="18"/>
  <c r="J124" i="18" s="1"/>
  <c r="I133" i="18"/>
  <c r="J133" i="18" s="1"/>
  <c r="J137" i="18"/>
  <c r="I133" i="19"/>
  <c r="J133" i="19" s="1"/>
  <c r="J122" i="19"/>
  <c r="J124" i="19" s="1"/>
  <c r="J137" i="19" s="1"/>
  <c r="J135" i="13"/>
  <c r="J134" i="13"/>
  <c r="J138" i="13"/>
  <c r="J136" i="13"/>
  <c r="J177" i="9"/>
  <c r="J194" i="9" s="1"/>
  <c r="J195" i="9" s="1"/>
  <c r="J139" i="14"/>
  <c r="J148" i="14" s="1"/>
  <c r="J150" i="14" s="1"/>
  <c r="J190" i="16"/>
  <c r="I129" i="16"/>
  <c r="J129" i="16" s="1"/>
  <c r="I129" i="17"/>
  <c r="J129" i="17" s="1"/>
  <c r="J190" i="17"/>
  <c r="J139" i="11"/>
  <c r="J148" i="11" s="1"/>
  <c r="J150" i="11" s="1"/>
  <c r="J115" i="19"/>
  <c r="J165" i="10" l="1"/>
  <c r="J166" i="10" s="1"/>
  <c r="J167" i="10" s="1"/>
  <c r="J191" i="8"/>
  <c r="J193" i="8" s="1"/>
  <c r="J163" i="8"/>
  <c r="J164" i="8" s="1"/>
  <c r="J138" i="7"/>
  <c r="J135" i="7"/>
  <c r="J134" i="7"/>
  <c r="J139" i="7" s="1"/>
  <c r="J148" i="7" s="1"/>
  <c r="J150" i="7" s="1"/>
  <c r="J136" i="7"/>
  <c r="J136" i="17"/>
  <c r="J135" i="17"/>
  <c r="J134" i="17"/>
  <c r="J138" i="17"/>
  <c r="J134" i="16"/>
  <c r="J139" i="16" s="1"/>
  <c r="J148" i="16" s="1"/>
  <c r="J150" i="16" s="1"/>
  <c r="J138" i="16"/>
  <c r="J136" i="16"/>
  <c r="J135" i="16"/>
  <c r="J139" i="13"/>
  <c r="J148" i="13" s="1"/>
  <c r="J150" i="13" s="1"/>
  <c r="J139" i="15"/>
  <c r="J148" i="15" s="1"/>
  <c r="J150" i="15" s="1"/>
  <c r="J191" i="11"/>
  <c r="J193" i="11" s="1"/>
  <c r="J163" i="11"/>
  <c r="J191" i="14"/>
  <c r="J193" i="14" s="1"/>
  <c r="J163" i="14"/>
  <c r="F203" i="9"/>
  <c r="I203" i="9" s="1"/>
  <c r="I207" i="9" s="1"/>
  <c r="H211" i="9" s="1"/>
  <c r="H215" i="9" s="1"/>
  <c r="G16" i="4"/>
  <c r="H16" i="4" s="1"/>
  <c r="I16" i="4" s="1"/>
  <c r="J190" i="19"/>
  <c r="I129" i="19"/>
  <c r="I129" i="18"/>
  <c r="J190" i="18"/>
  <c r="J189" i="19"/>
  <c r="F129" i="19"/>
  <c r="J129" i="18"/>
  <c r="J176" i="10" l="1"/>
  <c r="J170" i="10"/>
  <c r="J171" i="10"/>
  <c r="J165" i="8"/>
  <c r="J166" i="8" s="1"/>
  <c r="J167" i="8" s="1"/>
  <c r="J191" i="7"/>
  <c r="J193" i="7" s="1"/>
  <c r="J163" i="7"/>
  <c r="J164" i="7" s="1"/>
  <c r="J191" i="16"/>
  <c r="J193" i="16" s="1"/>
  <c r="J163" i="16"/>
  <c r="J139" i="17"/>
  <c r="J148" i="17" s="1"/>
  <c r="J150" i="17" s="1"/>
  <c r="J164" i="14"/>
  <c r="M16" i="4"/>
  <c r="L16" i="4"/>
  <c r="J136" i="18"/>
  <c r="J135" i="18"/>
  <c r="J134" i="18"/>
  <c r="J138" i="18"/>
  <c r="J164" i="11"/>
  <c r="J191" i="15"/>
  <c r="J193" i="15" s="1"/>
  <c r="J163" i="15"/>
  <c r="J129" i="19"/>
  <c r="J191" i="13"/>
  <c r="J193" i="13" s="1"/>
  <c r="J163" i="13"/>
  <c r="J179" i="10" l="1"/>
  <c r="J177" i="10"/>
  <c r="J194" i="10" s="1"/>
  <c r="J195" i="10" s="1"/>
  <c r="J170" i="8"/>
  <c r="J176" i="8"/>
  <c r="J171" i="8"/>
  <c r="J177" i="8" s="1"/>
  <c r="J194" i="8" s="1"/>
  <c r="J195" i="8" s="1"/>
  <c r="J165" i="7"/>
  <c r="J166" i="7" s="1"/>
  <c r="J167" i="7" s="1"/>
  <c r="J164" i="16"/>
  <c r="J165" i="14"/>
  <c r="J166" i="14" s="1"/>
  <c r="J167" i="14" s="1"/>
  <c r="J165" i="11"/>
  <c r="J166" i="11" s="1"/>
  <c r="J167" i="11" s="1"/>
  <c r="J138" i="19"/>
  <c r="J136" i="19"/>
  <c r="J135" i="19"/>
  <c r="J134" i="19"/>
  <c r="J139" i="18"/>
  <c r="J148" i="18" s="1"/>
  <c r="J150" i="18" s="1"/>
  <c r="J164" i="13"/>
  <c r="J191" i="17"/>
  <c r="J193" i="17" s="1"/>
  <c r="J163" i="17"/>
  <c r="J164" i="15"/>
  <c r="J139" i="19" l="1"/>
  <c r="J148" i="19" s="1"/>
  <c r="J150" i="19" s="1"/>
  <c r="G17" i="4"/>
  <c r="H17" i="4" s="1"/>
  <c r="I17" i="4" s="1"/>
  <c r="F203" i="10"/>
  <c r="I203" i="10" s="1"/>
  <c r="I207" i="10" s="1"/>
  <c r="H211" i="10" s="1"/>
  <c r="H215" i="10" s="1"/>
  <c r="F203" i="8"/>
  <c r="I203" i="8" s="1"/>
  <c r="I207" i="8" s="1"/>
  <c r="H211" i="8" s="1"/>
  <c r="H215" i="8" s="1"/>
  <c r="G15" i="4"/>
  <c r="H15" i="4" s="1"/>
  <c r="I15" i="4" s="1"/>
  <c r="J179" i="8"/>
  <c r="J170" i="7"/>
  <c r="J171" i="7"/>
  <c r="J176" i="7"/>
  <c r="J177" i="7"/>
  <c r="J194" i="7" s="1"/>
  <c r="J195" i="7" s="1"/>
  <c r="J170" i="11"/>
  <c r="J179" i="11" s="1"/>
  <c r="J171" i="11"/>
  <c r="J176" i="11"/>
  <c r="J170" i="14"/>
  <c r="J179" i="14" s="1"/>
  <c r="J176" i="14"/>
  <c r="J171" i="14"/>
  <c r="J177" i="14" s="1"/>
  <c r="J194" i="14" s="1"/>
  <c r="J195" i="14" s="1"/>
  <c r="J165" i="13"/>
  <c r="J166" i="13" s="1"/>
  <c r="J191" i="19"/>
  <c r="J193" i="19" s="1"/>
  <c r="J163" i="19"/>
  <c r="J165" i="15"/>
  <c r="J166" i="15" s="1"/>
  <c r="J167" i="15" s="1"/>
  <c r="J165" i="16"/>
  <c r="J166" i="16" s="1"/>
  <c r="J167" i="16" s="1"/>
  <c r="J164" i="17"/>
  <c r="J191" i="18"/>
  <c r="J193" i="18" s="1"/>
  <c r="J163" i="18"/>
  <c r="J177" i="11" l="1"/>
  <c r="J194" i="11" s="1"/>
  <c r="J195" i="11" s="1"/>
  <c r="L17" i="4"/>
  <c r="M17" i="4"/>
  <c r="M15" i="4"/>
  <c r="L15" i="4"/>
  <c r="F203" i="7"/>
  <c r="I203" i="7" s="1"/>
  <c r="I207" i="7" s="1"/>
  <c r="H211" i="7" s="1"/>
  <c r="H215" i="7" s="1"/>
  <c r="G14" i="4"/>
  <c r="H14" i="4" s="1"/>
  <c r="I14" i="4" s="1"/>
  <c r="J179" i="7"/>
  <c r="J170" i="16"/>
  <c r="J176" i="16"/>
  <c r="J171" i="16"/>
  <c r="F203" i="14"/>
  <c r="I203" i="14" s="1"/>
  <c r="I207" i="14" s="1"/>
  <c r="H211" i="14" s="1"/>
  <c r="H215" i="14" s="1"/>
  <c r="G20" i="4"/>
  <c r="H20" i="4" s="1"/>
  <c r="I20" i="4" s="1"/>
  <c r="J170" i="15"/>
  <c r="J176" i="15"/>
  <c r="J171" i="15"/>
  <c r="J167" i="13"/>
  <c r="J164" i="18"/>
  <c r="J165" i="17"/>
  <c r="J166" i="17" s="1"/>
  <c r="J167" i="17" s="1"/>
  <c r="J164" i="19"/>
  <c r="F203" i="11"/>
  <c r="I203" i="11" s="1"/>
  <c r="I207" i="11" s="1"/>
  <c r="H211" i="11" s="1"/>
  <c r="H215" i="11" s="1"/>
  <c r="G18" i="4"/>
  <c r="H18" i="4" s="1"/>
  <c r="I18" i="4" s="1"/>
  <c r="J179" i="15" l="1"/>
  <c r="L14" i="4"/>
  <c r="L26" i="4" s="1"/>
  <c r="M14" i="4"/>
  <c r="M26" i="4" s="1"/>
  <c r="I26" i="4"/>
  <c r="M20" i="4"/>
  <c r="L20" i="4"/>
  <c r="J170" i="13"/>
  <c r="J176" i="13"/>
  <c r="J171" i="13"/>
  <c r="M18" i="4"/>
  <c r="L18" i="4"/>
  <c r="J171" i="17"/>
  <c r="J170" i="17"/>
  <c r="J176" i="17"/>
  <c r="J165" i="19"/>
  <c r="J166" i="19" s="1"/>
  <c r="J167" i="19" s="1"/>
  <c r="J165" i="18"/>
  <c r="J166" i="18" s="1"/>
  <c r="J167" i="18" s="1"/>
  <c r="J177" i="15"/>
  <c r="J194" i="15" s="1"/>
  <c r="J195" i="15" s="1"/>
  <c r="J179" i="16"/>
  <c r="J177" i="16"/>
  <c r="J194" i="16" s="1"/>
  <c r="J195" i="16" s="1"/>
  <c r="J177" i="17" l="1"/>
  <c r="J194" i="17" s="1"/>
  <c r="J195" i="17" s="1"/>
  <c r="J176" i="19"/>
  <c r="J171" i="19"/>
  <c r="J170" i="19"/>
  <c r="J179" i="19" s="1"/>
  <c r="F203" i="17"/>
  <c r="I203" i="17" s="1"/>
  <c r="I207" i="17" s="1"/>
  <c r="H211" i="17" s="1"/>
  <c r="H215" i="17" s="1"/>
  <c r="G23" i="4"/>
  <c r="H23" i="4" s="1"/>
  <c r="I23" i="4" s="1"/>
  <c r="F203" i="15"/>
  <c r="I203" i="15" s="1"/>
  <c r="I207" i="15" s="1"/>
  <c r="H211" i="15" s="1"/>
  <c r="H215" i="15" s="1"/>
  <c r="G21" i="4"/>
  <c r="H21" i="4" s="1"/>
  <c r="I21" i="4" s="1"/>
  <c r="J179" i="13"/>
  <c r="J177" i="13"/>
  <c r="J194" i="13" s="1"/>
  <c r="J195" i="13" s="1"/>
  <c r="J179" i="17"/>
  <c r="J171" i="18"/>
  <c r="J177" i="18" s="1"/>
  <c r="J194" i="18" s="1"/>
  <c r="J195" i="18" s="1"/>
  <c r="J170" i="18"/>
  <c r="J176" i="18"/>
  <c r="F203" i="16"/>
  <c r="I203" i="16" s="1"/>
  <c r="I207" i="16" s="1"/>
  <c r="H211" i="16" s="1"/>
  <c r="H215" i="16" s="1"/>
  <c r="G22" i="4"/>
  <c r="H22" i="4" s="1"/>
  <c r="I22" i="4" s="1"/>
  <c r="F203" i="18" l="1"/>
  <c r="I203" i="18" s="1"/>
  <c r="I207" i="18" s="1"/>
  <c r="H211" i="18" s="1"/>
  <c r="H215" i="18" s="1"/>
  <c r="G24" i="4"/>
  <c r="H24" i="4" s="1"/>
  <c r="I24" i="4" s="1"/>
  <c r="M23" i="4"/>
  <c r="L23" i="4"/>
  <c r="M22" i="4"/>
  <c r="L22" i="4"/>
  <c r="J177" i="19"/>
  <c r="J194" i="19" s="1"/>
  <c r="J195" i="19" s="1"/>
  <c r="F203" i="13"/>
  <c r="I203" i="13" s="1"/>
  <c r="I207" i="13" s="1"/>
  <c r="H211" i="13" s="1"/>
  <c r="H215" i="13" s="1"/>
  <c r="G19" i="4"/>
  <c r="H19" i="4" s="1"/>
  <c r="I19" i="4" s="1"/>
  <c r="J179" i="18"/>
  <c r="M21" i="4"/>
  <c r="L21" i="4"/>
  <c r="L19" i="4" l="1"/>
  <c r="M19" i="4"/>
  <c r="M24" i="4"/>
  <c r="L24" i="4"/>
  <c r="F203" i="19"/>
  <c r="I203" i="19" s="1"/>
  <c r="I207" i="19" s="1"/>
  <c r="H211" i="19" s="1"/>
  <c r="H215" i="19" s="1"/>
  <c r="G25" i="4"/>
  <c r="H25" i="4" s="1"/>
  <c r="I25" i="4" s="1"/>
  <c r="L25" i="4" l="1"/>
  <c r="M25" i="4"/>
</calcChain>
</file>

<file path=xl/comments1.xml><?xml version="1.0" encoding="utf-8"?>
<comments xmlns="http://schemas.openxmlformats.org/spreadsheetml/2006/main">
  <authors>
    <author/>
  </authors>
  <commentList>
    <comment ref="O25" authorId="0">
      <text>
        <r>
          <rPr>
            <sz val="11"/>
            <color rgb="FF000000"/>
            <rFont val="Calibri"/>
            <scheme val="minor"/>
          </rPr>
          <t>======
ID#AAABCWpzwhA
    (2023-12-14 13:33:06)
as
empresas concederão uma ajuda de custo anual, não integrável ao salário, no valor de
R$1.713,35 (um mil e setecentos e treze reais e trinta e cinco centavos), em 2 (duas) parcelas
iguais de R$ 856,68 (oitocentos e cinquenta e seis reais e sessenta e oito centavos) cada
uma, sendo a primeira até 30 de outubro de 2022, referente ao primeiro semestre de 2022 e a
segunda até 30 de abril de 2023, referente ao segundo semestre de 2022, mediante exibição
de comprovantes de matrícula, frequência e aproveitamento.</t>
        </r>
      </text>
    </comment>
    <comment ref="O26" authorId="0">
      <text>
        <r>
          <rPr>
            <sz val="11"/>
            <color rgb="FF000000"/>
            <rFont val="Calibri"/>
            <scheme val="minor"/>
          </rPr>
          <t>======
ID#AAABCWpzwgw
    (2023-12-14 13:33:05)
as empresas
concederão ao trabalhador estudante, que tenha requerido a concessão desse benefício até o
dia 15 (quinze) do mesmo mês de fevereiro, um auxilio educação, que não terá caráter
salarial, no valor de R$ 197,44 (cento e noventa e sete reais e quarenta e quatro
centavos), desde que o empregado tenha mais de seis meses de serviços contínuos na
empresa e esteja matriculado em estabelecimento de ensino oficial, reconhecido de ensino
médio ou fundamental. Na hipótese de o trabalhador não ser estudante, o auxilio será
concedido a um filho deste, com idade até 14 (quatorze) anos e no valor de R$ 149,44 (cento
e quarenta e nove reais e quarenta e quatro centavos), desde que preenchidas todas as
condições acima capazes de conferirem ao trabalhador o direito à percepção do benefício.</t>
        </r>
      </text>
    </comment>
    <comment ref="O28" authorId="0">
      <text>
        <r>
          <rPr>
            <sz val="11"/>
            <color rgb="FF000000"/>
            <rFont val="Calibri"/>
            <scheme val="minor"/>
          </rPr>
          <t>======
ID#AAABCWpzwgk
    (2023-12-14 13:33:05)
s empresas indenizarão, a título de ajuda de custo educacional no mês de março de 2022 o valor de R$ 130,00 (cento e trinta reais), para o funcionário ou filho de funcionário, limitado a 2 (duas) cotas, desde que comprovem a matrícula no ensino fundamental e/ou comprovem aprovação no ano letivo anterior e nova matrícula, para compra de material escolar.</t>
        </r>
      </text>
    </comment>
    <comment ref="O29" authorId="0">
      <text>
        <r>
          <rPr>
            <sz val="11"/>
            <color rgb="FF000000"/>
            <rFont val="Calibri"/>
            <scheme val="minor"/>
          </rPr>
          <t>======
ID#AAABCWpzwg0
    (2023-12-14 13:33:05)
CLÁUSULA DÉCIMA NONA - AUXÍLIO EDUCAÇÃO 
As empresas concederão ao trabalhador estudante, que tenha requerido a concessão do benefício até o dia 15 (quinze) do mês de março, um auxílio educação equivalente a R$ 459,52 (quatrocentos e cinquenta e nove reais  e cinquenta e dois centavos) dividido em 2 (duas) parcelas iguais, a primeira paga em março/2022 e a segunda em setembro/2022, desde que o empregado tenha mais de três meses de serviços contínuos na empresa e esteja matriculado em estabelecimento de ensino oficial ou reconhecido de primeiro ou segundo graus. Na hipótese de o trabalhador não ser estudante, o auxílio será concedido a 1 (um) filho deste, com idade até 18 (dezoito) anos e no valor equivalente a R$ 459,52 (quatrocentos e cinquenta e nove reais  e cinquenta e dois centavos), desde que preenchidas todas as condições acima capazes de conferirem no trabalhador o direito à percepção do benefício.
Parágrafo Primeiro: O referido valor será dividido em duas parcelas iguais e pago no final dos meses de março/2022 e de setembro/2022, desde que comprovada a frequência escolar e que estejam na qualidade de empregado ou filho deste, a mais de três meses na respectiva empresa.</t>
        </r>
      </text>
    </comment>
    <comment ref="O31" authorId="0">
      <text>
        <r>
          <rPr>
            <sz val="11"/>
            <color rgb="FF000000"/>
            <rFont val="Calibri"/>
            <scheme val="minor"/>
          </rPr>
          <t>======
ID#AAABCWpzwgo
    (2023-12-14 13:33:05)
CLÁUSULA DÉCIMA SEGUNDA - AJUDA DE CUSTO AO ESTUDANTE
Aos empregados admitidos até 01.05.2021, e que estejam matriculados e frequentando estabelecimento de
ensino oficial ou reconhecido, em curso regular, as empresas concederão uma ajuda de custo anual, não
integrável ao salário, no valor equivalente a 80% (oitenta por cento) do salário normativo vigente por
ocasião de cada pagamento, em 2 (duas) parcelas iguais a 40% (quarenta por cento) cada uma, sendo a
primeira até 31 de agosto e a segunda até 30 de novembro do corrente ano, mediante exibição de
comprovantes de matrícula, frequência e aproveitamento
. O valor do salário normativo será de R$ 2.133,73 (dois mil cento e trinta e três reais e
setenta e três centavos) a partir de 01/02/2022.</t>
        </r>
      </text>
    </comment>
  </commentList>
  <extLst>
    <ext xmlns:r="http://schemas.openxmlformats.org/officeDocument/2006/relationships" uri="GoogleSheetsCustomDataVersion2">
      <go:sheetsCustomData xmlns:go="http://customooxmlschemas.google.com/" r:id="rId1" roundtripDataSignature="AMtx7mgjHBktZFWfv0EP97kUYmA3jqfwxw=="/>
    </ext>
  </extLst>
</comments>
</file>

<file path=xl/comments2.xml><?xml version="1.0" encoding="utf-8"?>
<comments xmlns="http://schemas.openxmlformats.org/spreadsheetml/2006/main">
  <authors>
    <author/>
  </authors>
  <commentList>
    <comment ref="J101" authorId="0">
      <text>
        <r>
          <rPr>
            <sz val="11"/>
            <color rgb="FF000000"/>
            <rFont val="Calibri"/>
            <scheme val="minor"/>
          </rPr>
          <t>======
ID#AAABCWpzwhQ
    (2023-12-14 13:33:06)
cobertura prevista na clausula 29
bsf</t>
        </r>
      </text>
    </comment>
    <comment ref="C121" authorId="0">
      <text>
        <r>
          <rPr>
            <sz val="11"/>
            <color rgb="FF000000"/>
            <rFont val="Calibri"/>
            <scheme val="minor"/>
          </rPr>
          <t>======
ID#AAABCWpzwhc
    (2023-12-14 13:33:06)
→NELCA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t>
        </r>
      </text>
    </comment>
  </commentList>
  <extLst>
    <ext xmlns:r="http://schemas.openxmlformats.org/officeDocument/2006/relationships" uri="GoogleSheetsCustomDataVersion2">
      <go:sheetsCustomData xmlns:go="http://customooxmlschemas.google.com/" r:id="rId1" roundtripDataSignature="AMtx7mhGPu1/jeBGENYJXKpfA1u8Cm4ibg=="/>
    </ext>
  </extLst>
</comments>
</file>

<file path=xl/comments3.xml><?xml version="1.0" encoding="utf-8"?>
<comments xmlns="http://schemas.openxmlformats.org/spreadsheetml/2006/main">
  <authors>
    <author/>
  </authors>
  <commentList>
    <comment ref="J101" authorId="0">
      <text>
        <r>
          <rPr>
            <sz val="11"/>
            <color rgb="FF000000"/>
            <rFont val="Calibri"/>
            <scheme val="minor"/>
          </rPr>
          <t>======
ID#AAABCWpzwgs
    (2023-12-14 13:33:05)
cobertura prevista na clausula 29
bsf</t>
        </r>
      </text>
    </comment>
    <comment ref="C121" authorId="0">
      <text>
        <r>
          <rPr>
            <sz val="11"/>
            <color rgb="FF000000"/>
            <rFont val="Calibri"/>
            <scheme val="minor"/>
          </rPr>
          <t>======
ID#AAABCWpzwgg
    (2023-12-14 13:33:05)
→NELCA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t>
        </r>
      </text>
    </comment>
  </commentList>
  <extLst>
    <ext xmlns:r="http://schemas.openxmlformats.org/officeDocument/2006/relationships" uri="GoogleSheetsCustomDataVersion2">
      <go:sheetsCustomData xmlns:go="http://customooxmlschemas.google.com/" r:id="rId1" roundtripDataSignature="AMtx7mgblJK1gZO/bScxgQg984C2S9k6kQ=="/>
    </ext>
  </extLst>
</comments>
</file>

<file path=xl/comments4.xml><?xml version="1.0" encoding="utf-8"?>
<comments xmlns="http://schemas.openxmlformats.org/spreadsheetml/2006/main">
  <authors>
    <author/>
  </authors>
  <commentList>
    <comment ref="J101" authorId="0">
      <text>
        <r>
          <rPr>
            <sz val="11"/>
            <color rgb="FF000000"/>
            <rFont val="Calibri"/>
            <scheme val="minor"/>
          </rPr>
          <t>======
ID#AAABCWpzwhY
    (2023-12-14 13:33:06)
cobertura prevista na clausula 29
bsf</t>
        </r>
      </text>
    </comment>
    <comment ref="C121" authorId="0">
      <text>
        <r>
          <rPr>
            <sz val="11"/>
            <color rgb="FF000000"/>
            <rFont val="Calibri"/>
            <scheme val="minor"/>
          </rPr>
          <t>======
ID#AAABCWpzwhM
    (2023-12-14 13:33:06)
→NELCA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t>
        </r>
      </text>
    </comment>
  </commentList>
  <extLst>
    <ext xmlns:r="http://schemas.openxmlformats.org/officeDocument/2006/relationships" uri="GoogleSheetsCustomDataVersion2">
      <go:sheetsCustomData xmlns:go="http://customooxmlschemas.google.com/" r:id="rId1" roundtripDataSignature="AMtx7miZ+SvBnI8c6ATZKmHq3X9Q1U3Z9g=="/>
    </ext>
  </extLst>
</comments>
</file>

<file path=xl/comments5.xml><?xml version="1.0" encoding="utf-8"?>
<comments xmlns="http://schemas.openxmlformats.org/spreadsheetml/2006/main">
  <authors>
    <author/>
  </authors>
  <commentList>
    <comment ref="J101" authorId="0">
      <text>
        <r>
          <rPr>
            <sz val="11"/>
            <color rgb="FF000000"/>
            <rFont val="Calibri"/>
            <scheme val="minor"/>
          </rPr>
          <t>======
ID#AAABCWpzwg8
    (2023-12-14 13:33:06)
cobertura prevista na clausula 29
bsf</t>
        </r>
      </text>
    </comment>
    <comment ref="C121" authorId="0">
      <text>
        <r>
          <rPr>
            <sz val="11"/>
            <color rgb="FF000000"/>
            <rFont val="Calibri"/>
            <scheme val="minor"/>
          </rPr>
          <t>======
ID#AAABCWpzwhE
    (2023-12-14 13:33:06)
→NELCA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t>
        </r>
      </text>
    </comment>
  </commentList>
  <extLst>
    <ext xmlns:r="http://schemas.openxmlformats.org/officeDocument/2006/relationships" uri="GoogleSheetsCustomDataVersion2">
      <go:sheetsCustomData xmlns:go="http://customooxmlschemas.google.com/" r:id="rId1" roundtripDataSignature="AMtx7miFNutheqaOX2g4ikRsvnmA8FBIsQ=="/>
    </ext>
  </extLst>
</comments>
</file>

<file path=xl/comments6.xml><?xml version="1.0" encoding="utf-8"?>
<comments xmlns="http://schemas.openxmlformats.org/spreadsheetml/2006/main">
  <authors>
    <author/>
  </authors>
  <commentList>
    <comment ref="C121" authorId="0">
      <text>
        <r>
          <rPr>
            <sz val="11"/>
            <color rgb="FF000000"/>
            <rFont val="Calibri"/>
            <scheme val="minor"/>
          </rPr>
          <t>======
ID#AAABCWpzwhU
    (2023-12-14 13:33:06)
→NELCA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t>
        </r>
      </text>
    </comment>
  </commentList>
  <extLst>
    <ext xmlns:r="http://schemas.openxmlformats.org/officeDocument/2006/relationships" uri="GoogleSheetsCustomDataVersion2">
      <go:sheetsCustomData xmlns:go="http://customooxmlschemas.google.com/" r:id="rId1" roundtripDataSignature="AMtx7mi9HhK4Msznb2IpviVBhZAiXTOXBg=="/>
    </ext>
  </extLst>
</comments>
</file>

<file path=xl/comments7.xml><?xml version="1.0" encoding="utf-8"?>
<comments xmlns="http://schemas.openxmlformats.org/spreadsheetml/2006/main">
  <authors>
    <author/>
  </authors>
  <commentList>
    <comment ref="C121" authorId="0">
      <text>
        <r>
          <rPr>
            <sz val="11"/>
            <color rgb="FF000000"/>
            <rFont val="Calibri"/>
            <scheme val="minor"/>
          </rPr>
          <t>======
ID#AAABCWpzwg4
    (2023-12-14 13:33:06)
→NELCA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t>
        </r>
      </text>
    </comment>
  </commentList>
  <extLst>
    <ext xmlns:r="http://schemas.openxmlformats.org/officeDocument/2006/relationships" uri="GoogleSheetsCustomDataVersion2">
      <go:sheetsCustomData xmlns:go="http://customooxmlschemas.google.com/" r:id="rId1" roundtripDataSignature="AMtx7mgKIb504p9rnDNDUIB2BfMdMckosg=="/>
    </ext>
  </extLst>
</comments>
</file>

<file path=xl/comments8.xml><?xml version="1.0" encoding="utf-8"?>
<comments xmlns="http://schemas.openxmlformats.org/spreadsheetml/2006/main">
  <authors>
    <author/>
  </authors>
  <commentList>
    <comment ref="C121" authorId="0">
      <text>
        <r>
          <rPr>
            <sz val="11"/>
            <color rgb="FF000000"/>
            <rFont val="Calibri"/>
            <scheme val="minor"/>
          </rPr>
          <t>======
ID#AAABCWpzwhI
    (2023-12-14 13:33:06)
→NELCA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t>
        </r>
      </text>
    </comment>
  </commentList>
  <extLst>
    <ext xmlns:r="http://schemas.openxmlformats.org/officeDocument/2006/relationships" uri="GoogleSheetsCustomDataVersion2">
      <go:sheetsCustomData xmlns:go="http://customooxmlschemas.google.com/" r:id="rId1" roundtripDataSignature="AMtx7mifDx5AFwuyuJMqx7VDFLsPVy3mwQ=="/>
    </ext>
  </extLst>
</comments>
</file>

<file path=xl/sharedStrings.xml><?xml version="1.0" encoding="utf-8"?>
<sst xmlns="http://schemas.openxmlformats.org/spreadsheetml/2006/main" count="5632" uniqueCount="1366">
  <si>
    <t>DADOS-CADASTRAIS</t>
  </si>
  <si>
    <t>INDICE</t>
  </si>
  <si>
    <t>CAMPI</t>
  </si>
  <si>
    <t>CCT - CONVENCAO
COLETIVA</t>
  </si>
  <si>
    <t>ENTIDADES
INTEGRANTES</t>
  </si>
  <si>
    <t>DATA BASE</t>
  </si>
  <si>
    <t>vlr
V. A.</t>
  </si>
  <si>
    <t>vlr
V. Lanche</t>
  </si>
  <si>
    <r>
      <rPr>
        <b/>
        <sz val="11"/>
        <color rgb="FF000000"/>
        <rFont val="Calibri"/>
      </rPr>
      <t xml:space="preserve">% Desc.
V.A.
</t>
    </r>
    <r>
      <rPr>
        <b/>
        <sz val="11"/>
        <color rgb="FFFF0000"/>
        <rFont val="Calibri"/>
      </rPr>
      <t>s/custo</t>
    </r>
  </si>
  <si>
    <r>
      <rPr>
        <b/>
        <sz val="11"/>
        <color rgb="FF000000"/>
        <rFont val="Calibri"/>
      </rPr>
      <t xml:space="preserve">% Desc.
V. T.
</t>
    </r>
    <r>
      <rPr>
        <b/>
        <sz val="11"/>
        <color rgb="FFFF0000"/>
        <rFont val="Calibri"/>
      </rPr>
      <t>s/normativo</t>
    </r>
  </si>
  <si>
    <t>ANO DO 
ACORDO
COLETIVO</t>
  </si>
  <si>
    <t xml:space="preserve">BSF </t>
  </si>
  <si>
    <t>SEGURO
VIDA</t>
  </si>
  <si>
    <t>AUX
FUNERAL</t>
  </si>
  <si>
    <t>PREMIO
ASSIDUIDADE</t>
  </si>
  <si>
    <t>AUX 
EDUCACAO</t>
  </si>
  <si>
    <t>GRATIF
ANIVERSARIO</t>
  </si>
  <si>
    <t>OUTROS 2</t>
  </si>
  <si>
    <r>
      <rPr>
        <b/>
        <sz val="18"/>
        <color rgb="FF000000"/>
        <rFont val="Calibri"/>
      </rPr>
      <t xml:space="preserve">CBO_FUNCAO </t>
    </r>
    <r>
      <rPr>
        <sz val="18"/>
        <color rgb="FFFABF8F"/>
        <rFont val="Calibri"/>
      </rPr>
      <t>(espaço 31 carcteres na aba)</t>
    </r>
  </si>
  <si>
    <t>RS000947/2019-</t>
  </si>
  <si>
    <r>
      <rPr>
        <sz val="13"/>
        <color rgb="FF000000"/>
        <rFont val="Arial Narrow"/>
      </rPr>
      <t xml:space="preserve">SINDICATO DOS TRABALHADORES </t>
    </r>
    <r>
      <rPr>
        <b/>
        <sz val="13"/>
        <color rgb="FF000000"/>
        <rFont val="Arial Narrow"/>
      </rPr>
      <t>RURAIS</t>
    </r>
    <r>
      <rPr>
        <sz val="13"/>
        <color rgb="FF000000"/>
        <rFont val="Arial Narrow"/>
      </rPr>
      <t xml:space="preserve"> DE JULIO DE CASTILHOS, CNPJ n. 06.185.541/0001-18 × SINDICATO RURAL DE JULIO DE CASTILHOS, CNPJ n. 91.026.062/0001-28</t>
    </r>
  </si>
  <si>
    <t>01 de FEVEREIRO</t>
  </si>
  <si>
    <t>2394-25_Psicopedagogo</t>
  </si>
  <si>
    <t>RS000800/2019</t>
  </si>
  <si>
    <t>SINDICATO DOS OUTROS QUE NAO TEM SINDICATO</t>
  </si>
  <si>
    <t>2614-25_Interp.Ling.Sinais</t>
  </si>
  <si>
    <t>RS000900/2019</t>
  </si>
  <si>
    <t>3222-30_Aux.Enfermag</t>
  </si>
  <si>
    <t>RS005021/2021</t>
  </si>
  <si>
    <r>
      <rPr>
        <sz val="13"/>
        <color rgb="FF000000"/>
        <rFont val="Arial Narrow"/>
      </rPr>
      <t xml:space="preserve">SIND DAS EMPR DE </t>
    </r>
    <r>
      <rPr>
        <b/>
        <sz val="13"/>
        <color rgb="FF000000"/>
        <rFont val="Arial Narrow"/>
      </rPr>
      <t>ASSEIO</t>
    </r>
    <r>
      <rPr>
        <sz val="13"/>
        <color rgb="FF000000"/>
        <rFont val="Arial Narrow"/>
      </rPr>
      <t xml:space="preserve"> E CONSERVACAO DO EST DO R G S, CNPJ n. 87.078.325/0001-75, -
INDICATO INTERMUNICIPAL DOS EMPREGADOS EM EMPRESAS DE ASSEIO E CONSERVACAO E
SERVICOS TERCEIRIZADOS EM ASSEIO E CONSERVACAO NO RGS-SEEAC/RS, CNPJ n.
90.601.956/0001-31</t>
    </r>
  </si>
  <si>
    <t>01 de JANEIRO</t>
  </si>
  <si>
    <t>3224-15_Aux.Saude.bucal</t>
  </si>
  <si>
    <t>A.L.</t>
  </si>
  <si>
    <t xml:space="preserve">ALEGRETE </t>
  </si>
  <si>
    <t>RS002044/2021</t>
  </si>
  <si>
    <r>
      <rPr>
        <sz val="13"/>
        <color rgb="FF000000"/>
        <rFont val="Arial Narrow"/>
      </rPr>
      <t xml:space="preserve">FEDERACAO DOS TRAB INDUST </t>
    </r>
    <r>
      <rPr>
        <b/>
        <sz val="13"/>
        <color rgb="FF000000"/>
        <rFont val="Arial Narrow"/>
      </rPr>
      <t>CONSTRUÇÃO</t>
    </r>
    <r>
      <rPr>
        <sz val="13"/>
        <color rgb="FF000000"/>
        <rFont val="Arial Narrow"/>
      </rPr>
      <t xml:space="preserve"> MOBIL ESTADO RIO G SUL, CNPJ n. 92.963.974/0001-9 e SIND DAS IND DA CONSTRUCAO CIVIL NO ESTADO DO R G S, CNPJ n. 92.973.734/0001-75,</t>
    </r>
  </si>
  <si>
    <t>01 de MAIO</t>
  </si>
  <si>
    <t>3341-10_Insp.de.Alunos</t>
  </si>
  <si>
    <t>F.W.</t>
  </si>
  <si>
    <t xml:space="preserve">FREDERICO-WESTFALEN </t>
  </si>
  <si>
    <t>RS003993/2021</t>
  </si>
  <si>
    <r>
      <rPr>
        <sz val="13"/>
        <color rgb="FF000000"/>
        <rFont val="Arial Narrow"/>
      </rPr>
      <t xml:space="preserve">SIND DAS EMPR DE SEGURANCA E </t>
    </r>
    <r>
      <rPr>
        <b/>
        <sz val="13"/>
        <color rgb="FF000000"/>
        <rFont val="Arial Narrow"/>
      </rPr>
      <t>VIGILANCIA</t>
    </r>
    <r>
      <rPr>
        <sz val="13"/>
        <color rgb="FF000000"/>
        <rFont val="Arial Narrow"/>
      </rPr>
      <t xml:space="preserve"> DO EST DO R G S, CNPJ n. 87.004.982/0001-78, e
SIND PROFI VIGIL, EMPREG DE EMPR SEG E VIGIL DE PORTO ALEGRE E REGIAO
METROPOLITANA DO RGS, CNPJ n. 91.343.293/0001-65</t>
    </r>
  </si>
  <si>
    <t>4110-05_Aux.Administ.</t>
  </si>
  <si>
    <t>J.A.</t>
  </si>
  <si>
    <t>JAGUARI</t>
  </si>
  <si>
    <t>RS001505/2021</t>
  </si>
  <si>
    <r>
      <rPr>
        <sz val="13"/>
        <color rgb="FF000000"/>
        <rFont val="Arial Narrow"/>
      </rPr>
      <t xml:space="preserve">FEDERACAO DOS EMPREG.EM </t>
    </r>
    <r>
      <rPr>
        <b/>
        <sz val="13"/>
        <color rgb="FF000000"/>
        <rFont val="Arial Narrow"/>
      </rPr>
      <t>ENT.CULT.RECR.</t>
    </r>
    <r>
      <rPr>
        <sz val="13"/>
        <color rgb="FF000000"/>
        <rFont val="Arial Narrow"/>
      </rPr>
      <t>DE ASSIST.SOC. DE ORIENT. E FORM. PROF.DO EST.
DO RGS, CNPJ n. 05.208.719/0001-36, e
IND ENTID CULT RECR ASSOC ORIENT E FORM PROF EST RS , CNPJ n. 93.013.670/0001-23,</t>
    </r>
  </si>
  <si>
    <t>01 de ABRIL</t>
  </si>
  <si>
    <t>4110-10_Assist.Administ.</t>
  </si>
  <si>
    <t>J.C.</t>
  </si>
  <si>
    <t xml:space="preserve">JULIO-DE-CASTILHOS </t>
  </si>
  <si>
    <t>RS001689/2021</t>
  </si>
  <si>
    <r>
      <rPr>
        <sz val="13"/>
        <color rgb="FF000000"/>
        <rFont val="Arial Narrow"/>
      </rPr>
      <t xml:space="preserve">SINDICATO IND MET </t>
    </r>
    <r>
      <rPr>
        <b/>
        <sz val="13"/>
        <color rgb="FF000000"/>
        <rFont val="Arial Narrow"/>
      </rPr>
      <t>MECANICO</t>
    </r>
    <r>
      <rPr>
        <sz val="13"/>
        <color rgb="FF000000"/>
        <rFont val="Arial Narrow"/>
      </rPr>
      <t xml:space="preserve"> MAT ELETRICO DE SANTA ROSA, CNPJ n. 90.477.803/0001-24, 
E INDICATO DOS TRABALHADORES NAS INDUSTRIAS METALURGICAS, MECANICAS, DE MATERIAL
ELETRICO, E DE IMPLEMENTOS AGRICOLAS DE SANTA ROSA RS, CNPJ n. 89.391.775/0001-49</t>
    </r>
  </si>
  <si>
    <t>5134-25_Copeiro</t>
  </si>
  <si>
    <t>S.M.</t>
  </si>
  <si>
    <t>SANTA-MARIA</t>
  </si>
  <si>
    <t xml:space="preserve">JULIO-DE-CASTILHOS  </t>
  </si>
  <si>
    <r>
      <rPr>
        <sz val="13"/>
        <color rgb="FF000000"/>
        <rFont val="Arial Narrow"/>
      </rPr>
      <t xml:space="preserve">SIND PROF </t>
    </r>
    <r>
      <rPr>
        <b/>
        <sz val="13"/>
        <color rgb="FF000000"/>
        <rFont val="Arial Narrow"/>
      </rPr>
      <t xml:space="preserve">ENFERMAG </t>
    </r>
    <r>
      <rPr>
        <sz val="13"/>
        <color rgb="FF000000"/>
        <rFont val="Arial Narrow"/>
      </rPr>
      <t>TEC DUCH MAS EMP HOSP CASAS SAUDE RS, CNPJ n. 92.962.745/0001-50 ×
SINDICATO DOS HOSPITAIS BENEFICENTES RELIGIOSOS E FILANTROPICOS DO RIO GRANDE DO
SUL - SINDIBERF, CNPJ n. 95.179.792/0001-10</t>
    </r>
  </si>
  <si>
    <t>2 de ABRIL</t>
  </si>
  <si>
    <t>5143-20_Aux.de.Limpeza</t>
  </si>
  <si>
    <t>S.R.</t>
  </si>
  <si>
    <t xml:space="preserve">SANTA-ROSA </t>
  </si>
  <si>
    <t>RS001211/2022</t>
  </si>
  <si>
    <r>
      <rPr>
        <sz val="13"/>
        <color rgb="FF000000"/>
        <rFont val="Arial Narrow"/>
      </rPr>
      <t xml:space="preserve">FEDERACAO DOS EMPREG.EM </t>
    </r>
    <r>
      <rPr>
        <b/>
        <sz val="13"/>
        <color rgb="FF000000"/>
        <rFont val="Arial Narrow"/>
      </rPr>
      <t>ENT.CULT.RECR.</t>
    </r>
    <r>
      <rPr>
        <sz val="13"/>
        <color rgb="FF000000"/>
        <rFont val="Arial Narrow"/>
      </rPr>
      <t>DE ASSIST.SOC. DE ORIENT. E FORM. PROF.DO EST.
DO RGS, CNPJ n. 05.208.719/0001-36, e
IND ENTID CULT RECR ASSOC ORIENT E FORM PROF EST RS , CNPJ n. 93.013.670/0001-23,</t>
    </r>
  </si>
  <si>
    <t>5143-25_Trab.Manut.Edific.</t>
  </si>
  <si>
    <t>S.A.N</t>
  </si>
  <si>
    <t xml:space="preserve">SANTO-ANGELO </t>
  </si>
  <si>
    <t>RS000281/2022</t>
  </si>
  <si>
    <r>
      <rPr>
        <b/>
        <sz val="13"/>
        <color theme="1"/>
        <rFont val="Arial Narrow"/>
      </rPr>
      <t>ALEGRETE</t>
    </r>
    <r>
      <rPr>
        <sz val="13"/>
        <color theme="1"/>
        <rFont val="Arial Narrow"/>
      </rPr>
      <t xml:space="preserve">-SIND EMPRES DE SEGUR E </t>
    </r>
    <r>
      <rPr>
        <b/>
        <sz val="13"/>
        <color theme="1"/>
        <rFont val="Arial Narrow"/>
      </rPr>
      <t>VIGIL</t>
    </r>
    <r>
      <rPr>
        <sz val="13"/>
        <color theme="1"/>
        <rFont val="Arial Narrow"/>
      </rPr>
      <t xml:space="preserve"> DO RGS, CNPJ n. 87.004.982/0001-78, e
SIND EMPREG SEGUR VIG TRANSP VAL TRAB SERV SEG VIG SEG - ALEGRETE , CNPJ n. 91.551.036/0001-19</t>
    </r>
  </si>
  <si>
    <t>S</t>
  </si>
  <si>
    <t>5162-20_Cuidad.Alun.Saude</t>
  </si>
  <si>
    <t>S.A.</t>
  </si>
  <si>
    <t xml:space="preserve">SANTO-AUGUSTO </t>
  </si>
  <si>
    <t>RS001152/2022</t>
  </si>
  <si>
    <r>
      <rPr>
        <b/>
        <sz val="13"/>
        <color theme="1"/>
        <rFont val="Arial Narrow"/>
      </rPr>
      <t xml:space="preserve">URUGUAIANA </t>
    </r>
    <r>
      <rPr>
        <sz val="13"/>
        <color theme="1"/>
        <rFont val="Arial Narrow"/>
      </rPr>
      <t xml:space="preserve">SIND DAS EMPRES SEG </t>
    </r>
    <r>
      <rPr>
        <b/>
        <sz val="13"/>
        <color theme="1"/>
        <rFont val="Arial Narrow"/>
      </rPr>
      <t>VIGIL</t>
    </r>
    <r>
      <rPr>
        <sz val="13"/>
        <color theme="1"/>
        <rFont val="Arial Narrow"/>
      </rPr>
      <t xml:space="preserve">  DO RGS, CNPJ n. 87.004.982/0001-78, e SIND EMPREG SEGUR E VIGIL DE URUGUAIANA, CNPJ n. 92.463.421/0001-77, </t>
    </r>
  </si>
  <si>
    <t>5162-20_Cuidad.Alun.Educ.</t>
  </si>
  <si>
    <t>S.B.</t>
  </si>
  <si>
    <t xml:space="preserve">SAO-BORJA </t>
  </si>
  <si>
    <t>RS000847/2022</t>
  </si>
  <si>
    <r>
      <rPr>
        <b/>
        <sz val="13"/>
        <color theme="1"/>
        <rFont val="Arial Narrow"/>
      </rPr>
      <t xml:space="preserve">JULIO- SVS-StoAUG </t>
    </r>
    <r>
      <rPr>
        <sz val="13"/>
        <color theme="1"/>
        <rFont val="Arial Narrow"/>
      </rPr>
      <t xml:space="preserve">SIND DAS EMPR SEG. </t>
    </r>
    <r>
      <rPr>
        <b/>
        <sz val="13"/>
        <color theme="1"/>
        <rFont val="Arial Narrow"/>
      </rPr>
      <t>VIGILANCIA</t>
    </r>
    <r>
      <rPr>
        <sz val="13"/>
        <color theme="1"/>
        <rFont val="Arial Narrow"/>
      </rPr>
      <t xml:space="preserve"> DO RGS, CNPJ n. 87.004.982/0001-78, e  SIND EMPREG SEG E VIGIL DE PORTO ALEGRE E REGIAO METROPOLITANA DO RGS, CNPJ n. 91.343.293/0001-65, </t>
    </r>
  </si>
  <si>
    <t>5173-30 _Vigilante</t>
  </si>
  <si>
    <t>S.V.</t>
  </si>
  <si>
    <t>SAO-VICENTE-DO-SUL</t>
  </si>
  <si>
    <t>RS_PISO_REG/22</t>
  </si>
  <si>
    <r>
      <rPr>
        <b/>
        <sz val="13"/>
        <color theme="1"/>
        <rFont val="Arial Narrow"/>
      </rPr>
      <t>PANAMB</t>
    </r>
    <r>
      <rPr>
        <sz val="13"/>
        <color theme="1"/>
        <rFont val="Arial Narrow"/>
      </rPr>
      <t>I_AGROP.Fx-1</t>
    </r>
  </si>
  <si>
    <t>01 de OUTUBRO</t>
  </si>
  <si>
    <t>5174-10_Porteiro.de.Edific.</t>
  </si>
  <si>
    <t>U.R.</t>
  </si>
  <si>
    <t>URUGUAIANA</t>
  </si>
  <si>
    <t>RS000720/2022</t>
  </si>
  <si>
    <r>
      <rPr>
        <sz val="13"/>
        <color theme="1"/>
        <rFont val="Arial Narrow"/>
      </rPr>
      <t xml:space="preserve">SIND. RURAL </t>
    </r>
    <r>
      <rPr>
        <b/>
        <sz val="13"/>
        <color theme="1"/>
        <rFont val="Arial Narrow"/>
      </rPr>
      <t>SVS</t>
    </r>
    <r>
      <rPr>
        <sz val="13"/>
        <color theme="1"/>
        <rFont val="Arial Narrow"/>
      </rPr>
      <t>, CNPJ n 90.139.395/0001-09, e
SIND. DOS TRABALH. RURAIS SAO VICENTE DO SUL, CNPJ n. 89.830.855/0001-53</t>
    </r>
  </si>
  <si>
    <t>01 de MARÇO</t>
  </si>
  <si>
    <t>5174-20_Vigia</t>
  </si>
  <si>
    <t>RS001578/2022</t>
  </si>
  <si>
    <r>
      <rPr>
        <sz val="13"/>
        <color theme="1"/>
        <rFont val="Arial Narrow"/>
      </rPr>
      <t>SIND. TRABALHADORES RURAIS DE</t>
    </r>
    <r>
      <rPr>
        <b/>
        <sz val="13"/>
        <color theme="1"/>
        <rFont val="Arial Narrow"/>
      </rPr>
      <t xml:space="preserve"> ALEGRETE</t>
    </r>
    <r>
      <rPr>
        <sz val="13"/>
        <color theme="1"/>
        <rFont val="Arial Narrow"/>
      </rPr>
      <t>, CNPJ n. 87.537.429/0001-09, 
E SINDICATO RURAL DE</t>
    </r>
    <r>
      <rPr>
        <b/>
        <sz val="13"/>
        <color theme="1"/>
        <rFont val="Arial Narrow"/>
      </rPr>
      <t xml:space="preserve"> ALEGRETE</t>
    </r>
    <r>
      <rPr>
        <sz val="13"/>
        <color theme="1"/>
        <rFont val="Arial Narrow"/>
      </rPr>
      <t>, CNPJ n. 87.203.048/0001-85,</t>
    </r>
  </si>
  <si>
    <t>6210-05_Peao</t>
  </si>
  <si>
    <t>RS002503/2019</t>
  </si>
  <si>
    <r>
      <rPr>
        <sz val="13"/>
        <color theme="1"/>
        <rFont val="Arial Narrow"/>
      </rPr>
      <t xml:space="preserve">SIND TRAB RUAIS </t>
    </r>
    <r>
      <rPr>
        <b/>
        <sz val="13"/>
        <color theme="1"/>
        <rFont val="Arial Narrow"/>
      </rPr>
      <t>JAGUARI</t>
    </r>
    <r>
      <rPr>
        <sz val="13"/>
        <color theme="1"/>
        <rFont val="Arial Narrow"/>
      </rPr>
      <t xml:space="preserve"> 90.995.291/0001-98</t>
    </r>
  </si>
  <si>
    <t>6210-05_Capataz</t>
  </si>
  <si>
    <t>CCT2020-StoAngelo</t>
  </si>
  <si>
    <r>
      <rPr>
        <sz val="13"/>
        <color theme="1"/>
        <rFont val="Arial Narrow"/>
      </rPr>
      <t xml:space="preserve">SIND TRAB RURAIS DE </t>
    </r>
    <r>
      <rPr>
        <b/>
        <sz val="13"/>
        <color theme="1"/>
        <rFont val="Arial Narrow"/>
      </rPr>
      <t>SANTO ANGELO</t>
    </r>
    <r>
      <rPr>
        <sz val="13"/>
        <color theme="1"/>
        <rFont val="Arial Narrow"/>
      </rPr>
      <t xml:space="preserve"> 96.211.925/0001-50</t>
    </r>
  </si>
  <si>
    <t>6210-05_Trabalh.Agropec.Geral</t>
  </si>
  <si>
    <t>RS000947/2019</t>
  </si>
  <si>
    <r>
      <rPr>
        <sz val="13"/>
        <color theme="1"/>
        <rFont val="Arial Narrow"/>
      </rPr>
      <t xml:space="preserve">SINDICATO DOS TRABALHADORES </t>
    </r>
    <r>
      <rPr>
        <b/>
        <sz val="13"/>
        <color theme="1"/>
        <rFont val="Arial Narrow"/>
      </rPr>
      <t>RURAIS</t>
    </r>
    <r>
      <rPr>
        <sz val="13"/>
        <color theme="1"/>
        <rFont val="Arial Narrow"/>
      </rPr>
      <t xml:space="preserve"> DE JULIO DE CASTILHOS, CNPJ n. 06.185.541/0001-18 × SINDICATO RURAL DE JULIO DE CASTILHOS, CNPJ n. 91.026.062/0001-28</t>
    </r>
  </si>
  <si>
    <t>6220-10_Jardineiro</t>
  </si>
  <si>
    <t>RS002283/2022</t>
  </si>
  <si>
    <r>
      <rPr>
        <sz val="13"/>
        <color rgb="FF000000"/>
        <rFont val="Arial Narrow"/>
      </rPr>
      <t xml:space="preserve">SIND. IND. </t>
    </r>
    <r>
      <rPr>
        <b/>
        <sz val="13"/>
        <color rgb="FF000000"/>
        <rFont val="Arial Narrow"/>
      </rPr>
      <t>METALURG</t>
    </r>
    <r>
      <rPr>
        <sz val="13"/>
        <color rgb="FF000000"/>
        <rFont val="Arial Narrow"/>
      </rPr>
      <t>.MECAN.RS, CNPJ 92.954.072/0001-96 × FED.  TRABALH. METALURG., MECANICOS* RS, CNPJ n. 08.610.653/0001-02</t>
    </r>
  </si>
  <si>
    <t>6410-10_Oper.Máq.B.Prod.Agríc.</t>
  </si>
  <si>
    <t>RS002374/2022</t>
  </si>
  <si>
    <r>
      <rPr>
        <b/>
        <sz val="13"/>
        <color rgb="FF000000"/>
        <rFont val="Arial Narrow"/>
      </rPr>
      <t>FETICON</t>
    </r>
    <r>
      <rPr>
        <b/>
        <sz val="13"/>
        <color rgb="FF000000"/>
        <rFont val="Arial Narrow"/>
      </rPr>
      <t xml:space="preserve"> </t>
    </r>
    <r>
      <rPr>
        <sz val="13"/>
        <color rgb="FF000000"/>
        <rFont val="Arial Narrow"/>
      </rPr>
      <t>SIND.</t>
    </r>
    <r>
      <rPr>
        <b/>
        <sz val="13"/>
        <color rgb="FF000000"/>
        <rFont val="Arial Narrow"/>
      </rPr>
      <t>TRAB.IND.CONSTR.</t>
    </r>
    <r>
      <rPr>
        <sz val="13"/>
        <color rgb="FF000000"/>
        <rFont val="Arial Narrow"/>
      </rPr>
      <t>Manut.Predial_92.963.974_e_ SIND DAS IND DA CONSTRUCAO CIVIL NO ESTADO DO R G S, CNPJ n. 92.973.734/0001-75,</t>
    </r>
  </si>
  <si>
    <t>6410-15_Tratorista</t>
  </si>
  <si>
    <t>RS000052/2022</t>
  </si>
  <si>
    <r>
      <rPr>
        <sz val="13"/>
        <color rgb="FF000000"/>
        <rFont val="Arial Narrow"/>
      </rPr>
      <t>SIND DAS EMPR DE</t>
    </r>
    <r>
      <rPr>
        <b/>
        <sz val="13"/>
        <color rgb="FF000000"/>
        <rFont val="Arial Narrow"/>
      </rPr>
      <t xml:space="preserve"> ASSEIO E CONSERV. SM</t>
    </r>
    <r>
      <rPr>
        <sz val="13"/>
        <color rgb="FF000000"/>
        <rFont val="Arial Narrow"/>
      </rPr>
      <t xml:space="preserve"> , CNPJ n. 87.078.325/0001-75,
SIND. TRAB EM SERV. TERCEIR, EMP DE ASSEIO E CONS LIMP - SM CNPJ n. 02.521.257/0001-14,</t>
    </r>
  </si>
  <si>
    <t>6410-15_Tratorista.Agríc.</t>
  </si>
  <si>
    <t xml:space="preserve">RS001237/2022 </t>
  </si>
  <si>
    <r>
      <rPr>
        <sz val="13"/>
        <color rgb="FF000000"/>
        <rFont val="Arial Narrow"/>
      </rPr>
      <t>SIND.</t>
    </r>
    <r>
      <rPr>
        <b/>
        <sz val="13"/>
        <color rgb="FF000000"/>
        <rFont val="Arial Narrow"/>
      </rPr>
      <t xml:space="preserve"> INDUST.MARCENARIA </t>
    </r>
    <r>
      <rPr>
        <sz val="13"/>
        <color rgb="FF000000"/>
        <rFont val="Arial Narrow"/>
      </rPr>
      <t>RS CNPJ n. 92.953.975/0001-52 e FED. TRAB INDUST CONST MOBIL RS, CNPJ n. 92.963.974/0001-99</t>
    </r>
  </si>
  <si>
    <t>7152-10_Pedreiro</t>
  </si>
  <si>
    <t>RS000207/2022</t>
  </si>
  <si>
    <r>
      <rPr>
        <sz val="13"/>
        <color rgb="FF000000"/>
        <rFont val="Arial Narrow"/>
      </rPr>
      <t xml:space="preserve">FED TRAB IND. </t>
    </r>
    <r>
      <rPr>
        <b/>
        <sz val="13"/>
        <color rgb="FF000000"/>
        <rFont val="Arial Narrow"/>
      </rPr>
      <t>CONSTR (SVS)</t>
    </r>
    <r>
      <rPr>
        <sz val="13"/>
        <color rgb="FF000000"/>
        <rFont val="Arial Narrow"/>
      </rPr>
      <t xml:space="preserve"> MOBIL RS CNPJ n. 92.963.974/0001-99 e SIND.DA INDUST DA CONSTRUCAO CIVIL SM regiao , CNPJ n. 01.275.003/0001-09</t>
    </r>
  </si>
  <si>
    <t>7156-15_Eletricist.de.Instal.</t>
  </si>
  <si>
    <r>
      <rPr>
        <sz val="13"/>
        <color rgb="FF000000"/>
        <rFont val="&quot;Arial Narrow&quot;, Arial"/>
      </rPr>
      <t xml:space="preserve">FED. DOS EMPREG. </t>
    </r>
    <r>
      <rPr>
        <u/>
        <sz val="13"/>
        <color rgb="FF000000"/>
        <rFont val="&quot;Arial Narrow&quot;, Arial"/>
      </rPr>
      <t>ENT</t>
    </r>
    <r>
      <rPr>
        <b/>
        <u/>
        <sz val="13"/>
        <color rgb="FF000000"/>
        <rFont val="&quot;Arial Narrow&quot;, Arial"/>
      </rPr>
      <t>.CULT</t>
    </r>
    <r>
      <rPr>
        <u/>
        <sz val="13"/>
        <color rgb="FF000000"/>
        <rFont val="&quot;Arial Narrow&quot;, Arial"/>
      </rPr>
      <t>.RECR.DE</t>
    </r>
    <r>
      <rPr>
        <sz val="13"/>
        <color rgb="FF000000"/>
        <rFont val="&quot;Arial Narrow&quot;, Arial"/>
      </rPr>
      <t xml:space="preserve"> ASSIST.SOC. DE ORIENT. E FORM. PROF.DO EST. DO RGS, CNPJ n. 05.208.719/0001-36</t>
    </r>
  </si>
  <si>
    <t>01º de abril</t>
  </si>
  <si>
    <t>7244-40_Serralheiro</t>
  </si>
  <si>
    <t>RS000657/2022</t>
  </si>
  <si>
    <t>SIND.TRAB.IND.METAL.
MEC.- 06.208.278/0001-35</t>
  </si>
  <si>
    <t>01 de Maio</t>
  </si>
  <si>
    <t>7711-05_Marceneiro</t>
  </si>
  <si>
    <t>TABELA_nivel-E</t>
  </si>
  <si>
    <t>SEM CCT</t>
  </si>
  <si>
    <t>N</t>
  </si>
  <si>
    <t>7823-05_Motor.Carro.Passeio</t>
  </si>
  <si>
    <t>RS000044/2023</t>
  </si>
  <si>
    <r>
      <rPr>
        <sz val="13"/>
        <color rgb="FF0000FF"/>
        <rFont val="Arial Narrow"/>
      </rPr>
      <t>SIND DAS EMPR DE</t>
    </r>
    <r>
      <rPr>
        <b/>
        <sz val="13"/>
        <color rgb="FF0000FF"/>
        <rFont val="Arial Narrow"/>
      </rPr>
      <t xml:space="preserve"> ASSEIO E CONSERV. SM</t>
    </r>
    <r>
      <rPr>
        <sz val="13"/>
        <color rgb="FF0000FF"/>
        <rFont val="Arial Narrow"/>
      </rPr>
      <t xml:space="preserve"> , CNPJ n. 87.078.325/0001-75,
SIND. TRAB EM SERV. TERCEIR, EMP DE ASSEIO E CONS LIMP - SM CNPJ n. 02.521.257/0001-14,</t>
    </r>
  </si>
  <si>
    <t>7825-10_Motor.Geral</t>
  </si>
  <si>
    <t>9511-05_Eletr.Man.Eletroeletr.</t>
  </si>
  <si>
    <t>A NÃO TEM MAIS POSTOS-1</t>
  </si>
  <si>
    <t>A NÃO TEM MAIS POSTOS-2</t>
  </si>
  <si>
    <t>A NÃO TEM MAIS POSTOS-3</t>
  </si>
  <si>
    <t>A NÃO TEM MAIS POSTOS-4</t>
  </si>
  <si>
    <t>A NÃO TEM MAIS POSTOS-5</t>
  </si>
  <si>
    <t>A NÃO TEM MAIS POSTOS-6</t>
  </si>
  <si>
    <t>A NÃO TEM MAIS POSTOS-7</t>
  </si>
  <si>
    <t>A NÃO TEM MAIS POSTOS-8</t>
  </si>
  <si>
    <t>A NÃO TEM MAIS POSTOS-9</t>
  </si>
  <si>
    <t>A NÃO TEM MAIS POSTOS-10</t>
  </si>
  <si>
    <t>A NÃO TEM MAIS POSTOS-11</t>
  </si>
  <si>
    <t>A NÃO TEM MAIS POSTOS-12</t>
  </si>
  <si>
    <t>A NÃO TEM MAIS POSTOS-13</t>
  </si>
  <si>
    <t>A NÃO TEM MAIS POSTOS-14</t>
  </si>
  <si>
    <t>A NÃO TEM MAIS POSTOS-15</t>
  </si>
  <si>
    <t>CLIQUE NA RESPECTIVA CAIXA 
PARA  APLICAR FILTROS AS COLUNAS</t>
  </si>
  <si>
    <t>CAMPUS.CONTRATANTE</t>
  </si>
  <si>
    <t>UNIDADES CONTRATANTES</t>
  </si>
  <si>
    <t xml:space="preserve"> MUNICIPIO Vlr</t>
  </si>
  <si>
    <t xml:space="preserve"> S E R V I Ç O S     -   REFEITORIO_×_JARDINAGEM</t>
  </si>
  <si>
    <t>UG</t>
  </si>
  <si>
    <t>CNPJ</t>
  </si>
  <si>
    <t>NOME</t>
  </si>
  <si>
    <t>R$ 
Vlr Passagem
 Urbana - VT</t>
  </si>
  <si>
    <t>Indice
 ISS</t>
  </si>
  <si>
    <t>5132-05_COZINHEIRO_prepost_hs</t>
  </si>
  <si>
    <t>5132-05_COZINHEIRO_geral_hs</t>
  </si>
  <si>
    <t>5135-05_AUX.COZINHA_hs</t>
  </si>
  <si>
    <t>6220-10_JARDINEIRO_hs</t>
  </si>
  <si>
    <t>A NÃO TEM MAIS POSTOS-22</t>
  </si>
  <si>
    <t>A NÃO TEM MAIS POSTOS-33</t>
  </si>
  <si>
    <t>A NÃO TEM MAIS POSTOS-44</t>
  </si>
  <si>
    <t>A NÃO TEM MAIS POSTOS-55</t>
  </si>
  <si>
    <t>A NÃO TEM MAIS POSTOS-66</t>
  </si>
  <si>
    <t>A NÃO TEM MAIS POSTOS-77</t>
  </si>
  <si>
    <t>A NÃO TEM MAIS POSTOS-88</t>
  </si>
  <si>
    <t>A NÃO TEM MAIS POSTOS-99</t>
  </si>
  <si>
    <t>QUANTIDADE</t>
  </si>
  <si>
    <t>Participa da 
escala de PLANTOES</t>
  </si>
  <si>
    <t>CONVENCAO
 COLETIVA
 DE TRABALHO</t>
  </si>
  <si>
    <t>SALARIO
NORMATIVO</t>
  </si>
  <si>
    <t>% BASE ADICIONAL FUNÇÃO</t>
  </si>
  <si>
    <t>QUANTIDADE
DE PLANTOES
pelos 52
SABADOS
no ano
para hs a 50%</t>
  </si>
  <si>
    <t>QUANTIDADE
DE PLANTOES
pelos 52
DOMINGOS 
+ 12 FERIADOS
no ano
para hs a 100%</t>
  </si>
  <si>
    <t>DIAS
VALE
TRANSP.</t>
  </si>
  <si>
    <t>DIAS
DE
VALE
ALIMENT</t>
  </si>
  <si>
    <t>ADICIONAL 
NOTURNO</t>
  </si>
  <si>
    <t>QUANTOIDA DE PLANTONISTAS POR DIA 50%</t>
  </si>
  <si>
    <t>QUANTOIDA DE PLANTONISTAS POR DIA 100%</t>
  </si>
  <si>
    <t xml:space="preserve">JORNADA </t>
  </si>
  <si>
    <t>JORNADA</t>
  </si>
  <si>
    <t>QUANTIDADE
DE PLANTOES
pelos 54
SABADOS
no ano
para hs a 50%</t>
  </si>
  <si>
    <t>QUANTIDADE
DE PLANTOES
pelos 54
DOMINGOS 
+ 12 FERIADOS
no ano
para hs a 100%</t>
  </si>
  <si>
    <t>SALARIO
BASE</t>
  </si>
  <si>
    <t>outros</t>
  </si>
  <si>
    <t>QUANTIDADE
DE PANTOES
pelos 54
SABADOS
no ano
para hs a 50%</t>
  </si>
  <si>
    <t>SEM</t>
  </si>
  <si>
    <t>MINIMO NACIONAL</t>
  </si>
  <si>
    <t>SALARIO NORMATIVO</t>
  </si>
  <si>
    <t>%</t>
  </si>
  <si>
    <t>INSALUBR.</t>
  </si>
  <si>
    <t>ADICIONAL</t>
  </si>
  <si>
    <t>PERCENTUAL</t>
  </si>
  <si>
    <t xml:space="preserve">SEMANAL </t>
  </si>
  <si>
    <t>10-662-072-0004-09</t>
  </si>
  <si>
    <t>ADIC. FUNÇÃO S/NORMATIVO</t>
  </si>
  <si>
    <t>INSALUB S/NORMATIVO</t>
  </si>
  <si>
    <t>SEM ADICIONAL DE FUNÇÃO</t>
  </si>
  <si>
    <t>INSALUB S/MIN. NACION.</t>
  </si>
  <si>
    <t>SEM ADICIONAL DE RISCO</t>
  </si>
  <si>
    <t>INSALUB S/MINIMO</t>
  </si>
  <si>
    <t>22-968-289-0001-70</t>
  </si>
  <si>
    <t>10-662-072-0009-05</t>
  </si>
  <si>
    <t>10-662-072-0002-39</t>
  </si>
  <si>
    <t>10-662-072-0007-43</t>
  </si>
  <si>
    <t xml:space="preserve">PANAMBI </t>
  </si>
  <si>
    <t>10-662-072-0001-58</t>
  </si>
  <si>
    <t>10-662-072-0008-24</t>
  </si>
  <si>
    <t>10-662-072-0010-49</t>
  </si>
  <si>
    <t>10-662-072-0005-81</t>
  </si>
  <si>
    <t>10-662-072-0006-62</t>
  </si>
  <si>
    <t>10-662-072-0003-10</t>
  </si>
  <si>
    <t>CBO_FUNCAO ( 31 carcteres aba) A CONTRATAR</t>
  </si>
  <si>
    <t>ADIC. FUNÇÃO S/MINIMO NACION</t>
  </si>
  <si>
    <t>n feriados</t>
  </si>
  <si>
    <t>noite</t>
  </si>
  <si>
    <t>dividido por 12</t>
  </si>
  <si>
    <t>PERICULOSIDADE</t>
  </si>
  <si>
    <t>dividido por n funcio</t>
  </si>
  <si>
    <t xml:space="preserve">nomes das abas </t>
  </si>
  <si>
    <t>FUNCAO() ABAS ()</t>
  </si>
  <si>
    <t>ADIC. FUNÇÃO S/piso  REGIONAL</t>
  </si>
  <si>
    <t>frederico 100% so feriado</t>
  </si>
  <si>
    <t>no caso somente sao vitente tem UM peao que nao faz plantoes</t>
  </si>
  <si>
    <t xml:space="preserve">TABELA BASE </t>
  </si>
  <si>
    <t>frederico so 12 ferias 100%</t>
  </si>
  <si>
    <t>TESTE 2</t>
  </si>
  <si>
    <t>TESTE 3</t>
  </si>
  <si>
    <t>TESTE 4</t>
  </si>
  <si>
    <t>6210-05_CAPATAZ-Encarrga_44hs</t>
  </si>
  <si>
    <t>TESTE 5</t>
  </si>
  <si>
    <t>6210-05_PEAO-Trab.Agropc_44hs</t>
  </si>
  <si>
    <t>TESTE 6</t>
  </si>
  <si>
    <t>6410-15_TRATORISTA-Geral_44hs</t>
  </si>
  <si>
    <t>TESTE 7</t>
  </si>
  <si>
    <t>TESTE 8</t>
  </si>
  <si>
    <t>TESTE 9</t>
  </si>
  <si>
    <t>TESTE 10</t>
  </si>
  <si>
    <t>TESTE 11</t>
  </si>
  <si>
    <t>TESTE 12</t>
  </si>
  <si>
    <t>1-ABA-DE-CARREGAMENTO</t>
  </si>
  <si>
    <t>Ministério da Educação</t>
  </si>
  <si>
    <t>Secretaria de Educação Tecnológica</t>
  </si>
  <si>
    <t>Instituto Federal de Educação, Ciência e Tecnologia Farroupilha - IFFar</t>
  </si>
  <si>
    <t>DADOS DA LICITAÇÃO</t>
  </si>
  <si>
    <t>Descrição do serviço:</t>
  </si>
  <si>
    <t>Processo:</t>
  </si>
  <si>
    <t>Licitação:</t>
  </si>
  <si>
    <t>Campus/Município/UF da prestação do serviço:</t>
  </si>
  <si>
    <t>« ←▬     SELECIONE</t>
  </si>
  <si>
    <t>Endereço</t>
  </si>
  <si>
    <t>Dia/Hora:</t>
  </si>
  <si>
    <t>Razão Social:</t>
  </si>
  <si>
    <t>CNPJ:</t>
  </si>
  <si>
    <t>Responsável pela Empresa:</t>
  </si>
  <si>
    <t xml:space="preserve">Contato </t>
  </si>
  <si>
    <t>Telefone</t>
  </si>
  <si>
    <t>E-mail</t>
  </si>
  <si>
    <t>CPF do Responsável:</t>
  </si>
  <si>
    <t>Cargo ou Função:</t>
  </si>
  <si>
    <t>REGIME DE TRIBUTAÇÃO DA EMPRESA</t>
  </si>
  <si>
    <t>% ALIQUOTA PIS</t>
  </si>
  <si>
    <t>% ALIQUOTA COFINS</t>
  </si>
  <si>
    <r>
      <rPr>
        <sz val="10"/>
        <color theme="1"/>
        <rFont val="Arial"/>
      </rPr>
      <t xml:space="preserve">Lucro Real (Digite - </t>
    </r>
    <r>
      <rPr>
        <b/>
        <sz val="10"/>
        <color theme="1"/>
        <rFont val="Arial"/>
      </rPr>
      <t xml:space="preserve">1 </t>
    </r>
    <r>
      <rPr>
        <sz val="10"/>
        <color theme="1"/>
        <rFont val="Arial"/>
      </rPr>
      <t xml:space="preserve">) </t>
    </r>
    <r>
      <rPr>
        <sz val="18"/>
        <color theme="1"/>
        <rFont val="Arial"/>
      </rPr>
      <t>→</t>
    </r>
  </si>
  <si>
    <r>
      <rPr>
        <sz val="10"/>
        <color theme="1"/>
        <rFont val="Arial"/>
      </rPr>
      <t xml:space="preserve">Lucro Presumido   ( Digite - </t>
    </r>
    <r>
      <rPr>
        <b/>
        <sz val="10"/>
        <color theme="1"/>
        <rFont val="Arial"/>
      </rPr>
      <t xml:space="preserve">2 </t>
    </r>
    <r>
      <rPr>
        <sz val="10"/>
        <color theme="1"/>
        <rFont val="Arial"/>
      </rPr>
      <t xml:space="preserve">)  </t>
    </r>
    <r>
      <rPr>
        <sz val="18"/>
        <color theme="1"/>
        <rFont val="Arial"/>
      </rPr>
      <t>→</t>
    </r>
  </si>
  <si>
    <t xml:space="preserve">I N F O R M A Ç Õ E S      D A S        C C T 's </t>
  </si>
  <si>
    <t>Descrição da função</t>
  </si>
  <si>
    <t>Dados/registro CCT</t>
  </si>
  <si>
    <t>Data base</t>
  </si>
  <si>
    <r>
      <rPr>
        <sz val="10"/>
        <color theme="1"/>
        <rFont val="Arial"/>
      </rPr>
      <t>Salário base Nomartivo /categoria</t>
    </r>
    <r>
      <rPr>
        <b/>
        <sz val="12"/>
        <color rgb="FFC00000"/>
        <rFont val="Arial"/>
      </rPr>
      <t xml:space="preserve"> (220h)</t>
    </r>
  </si>
  <si>
    <t>Base para o Adicional De Função</t>
  </si>
  <si>
    <t>%  Adicional de Função</t>
  </si>
  <si>
    <t>Base para o Adicional de =&gt;</t>
  </si>
  <si>
    <t>% AD. INSALUBRIDADE</t>
  </si>
  <si>
    <r>
      <rPr>
        <sz val="14"/>
        <color theme="1"/>
        <rFont val="Arial"/>
      </rPr>
      <t>VALOR DO MINIMO NACIONAL</t>
    </r>
    <r>
      <rPr>
        <b/>
        <sz val="14"/>
        <color theme="1"/>
        <rFont val="Arial"/>
      </rPr>
      <t xml:space="preserve"> 2023</t>
    </r>
  </si>
  <si>
    <t xml:space="preserve">% Adicional Noturno </t>
  </si>
  <si>
    <t>% Adicional de Periculosidade</t>
  </si>
  <si>
    <t xml:space="preserve">Módulo 1:               J O R N A D A  </t>
  </si>
  <si>
    <t>Jornada DIÁRIA contratada "em horas" (h)</t>
  </si>
  <si>
    <t>Jornada SEMANAL contratada (h)</t>
  </si>
  <si>
    <t>Jornada MENSAL contratada (h)</t>
  </si>
  <si>
    <t xml:space="preserve">     E N C A R G O S   E   B E N E F Í C I O S  </t>
  </si>
  <si>
    <t>RAT</t>
  </si>
  <si>
    <t>FAP</t>
  </si>
  <si>
    <t>Valor - Auxílio alimentação(VA)/Refeicao POR DIA</t>
  </si>
  <si>
    <t>Percentual desc parte trabalhador - VA</t>
  </si>
  <si>
    <t>Qtd dias/mês recebimento aux. alim</t>
  </si>
  <si>
    <t>Vlr - Aux. Alimentação LANCHE (VA)/ POR DIA</t>
  </si>
  <si>
    <t>AUX. ALIMENTACAO / Premio Assiduidade</t>
  </si>
  <si>
    <t>Média Mensal hs a 50%</t>
  </si>
  <si>
    <t>nº de HS a 50% No plantao por SABADO</t>
  </si>
  <si>
    <t>QUANTIDADE DE PLANTONISTAS POR DIA  50%</t>
  </si>
  <si>
    <t>Média Mensal hs a 100%</t>
  </si>
  <si>
    <t>nº HS a 100% Plantao por DOM/FERIADO</t>
  </si>
  <si>
    <t>TRABALHADOR faz PLANTOES</t>
  </si>
  <si>
    <t>QUANTIDADE DE PLANTONISTAS POR DIA 100%</t>
  </si>
  <si>
    <t>Valor unit. da passagem</t>
  </si>
  <si>
    <t>Quantid. passagens/dia</t>
  </si>
  <si>
    <t xml:space="preserve">Qtd dias/mês receb. aux. Transp </t>
  </si>
  <si>
    <t>Percentual desc parte trabalhador - VT</t>
  </si>
  <si>
    <t>PLANO DE BENEFICIOS BSF</t>
  </si>
  <si>
    <t xml:space="preserve">Seguro de VIDA </t>
  </si>
  <si>
    <t xml:space="preserve">AUX. Funeral </t>
  </si>
  <si>
    <t>AUX. EDUCAÇÃO</t>
  </si>
  <si>
    <t>Gratificacao Aniversário</t>
  </si>
  <si>
    <t>MÓDULO 6: CUSTOS INDIRETOS, LUCRO E TRIBUTOS</t>
  </si>
  <si>
    <t>Custos indiretos</t>
  </si>
  <si>
    <t>Lucro</t>
  </si>
  <si>
    <t>ISSQN</t>
  </si>
  <si>
    <t xml:space="preserve">QUADRO RESUMO VALOR MENSAL DOS SERVIÇOS </t>
  </si>
  <si>
    <t xml:space="preserve">Quantidade de Postos </t>
  </si>
  <si>
    <t>Quantidade de Empregados por Posto</t>
  </si>
  <si>
    <t xml:space="preserve">Quantidade em Meses de Vigencia do Contrato </t>
  </si>
  <si>
    <t>.</t>
  </si>
  <si>
    <t xml:space="preserve">QUADRO RESUMO DA PROPOSTA </t>
  </si>
  <si>
    <t>PROPOSTA DO SERVIÇO</t>
  </si>
  <si>
    <t>Campus/Municipio prestacao serviço</t>
  </si>
  <si>
    <t>CNPJ nº</t>
  </si>
  <si>
    <t>Endereço:</t>
  </si>
  <si>
    <t>Responsável Contato:</t>
  </si>
  <si>
    <t>Telefone:</t>
  </si>
  <si>
    <t>e-mail:</t>
  </si>
  <si>
    <t xml:space="preserve">Data da apresentação da proposta </t>
  </si>
  <si>
    <t>POSTO</t>
  </si>
  <si>
    <t>JORNADA MÊS
em hs</t>
  </si>
  <si>
    <t>QUANTIDADE DE POSTOS</t>
  </si>
  <si>
    <t>EMPREGADOS por  POSTO</t>
  </si>
  <si>
    <t>VALOR por
EMPREGADO</t>
  </si>
  <si>
    <t>VALOR por
POSTO</t>
  </si>
  <si>
    <t xml:space="preserve">VALOR
 por 
 MÊS </t>
  </si>
  <si>
    <t>VIGÊNCIA 
em 
 MESES</t>
  </si>
  <si>
    <t>QUANTITATIVO
ITEM
EM MESES</t>
  </si>
  <si>
    <t>TOTAL ESTIMADO
PARA
12 MESES</t>
  </si>
  <si>
    <r>
      <rPr>
        <b/>
        <sz val="11"/>
        <color rgb="FF000000"/>
        <rFont val="Arial"/>
      </rPr>
      <t xml:space="preserve">TOTAL ESTIMADO
durante a
</t>
    </r>
    <r>
      <rPr>
        <b/>
        <sz val="11"/>
        <color rgb="FFC00000"/>
        <rFont val="Arial"/>
      </rPr>
      <t>VIGENCIA</t>
    </r>
  </si>
  <si>
    <t>INICIAL</t>
  </si>
  <si>
    <t>TOTAL CONTRATO (INICIAL)</t>
  </si>
  <si>
    <t>ANEXO IV - C</t>
  </si>
  <si>
    <t>PARA OS POSTOS DE COZINHEIRO, COZINHEIRO PREPOSTO E AUXILIAR DE COZINHA</t>
  </si>
  <si>
    <t xml:space="preserve">MATERIAIS {quantidade total do contrato rateada entre os postos}                                                </t>
  </si>
  <si>
    <t>OR.</t>
  </si>
  <si>
    <t>DESCRIÇÃO</t>
  </si>
  <si>
    <t>Unidade</t>
  </si>
  <si>
    <t>Valor Unitário</t>
  </si>
  <si>
    <t>Quantidade Mensal</t>
  </si>
  <si>
    <t>Valor Mensal</t>
  </si>
  <si>
    <t>Reposição por peíodo</t>
  </si>
  <si>
    <t>meses</t>
  </si>
  <si>
    <t>CUSTO TOTAL MENSAL  POR POSTO [CUSTO TOTAL MENSAL / NÚMERO DE POSTOS]</t>
  </si>
  <si>
    <t>UNIFORMES {quantidade total do contrato rateada entre os postos}</t>
  </si>
  <si>
    <t>Preço Unitário</t>
  </si>
  <si>
    <t>Período de Reposição</t>
  </si>
  <si>
    <t>PARA OS POSTOS DE JARDINEIRO</t>
  </si>
  <si>
    <t>UNIFORMES e EPIs  {quantidade total do contrato rateada entre os postos}</t>
  </si>
  <si>
    <t>MATERIAIS E EQUIPAMENTOS  {quantidade total do contrato rateada entre os postos}</t>
  </si>
  <si>
    <t>MATERIAIS PARA ENTREGA MENSAL  {quantidade total mensal}</t>
  </si>
  <si>
    <t>Legenda: UND = unidade de medida; VU = valor unitário; PB = Campus Panambi; JC = Campus Júlio de Castilhos; SA = Campus Santo Augusto; SVS = Campus São Vicente do Sul.</t>
  </si>
  <si>
    <t>Quantidade por Campus</t>
  </si>
  <si>
    <t>Cod</t>
  </si>
  <si>
    <t>Descrição</t>
  </si>
  <si>
    <t>UN</t>
  </si>
  <si>
    <t>VU</t>
  </si>
  <si>
    <t>PB</t>
  </si>
  <si>
    <t>JC</t>
  </si>
  <si>
    <t>SA</t>
  </si>
  <si>
    <t>SVS</t>
  </si>
  <si>
    <t>Álcool etílico hidratado, 70º GL, acondicionado em embalagem primária, tipo frasco, de 01 litro de volume líquido, com tampa roscável. Classificação de aplicação: para uso hospitalar e indústria alimentícia e afins. Validade mínima do produto no ato da entrega: 10 meses. Produto com notificação ou registro junto à ANVISA/MS, conforme classificação de risco, RDC n° 46/2002, RDC n° 14/2007, Portarias n° 269 e n° 270/2008 e outras legislações cabíveis</t>
  </si>
  <si>
    <t>Frasco 1 litro</t>
  </si>
  <si>
    <t>Alvejante líquido biodegradável, sem aromatizantes, sem corantes, acondicionado em embalagem primária plástica, tipo galão, 05 litros de peso líquido. Ação bactericida, fungicida e germicida, com teor de cloro ativo entre 2,0 e 2,5% (especificado na embalagem). Saneante com notificação ou registro junto à ANVISA/MS, conforme classificação de risco, RDC n° 184/2001 e outras legislações cabíveis</t>
  </si>
  <si>
    <t>Bombona 5 litros</t>
  </si>
  <si>
    <t>ÁLCOOL GEL 70 % (70 ºgl), indicado para assepsia e desinfecção da pele, incolor, frasco com 500 ml.</t>
  </si>
  <si>
    <t>Frasco 500 ml</t>
  </si>
  <si>
    <t>Detergente alcalino clorado, em gel, de ampla aplicação, com alto poder sanitizante e desengordurante. Possui excelente rendimento e formação de espuma aderindo facilmente em superfícies inclinadas limpando e desinfetando em uma única operação. Possui eficácia comprovada através de ensaios, conforme RDC n°14/07 da Agência Nacional de Vigilância Sanitária (ANVISA/MS) para bactérias testadas: Gram-positivas e Gram-negativas, Staphylococcus aureus, Salmonella choleraesuis, Escherichia coli e Pseudomonas aeruginosa. INDICAÇÃO DE USO Em equipamentos, utensílios, balcões climatizados, áreas de preparo de alimentos e afins, pisos frios vitrificados, paredes, azulejos encardidos, câmaras frigoríficas, lixeiras, plásticos, placas de corte, grelhas, etc. Muito utilizado em açougues, peixarias, laticínios, frigoríficos, padarias e restaurantes. Indicado para: Cozinhas - Shopping - Supermercado - Escola - Escritório - Hotel - Indústria - Residência. pH 12,00 - 14,00. Odor: Cloro. Cor: amarelo esverdeado. Diluição até: 1:100. Embalagem com 5 litros.</t>
  </si>
  <si>
    <t>5 Litros</t>
  </si>
  <si>
    <t>DETERGENTE LÍQUIDO, para lavar louça, auxilia na remoção de gorduras de louças, talheres e panelas, natural, contém tensoativo biodegradável 500ml.</t>
  </si>
  <si>
    <t>DETERGENTE LÍQUIDO CONCENTRADO, neutro, líquido, diluição mínima de 1 x 10 litros de água, c/ 5 litros. Com validade mínima de 10 meses a partir da entrega e embalagem com dados de identificação do produto e do fabricante.</t>
  </si>
  <si>
    <t>Embalagem 5 litros</t>
  </si>
  <si>
    <t>Esfregão de aço inox, no mínimo 10 gramas. Embalagem com 8 unidades.</t>
  </si>
  <si>
    <t>Und</t>
  </si>
  <si>
    <t>Esponja para limpeza dupla face, produto não-tecido, à base de fibras sintéticas e mineral abrasivo unidos por resina à prova d'água. Medidas mínimas 110 mm x 75 mm x 20 mm. Embalada em plástico com no máximo em 4 unidades.</t>
  </si>
  <si>
    <t>Esponja de aço, formato retangular, aplicação limpeza geral, textura macia e isenta de Sinais de oxidação, medindo, no mínimo, 100x75. Pct c/ 8 unidades.</t>
  </si>
  <si>
    <t>Pacote 8 unidades</t>
  </si>
  <si>
    <t>LIMPADOR DE USO GERAL (multiuso), tubo com 500ml. Utilizado para limpeza de azulejos, plásticos e esmaltados, fogões e superfícies laváveis. Indicado para remover gorduras, fuligem, poeira, marcas de dedos e saltos, riscos de lápis. Aroma campestre. Sem a presença de amônia na composição. Acondicionadas em embalagens de papelão devidamente identificadas. (VEJA)</t>
  </si>
  <si>
    <t>Tubo 500 ml</t>
  </si>
  <si>
    <t>Luva plástica descartável, fabricada em Polietileno; Transparente; Atóxica e Apirogênica; Descartável e de uso único; Tamanho: único; Pacote com 100 unidades; Estéril; Espessura de 0,03 microns, sem amido.</t>
  </si>
  <si>
    <t>Caixa 100 unidades</t>
  </si>
  <si>
    <t>Pano para secagem de louças 100% algodão, duplo (tipo saco), alvejado, pré-amaciado, super resistente, com trama grossa (bem fechada), medindo mínimo 74x45cm. Nas cores: branca, amarelo, vermelho, verde, azul e roxo, conforme solicitação. Com barra dobrada e costurada nas laterais de no máximo 0,5 cm da largura.</t>
  </si>
  <si>
    <t>Unid</t>
  </si>
  <si>
    <t>Sabão em barra, glicerina, unidade 200g, embalagem c/5un</t>
  </si>
  <si>
    <t>embalagem com 5 unidades</t>
  </si>
  <si>
    <t>DETERGENTE, NOME DETERGENTE DETERGENTE EM PÓ PARA MÁQUINA DE LAVAR LOUÇA, com secador e abrilhantador, composto por silicato de sódio, tensoativos, fosfato de sódio e fragrância de limão, validade 2 anos, Pacote de 1 kg.</t>
  </si>
  <si>
    <t>embalagem 1kg</t>
  </si>
  <si>
    <t>SABÃO EM PÓ, para limpeza pesada, utilização para limpezas diversas, com a seguinte composição mínima: tensoativo, enzimas, água, tamponantes, coadjuvantes, sinergista, branqueador ótico e corante, biodegradável, na cor de coloração azulada, acondicionado em embalagem plástica com 1 kg.</t>
  </si>
  <si>
    <t>Embalagem 1 kg</t>
  </si>
  <si>
    <t>SACO BRANCO(BOLSA) PARA CHÃO, dupla, 100% de algodão, alvejada, pré-amaciado, super resistente, com trama grossa (bem fechada), medindo mínimo 74x45cm.</t>
  </si>
  <si>
    <t>SACO PLÁSTICO LIXO, 200 litros, 0,18 micras, cores conforme a solicitação, dimensões mínimas de largura 75 e altura 95, de polipropileno. Aplicação: uso doméstico. Pacote com 100 unidades.</t>
  </si>
  <si>
    <t>Pacote com 100 unidades</t>
  </si>
  <si>
    <t>SACO PLÁSTICO LIXO, 100 litros, 0,18 micras, cores conforme a solicitação, largura 75, altura 105, de polipropileno. Aplicação: uso doméstico. Pacote com 100 unidades.</t>
  </si>
  <si>
    <t>SACO PLÁSTICO LIXO, 50 litros, 12 micras, cores conforme a solicitação, largura 63, altura 80, de polipropileno. Aplicação: Uso doméstico. Pacote com 100 unidades.</t>
  </si>
  <si>
    <t>Pacote com 10 unidades</t>
  </si>
  <si>
    <t>SACO PLÁSTICO LIXO, 60 litros, 12 micras, cores conforme a solicitação, largura 63, altura 80, de polipropileno. Aplicação: Uso doméstico. Pacote com 100 unidades.</t>
  </si>
  <si>
    <t>SACO PLÁSTICO LIXO, 20 litros, 12 micras, cores conforme a solicitação, largura 63, altura 80, de polipropileno. Aplicação: Uso doméstico. Pacote com 100 unidades.</t>
  </si>
  <si>
    <t>SANITIZANTE DE ALIMENTOS, à base de dicloroisocianurato de sódio com PH neutro, para desinfecção de Hortaliças, legumes e frutas. Composição: sais orgânicos e composto doadores de cloro. Princípio Ativo: Dicloro isocianúrico. Apresentar na embalagem Autorização de funcionamento da ANVS/MS. Químico Responsável e CRQ. Embalagem 1 kg.</t>
  </si>
  <si>
    <t>PAPEL TOALHA 22X20cm, material 100% fibra celulose virgem, comprimento 22, largura 20, cor branca, características adicionais biodegradável.Embalagem com 1000 unidades</t>
  </si>
  <si>
    <t>Pacote com 1000 folhas</t>
  </si>
  <si>
    <t>Álcool etílico, tipo hidratado, teor alcoólico 70% apresentação gel, sachê (refil), mínimo 800ml, compatível com os dispensers entregues.</t>
  </si>
  <si>
    <t>Sabonete líquido bactericida, refil para saboneteira dosadora, embalagem com no mínimo 800ml, compatível com os dispensers entregues.</t>
  </si>
  <si>
    <t>Papel higiênico branco, rolo com 300m, embalagem de 8 rolos, compatível ao suporte já existente no setor.</t>
  </si>
  <si>
    <t>Detergente líquido alcalino concentrado para máquinas de lavar louças. Limpa profundamente e com eficiência, pratos, talheres, copos, bandejas e demais acessórios de cozinha. Indicado para cozinhas profissionais e industriais . Tem baixa espumação e residual, proporcionando uma eficiente limpeza com baixas diluições. Características: aspecto físico (25º) líquido límpido de cor vermelha; densidade (25º) 1,0; ph 14,0; odor característico; corrosão, pode atacar alumínio com uso constante; ponto de fulgor, não inflamável. O produto é indicado para lavagem mecânica de louças em lavadoras acoplada a diluidores automáticos de produtos. Embalagem: bombonas de 5lt. Composição: tensoativo aniônico, neutralizante, sequestrante, conservante, espessante, veículo e corante. Produto aprovado pelos órgãos reguladores nacionais</t>
  </si>
  <si>
    <t>Secante e abrilhantador de louças, indicado para máquinas de lavar louças com dosador automático. Características : aspecto físico(25º) líquido azul; densidade (25º) 1,0 a 1,02; ph 6,5 a 7,5; fragrância característica; corrosão, não corrosivo; ponto de fulgor, não inflamável. Embalagem: bombona de 5lt. Composição: tensoativos não iônicos, coadjuvantes, conservantes, hidrótopo, veículo e corante.</t>
  </si>
  <si>
    <t>Luvas descartáveis para procedimentos. Composição: Látex natural, levemente talcada com pó absorvível (amido de milho). Anatômicas. Ambidestras. Caixas dispensadora com 100 unidades cada (50 pares). Tamanhos P, M ou G, conforme solicitação mensal.</t>
  </si>
  <si>
    <t>Toucas descartáveis 100% polipropileno.</t>
  </si>
  <si>
    <t>pacote com 100 UN.</t>
  </si>
  <si>
    <t>BORRIFADOR plástico, transparente e resistente para aplicação de sanitizantes, capacidade de 500 mL com gatilho.</t>
  </si>
  <si>
    <t>Escova multiuso, oval, com encaixe para mãos. Confeccionada em material de plástico, com cerdas de nylon rígidas, para assoalho. Medidas aproximadas - 6 x 14,8 x 8,2cm (Largura x comprimento x altura). Altura aproximada das cerdas - 2,6cm. Composição – Plástico e nylon. O produto deverá ser entregue em embalagem primária (caixas de papelão), para conservar a integridade das cerdas.</t>
  </si>
  <si>
    <t>Fibra sintética para limpeza pesada, com abrasivo, contendo na composição de suas fibras, o mineral óxido de alumínio, à prova d'água. Medidas aproximadas da unidade: 26 cm (comprimento) x 10 cm (largura) x 1,4 cm (espessura).</t>
  </si>
  <si>
    <t>unidade</t>
  </si>
  <si>
    <t>Limpa Forno, com desincrustante alcalino, indicado para limpeza ultra pesada e remoção química de gordura fortemente carbonizada, sem fragrâncias, frascos de 1 litro.</t>
  </si>
  <si>
    <t>Litro</t>
  </si>
  <si>
    <t>Lixa d'água, A100, pacote c/ 50 unidades.</t>
  </si>
  <si>
    <t>Pano de microfibra para limpeza, cor lisa, ultra absorvente, mínimo 40 cm x 30 cm. Composição 100% poliéster. Fardo com 12 und</t>
  </si>
  <si>
    <t>Fardo 12 unid</t>
  </si>
  <si>
    <t>Vassoura de pelo com cerdas sintéticas com largura aproximada de 21 cm. Altura mínima das cerdas 10 cm. Cerdas em polipropileno. Cepa em plástico resistente. Cabo de madeira plastificado. Comprimento mínimo do cabo: 1,20 m. Deve apresentar resistência adequada ao uso a que se destina e facilidade na remoção de detritos e pó.</t>
  </si>
  <si>
    <t>Escova para limpeza do vaso sanitário com suporte</t>
  </si>
  <si>
    <t>Vassouras tipo escovão com cerdas curtas, rígidas e sintéticas, especial para limpeza de gordura com cabo de no mínimo 1,2m de comprimento</t>
  </si>
  <si>
    <t>Baldes para limpeza pesada, capacidade de 10 a 15 litros, com alça reforçada</t>
  </si>
  <si>
    <t>Mop úmido, material: fio de algodão de alta qualidade, tipo ponta: dobrada, aplicação limpeza, cor:branca, comprimento: 140 cm, características adicionais: cabo alumínio</t>
  </si>
  <si>
    <t>SUPORTE FIBRA C/ROSCA. Suporte com junção articulada (angular), encaixe em rosca, utilizado em pisos, paredes e diversas superfícies. Deve conter garras que prendem firmemente as Fibras Sintéticas de limpeza. Suporte para utilização de fibras abrasivas de limpeza. Cor: Azul; Comprimento: 23cm; Largura: 10cm. Marca de referência: Braslimpa.</t>
  </si>
  <si>
    <t>Rodo com duas lâminas em borracha porosa, largura aproximada de 40cm, base em plástico reforçado, com cabo de alumínio de 7/8 de diâmetro e comprimento mínimo de 1,50m, empunhadura em polipropileno. Para uso profissional. Deve apresentar resistência adequada ao uso a que se destina e facilidade na remoção de líquidos em superfícies planas ou com pequenas irregularidades.</t>
  </si>
  <si>
    <t>unid</t>
  </si>
  <si>
    <t>Rodo com duas lâminas em borracha porosa, largura aproximada de 60cm, base em plástico reforçado, com cabo de alumínio de 7/8 de diâmetro e comprimento mínimo de 1,50m, empunhadura em polipropileno. Para uso profissional. Deve apresentar resistência adequada ao uso a que se destina e facilidade na remoção de líquidos em superfícies planas ou com pequenas irregularidades.</t>
  </si>
  <si>
    <t>Flanela, em tecido 100% algodão, embainhado nas laterais, absorvente, lavável e durável, na cor amarela, medindo aproximadamente 40 x 60cm, com etiqueta costurada informando no mínimo o cnpj do fabricante e a composição do tecido, pacote com 12 unid.</t>
  </si>
  <si>
    <t>Pacote com 12 unidades</t>
  </si>
  <si>
    <t>LUVA MULTIUSO NITRÍLICA, com forro, para uso em atividades industriais em geral, limpeza de máquinas, pinturas, processamento de alimentos, manuseio de solventes, fabricação de baterias. Na cor Azul, CA 10.341.</t>
  </si>
  <si>
    <t>Par</t>
  </si>
  <si>
    <t>LUVA PARA LIMPEZA, composição: borracha de látex amarela, com revestimento interno, reforçada, Com superfície externa antiderrapante, tamanhos P, M e G, conforme solicitação.</t>
  </si>
  <si>
    <t>Pano Multiuso Branco. Pano Descartável de Limpeza, multiuso, rolo com 300 metros, sendo 600 panos de 50cm por 33cm, pré-picotados, na cor azul, gramatura: 45 g/m, composição 70 % viscose 30 % poliéster.</t>
  </si>
  <si>
    <t>Rolo com 600 Panos</t>
  </si>
  <si>
    <t>Suporte para papel toalha, dispenser de papel toalha interface 2/3 dobras, para papéis toalha do tamanho de 22x20cm</t>
  </si>
  <si>
    <t>Dispenser/ Saboneteira para sachê sabonete refil ou sachê álcool gel com capacidade para 800mL. Injetada em plástico ABS branco, visor cristal transparente, fundo e botão na cor cinza.com dispositivo para fechamento, compatível ao refil já existente no setor.</t>
  </si>
  <si>
    <t>Suporte para rolo de papel higiênico, com capacidade de mínima 300m de papel, em plástico com base e tampa em ABS branco, fechamento com chave</t>
  </si>
  <si>
    <t>Pá coletora para lixo, material plástico resistente, cabo material: aço revestido com plástico; comprimento do cabo:85cm; comprimento 20cm, largura 25 cm, modelo sem tampa</t>
  </si>
  <si>
    <t>Cabo totalmente em alumínio. Com rosca universal (para vassouras, rodos e mops) em plástico polipropileno. Com manopla e pendurador de alça em plástico polipropileno. Tamanho: 22mmx1,50m.</t>
  </si>
  <si>
    <t>Conjunto para limpeza tipo mop giratório que acompanhe: cabo telescópico em aço inox com regulagem de altura, refil em microfibra, balde em plástico com capacidade mínima de 21 litros com centrifuga</t>
  </si>
  <si>
    <t>Escada de alumínio extensível, com no mínimo 5 degraus reforçados, detalhes dos reforços em plástico ABS azul.</t>
  </si>
  <si>
    <t>Lavadora de alta pressão, pressão:1.740 LB, vazão:498 L/H, tensão:220 V, potência consumida: 2,2 KW/H, peso mínimo: 5kg, características adicionais: gatilho auto-desligável/misturador, bico triplo, com rodinhas. Tipo: monofásico.</t>
  </si>
  <si>
    <t>Mangueira com no mínimo 25m de comprimento, 20mm de diâmetro. Material: traçado em náilon, diâmetro 1/2 polegada, espessura 2mm, pressão máxima 6 bar. Acompanha 1 esguicho com jato regulável e 1 adaptador com engate rosqueado.</t>
  </si>
  <si>
    <t>Ponto Eletrônico (identificador biométrico digital)</t>
  </si>
  <si>
    <t>Bobina (ponto eletrônico)</t>
  </si>
  <si>
    <t>Cabo extensor até 3m para vassouras e rodos de alumínio, com rosca para encaixe de cabos de madeira e alumínio padrão.</t>
  </si>
  <si>
    <t>Máquina de lavar roupas, capacidade para 9kg, com ciclo tira manchas e enxágue duplo.Deve possuir 3 opções de nível de sujeira, 4 níveis de água e tecla para avançar etapas. Mínimo 8 ciclos de lavagem.</t>
  </si>
  <si>
    <t>Máquina de secar roupas, modelo suspensa/ tambor, capacidade para 10kg. Deve apresentar: programa que permite que o tempo de secagem seja selecionado para a exata quantidade de roupa; tecnologia passe fácil; ciclo desodorizador; ciclo suavizante; ciclo para roupas delicadas; led indicador de limpeza de filtro; porta com trava de segurança; porta de vidro temperado; porta de tambor.</t>
  </si>
  <si>
    <t>Cabo extensor 6 metros modelo telescópio, confeccionado em alumínio,para limpeza de lugares mais altos e de difícil acesso</t>
  </si>
  <si>
    <t>UNIFORMES E EPIs PARA ENTREGA SEMESTRAL {quantidade total semestral}</t>
  </si>
  <si>
    <t>Sapato de segurança, material couro sintético, solado de borracha antiderrapante, cor branca</t>
  </si>
  <si>
    <t>par</t>
  </si>
  <si>
    <t>Sapato de segurança. Sapato de EVA com solado antiderrapante. Cor branca. Cabedal confeccionado em EVA (Etil Vinil Acetato), fechado na parte superior e no calcanhar. Com bactericida, evita odor nos pés. Impermeável, facilmente lavável. Hidrorepelente. Resistente a óleo. Durável e resistente. Considerado EPI (equipamento de proteção individual), aprovado pelo Ministério do Trabalho. Atende NR-32. Número compatível ao funcionário que estará utilizando. Marca de referência: Soft Works.</t>
  </si>
  <si>
    <t>Pares de bota de borracha, pvc, forrada, cano médio, cor branca, em número compatível ao funcionário que estará utilizando</t>
  </si>
  <si>
    <t>Calças em Oxford brancas, (100% poliéster), unissex, com elástico na cintura, sem bolsos, tamanhos: P, M, G, GG (compatível ao funcionário que estiver usando), medidas mínimas de 80cm de cintura e 1,2m de comprimento.</t>
  </si>
  <si>
    <t>Jaleco em Oxford, na cor branca, (100% poliéster), unissex, médio (acima do joelho), manga curta, sem bolsos, gola em "V", tamanhos: P, M, G, GG (compatível ao funcionário que estiver usando), com proteção para os botões e faixa traseira reforçada.</t>
  </si>
  <si>
    <t>Camisetas de algodão de cor branca, com a logomarca da empresa</t>
  </si>
  <si>
    <t>Aventais 100 % napa (PVC), cor branca, impermeáveis, tipo para açougueiro, compridos, resistentes, na altura dos pés do funcionário que estará utilizando</t>
  </si>
  <si>
    <t>Luvas de segurança para agentes térmicos, temperaturas altas, fornos industrial, temperaturas até 250º, forrada, com forração destacável, com uma camada em não tecido de fibra de poliéster e uma camada de tecido de algodão com tratamento impermeabilizante em silicone. O tecido externo deve ser composto de 93% meta-aramida, 5% para-aramida e 2% fibra antiestática, com alta resistência à abrasão e baixa condutividade térmica, que oferece proteção contra calor e chamas. 100% lavável. Modelo 5 dedos, comprimento da luva 45 cm, cor azul, impermeável, certificado de aprovação: 28689.</t>
  </si>
  <si>
    <t>Japona térmica impermeável, confeccionadas em nylon, com capuz, forrado com manta térmica de 150 grm², punho sanfonado nas mangas, fechamento com velcro e botões de pressão metálicos, para uso em temperatura até -25°, tamanho G, na cor azul - (Uso câmara fria)</t>
  </si>
  <si>
    <t>Luva de segurança em PVC para baixa temperatura. Conforto térmico para atividades até -30°C. Punho elástico para perfeito ajuste às mãos. Ideal para ambientes com pouca iluminação. Possui três camadas de cloreto de polivinila reforçada (PVC) e conta com palma antiderrapante, para maior aderência em atividades com umidade. É ideal para proteção com temperaturas de até -30ºC. Seu interior possui forro em algodão felpudo, que oferece total conforto ao usuário. COR LARANJA. Marca de referência: Danny.</t>
  </si>
  <si>
    <t>Luvas de segurança com proteção para as mãos contra agentes cortantes e perfurantes, confeccionada com elos de aço e fechamento através de correia em polipropileno antibacteriana. Inteiramente feita com elos de aço inox, para uso profissional, aprovada pelo Ministério do Trabalho.</t>
  </si>
  <si>
    <t>Caixa Mangotes (manga) de segurança impermeável, tipo descartável, com 0,50 m de comprimento, acabamento com elástico nas duas extremidades, 100 unidades</t>
  </si>
  <si>
    <t>Caixa</t>
  </si>
  <si>
    <t>UNIFORMES {quantidade total para 30 meses}</t>
  </si>
  <si>
    <t>Legenda: UND = unidade de medida; SA = Campus Santo Augusto; SVS = Campus São Vicente do Sul; SB = Campus São Borja.</t>
  </si>
  <si>
    <t>Periodicidade de entrega por Campus, em meses</t>
  </si>
  <si>
    <t>SB</t>
  </si>
  <si>
    <t>Calça, brim 100% algodão, uso profissional operacional, cintura média, 3 bolsos (2 na frente e 1 atrás), ajustável, costura reforçada.</t>
  </si>
  <si>
    <t>Jaqueta , tecido tipo nylon, 2 bolsos frontais e 1 bolso interno, fecho em ziper, uso profissional operacional, forrada.</t>
  </si>
  <si>
    <t>Blusão, tecido misto com elastano, gola redonda, manga comprida.</t>
  </si>
  <si>
    <t>Camiseta manga curta, tecido misto, uso profissional operacional.</t>
  </si>
  <si>
    <t>Camiseta manga longa, tecido misto, uso profissional operacional.</t>
  </si>
  <si>
    <t>Boné, fecho ajustável em cobre, uso profissional operacional.</t>
  </si>
  <si>
    <t>Boné com pala de proteção para nuca, uso profissional operacional.</t>
  </si>
  <si>
    <t>Botina em couro, com elástico e biqueira de aço.</t>
  </si>
  <si>
    <t>Meia de algodão</t>
  </si>
  <si>
    <t>Bota de PVC, cano longo, cor preta ou azul.</t>
  </si>
  <si>
    <t>Protetor Auditivo de Segurança, tipo plug, com 3 flanges e cordão, material de silicone, para atenuação de no mínimo 16dB</t>
  </si>
  <si>
    <t>Protetor Auditivo de Segurança, tipo concha, em espuma, vinil e pvc.</t>
  </si>
  <si>
    <t>Óculos de proteção em Policarbonato, lente escura, armação em nylon  resistente e flexível</t>
  </si>
  <si>
    <t>Perneira caneleira de proteção, três talas de pvc, fechamento em velcro.</t>
  </si>
  <si>
    <t>Luva raspa, costura reforçada e resistente</t>
  </si>
  <si>
    <t>Luva anticorte e tatil, confeccionada em material sintético, alta durabilidade, uso profissional operacional.</t>
  </si>
  <si>
    <t>Avental para roçadeira, raspa de couro, ajustável, uso profissional operacional.</t>
  </si>
  <si>
    <t>Protetor facial de tela, com coroa e carneira em material plástico, com regulagem de tamanho, uso profissional operacional.</t>
  </si>
  <si>
    <t>Protetor solar 120ml/120g, com no mínimo fps 60</t>
  </si>
  <si>
    <t>Capacete de segurança com jugular, uso profissional operacional.</t>
  </si>
  <si>
    <t>Soprador gasolina (forte): 3HP (mínimo), gasolina/óleo 2 tempos, 63 cc (mínimo), acompanha soquete, dosador de combustível, cinto e braçadeiras.</t>
  </si>
  <si>
    <t>Máquina cortar grama gasolina, 6HP (mínimo) sem sistema de recolhimento.</t>
  </si>
  <si>
    <t>Roçadeira à gasolina, no mínimo 62 cc, 2 tempos, acompanha cortador de nylon, lâmina de 3 pontas, protetor de grama, galão medidor. USO LATERAL</t>
  </si>
  <si>
    <t>Conjunto de tesouras para poda, 3 peças, 1 tesoura para grama e cerca - 56 cm, 1 tesoura para poda 50 cm e 1 tesoura para jardim 19 cm,</t>
  </si>
  <si>
    <t>Conjunto</t>
  </si>
  <si>
    <t>Podadeira de altura à gasolina, no mínimo 43 cc, 2 tempos, acompanha utensílios e ferramentas.</t>
  </si>
  <si>
    <t>Facão de mão para mato, lâmina de 22", aço, punho em plástico, acompanha estojo.</t>
  </si>
  <si>
    <t>Carrinho de mão, caçamba aço 26, capacidade 45 litros, pneu com câmera 3,25x8mm.</t>
  </si>
  <si>
    <t>Rastel de aço para grama, 18 arames, cabo madeira.</t>
  </si>
  <si>
    <t>Conjunto de jardinagem 3 peças: 1 pazinha larga, 1 pazinha estreita e 1 ancinho 3 dentes, cabo madeira, lâmina aço.</t>
  </si>
  <si>
    <t>Pá de bico, cabo de madeira 120 cm, lâmina aço.</t>
  </si>
  <si>
    <t>Regador, capacidade de 10 litros, polipropileno.</t>
  </si>
  <si>
    <t>Ancinho reforçado, curvo, 12 dentes, cabo de madeira, lâmina aço.</t>
  </si>
  <si>
    <t>Enxada 2,5 LB, cabo de madeira, lâmina em aço.</t>
  </si>
  <si>
    <t>Sacho duas pontas, cabo de madeira de 60 cm, lâmina aço.</t>
  </si>
  <si>
    <t>Nº do processo:</t>
  </si>
  <si>
    <t>Licitação nº:</t>
  </si>
  <si>
    <t>DISCRIMINAÇÃO DOS SERVIÇOS (DADOS REFERENTES À CONTRATAÇÃO)</t>
  </si>
  <si>
    <t>A</t>
  </si>
  <si>
    <t>Data de apresentação da proposta (dia/mês/ano)</t>
  </si>
  <si>
    <t>B</t>
  </si>
  <si>
    <t>Município/UF</t>
  </si>
  <si>
    <t>C</t>
  </si>
  <si>
    <t>Ano do Acordo, Convenção ou Dissídio coletivo</t>
  </si>
  <si>
    <t>D</t>
  </si>
  <si>
    <t>Número de meses de execução contratual</t>
  </si>
  <si>
    <t>IDENTIFICAÇÃO DO SERVIÇO</t>
  </si>
  <si>
    <t>Unidade
 de 
Medida</t>
  </si>
  <si>
    <t xml:space="preserve">Quantidade total a contratar (Em função da unidade de medida) </t>
  </si>
  <si>
    <t>12 x 36 horas diurnas - de segunda-feira à sexta-feira</t>
  </si>
  <si>
    <t>posto</t>
  </si>
  <si>
    <t>-</t>
  </si>
  <si>
    <t>12  x 36 horas diurnas - de segunda-feira a domingo</t>
  </si>
  <si>
    <t>12 x 36 horas noturnas - de segunda-feira à sexta-feira</t>
  </si>
  <si>
    <t>44 horas semanais diurnas -  de segunda à sexta-feira</t>
  </si>
  <si>
    <r>
      <rPr>
        <b/>
        <sz val="11"/>
        <color rgb="FF00B0F0"/>
        <rFont val="Arial"/>
      </rPr>
      <t xml:space="preserve">Outros (especificar) </t>
    </r>
    <r>
      <rPr>
        <b/>
        <sz val="11"/>
        <color rgb="FF00B0F0"/>
        <rFont val="Arial"/>
      </rPr>
      <t>(excluir as linhas não utilizadas)</t>
    </r>
  </si>
  <si>
    <t>TOTAL DE POSTOS</t>
  </si>
  <si>
    <t>Nota 1: Esta tabela poderá ser adaptada às características do serviço contratado, inclusive no que concerne às rubricas e suas respectivas provisões e/ou estimativas, desde que haja justificativa.
Nota 2: As provisões constantes desta planilha poderão  ser desnecessárias quando se tratar de determinados serviços que prescindam da dedicação exclusiva dos trabalhadores da contratada para com a Administração.</t>
  </si>
  <si>
    <r>
      <rPr>
        <b/>
        <sz val="11"/>
        <color theme="1"/>
        <rFont val="Arial"/>
      </rPr>
      <t xml:space="preserve">1. MÓDULOS .
</t>
    </r>
    <r>
      <rPr>
        <b/>
        <sz val="11"/>
        <color rgb="FF000000"/>
        <rFont val="Arial"/>
      </rPr>
      <t xml:space="preserve">Mão de obra
</t>
    </r>
    <r>
      <rPr>
        <b/>
        <sz val="11"/>
        <color rgb="FF000000"/>
        <rFont val="Arial"/>
      </rPr>
      <t>Mão de obra vinculada à execução contratual</t>
    </r>
  </si>
  <si>
    <t>Dados para composição dos custos referente à mão de obra</t>
  </si>
  <si>
    <t>Tipo de serviço (mesmo serviço com características distintas)</t>
  </si>
  <si>
    <t>Classificação Brasileira de Ocupações (CBO)</t>
  </si>
  <si>
    <t xml:space="preserve">Salário Normativo da Categoria Profissional </t>
  </si>
  <si>
    <t>JORNADA
CONTRATADA</t>
  </si>
  <si>
    <t xml:space="preserve">Categoria Profissional (vinculada à execução contratual) </t>
  </si>
  <si>
    <t xml:space="preserve">Data-Base da Categoria (dia/mês/ano) </t>
  </si>
  <si>
    <r>
      <rPr>
        <b/>
        <sz val="11"/>
        <color rgb="FFFF0000"/>
        <rFont val="Arial"/>
      </rPr>
      <t xml:space="preserve">Valor do salário x hora SEM adicionais 
</t>
    </r>
    <r>
      <rPr>
        <b/>
        <sz val="11"/>
        <color rgb="FF0000FF"/>
        <rFont val="Arial"/>
      </rPr>
      <t>VSH (s/peri) =</t>
    </r>
    <r>
      <rPr>
        <b/>
        <sz val="11"/>
        <color rgb="FFFF0000"/>
        <rFont val="Arial"/>
      </rPr>
      <t xml:space="preserve"> </t>
    </r>
    <r>
      <rPr>
        <b/>
        <sz val="11"/>
        <color rgb="FF0000FF"/>
        <rFont val="Arial"/>
      </rPr>
      <t>(Valor do salário normativo / 220 h)</t>
    </r>
  </si>
  <si>
    <r>
      <rPr>
        <b/>
        <sz val="11"/>
        <color rgb="FFFF0000"/>
        <rFont val="Arial"/>
      </rPr>
      <t>Vlr do salário ×</t>
    </r>
    <r>
      <rPr>
        <b/>
        <sz val="11"/>
        <color rgb="FF000000"/>
        <rFont val="Arial"/>
      </rPr>
      <t xml:space="preserve"> HORA </t>
    </r>
    <r>
      <rPr>
        <b/>
        <sz val="11"/>
        <color rgb="FFFF0000"/>
        <rFont val="Arial"/>
      </rPr>
      <t xml:space="preserve">com  Adicionais pertinentes 
</t>
    </r>
    <r>
      <rPr>
        <b/>
        <sz val="11"/>
        <color rgb="FF0000FF"/>
        <rFont val="Arial"/>
      </rPr>
      <t>VSH (c/peri) =</t>
    </r>
    <r>
      <rPr>
        <b/>
        <sz val="11"/>
        <color rgb="FFFF0000"/>
        <rFont val="Arial"/>
      </rPr>
      <t xml:space="preserve"> </t>
    </r>
    <r>
      <rPr>
        <b/>
        <sz val="11"/>
        <color rgb="FF0000FF"/>
        <rFont val="Arial"/>
      </rPr>
      <t>(valor da hora + 30% de peri) ou 20% insalub)  e adicional de funcao</t>
    </r>
  </si>
  <si>
    <r>
      <rPr>
        <b/>
        <sz val="11"/>
        <color rgb="FFFF0000"/>
        <rFont val="Arial"/>
      </rPr>
      <t xml:space="preserve">Valor da hora EXTRA sem adicionais pertinentes -  50% 
</t>
    </r>
    <r>
      <rPr>
        <b/>
        <sz val="11"/>
        <color rgb="FF0000FF"/>
        <rFont val="Arial"/>
      </rPr>
      <t>HE (c/peri) = (valor da hora + 50% de peri)</t>
    </r>
  </si>
  <si>
    <r>
      <rPr>
        <b/>
        <sz val="11"/>
        <color rgb="FFFF0000"/>
        <rFont val="Arial"/>
      </rPr>
      <t xml:space="preserve">Valor da </t>
    </r>
    <r>
      <rPr>
        <b/>
        <sz val="11"/>
        <color rgb="FF000000"/>
        <rFont val="Arial"/>
      </rPr>
      <t>hora EXTRA 50%</t>
    </r>
    <r>
      <rPr>
        <b/>
        <sz val="11"/>
        <color rgb="FFFF0000"/>
        <rFont val="Arial"/>
      </rPr>
      <t xml:space="preserve"> - com Adicionais
</t>
    </r>
    <r>
      <rPr>
        <b/>
        <sz val="11"/>
        <color rgb="FF0000FF"/>
        <rFont val="Arial"/>
      </rPr>
      <t>HE (c/peri) = (valor da hora + 30% de peri) + 50%</t>
    </r>
  </si>
  <si>
    <t>Adicionais Previstos
Modulo - 1</t>
  </si>
  <si>
    <r>
      <rPr>
        <b/>
        <sz val="11"/>
        <color rgb="FFFF0000"/>
        <rFont val="Arial"/>
      </rPr>
      <t xml:space="preserve">Valor da </t>
    </r>
    <r>
      <rPr>
        <b/>
        <sz val="11"/>
        <color rgb="FF000000"/>
        <rFont val="Arial"/>
      </rPr>
      <t>hora NOTURNA</t>
    </r>
    <r>
      <rPr>
        <b/>
        <sz val="11"/>
        <color rgb="FFFF0000"/>
        <rFont val="Arial"/>
      </rPr>
      <t xml:space="preserve">  com adicionais pertinentes 
</t>
    </r>
    <r>
      <rPr>
        <b/>
        <sz val="11"/>
        <color rgb="FF0000FF"/>
        <rFont val="Arial"/>
      </rPr>
      <t>AN (c/peri) =</t>
    </r>
    <r>
      <rPr>
        <b/>
        <sz val="11"/>
        <color rgb="FFFF0000"/>
        <rFont val="Arial"/>
      </rPr>
      <t xml:space="preserve"> </t>
    </r>
    <r>
      <rPr>
        <b/>
        <sz val="11"/>
        <color rgb="FF0000FF"/>
        <rFont val="Arial"/>
      </rPr>
      <t>(valor da hora + 30% de peri QUANDO CABIVEL) x 20%</t>
    </r>
  </si>
  <si>
    <r>
      <rPr>
        <b/>
        <sz val="11"/>
        <color rgb="FFFF0000"/>
        <rFont val="Arial"/>
      </rPr>
      <t xml:space="preserve">Valor da hora EXTRA A 100% COM ADICIONAIS PERTINENTES 
</t>
    </r>
    <r>
      <rPr>
        <b/>
        <sz val="11"/>
        <color rgb="FF0000FF"/>
        <rFont val="Arial"/>
      </rPr>
      <t>VHP =</t>
    </r>
    <r>
      <rPr>
        <b/>
        <sz val="11"/>
        <color rgb="FFFF0000"/>
        <rFont val="Arial"/>
      </rPr>
      <t xml:space="preserve">  </t>
    </r>
    <r>
      <rPr>
        <b/>
        <sz val="11"/>
        <color rgb="FF0000FF"/>
        <rFont val="Arial"/>
      </rPr>
      <t>(30% do valor da hora sem peri)</t>
    </r>
  </si>
  <si>
    <r>
      <rPr>
        <b/>
        <sz val="11"/>
        <color rgb="FFFF0000"/>
        <rFont val="Arial"/>
      </rPr>
      <t xml:space="preserve">Valor do adicional de periculosidade              </t>
    </r>
    <r>
      <rPr>
        <b/>
        <sz val="11"/>
        <color rgb="FFFF0000"/>
        <rFont val="Arial"/>
      </rPr>
      <t xml:space="preserve">  </t>
    </r>
    <r>
      <rPr>
        <b/>
        <sz val="11"/>
        <color rgb="FF0000FF"/>
        <rFont val="Arial"/>
      </rPr>
      <t>(30% do salário normativo)</t>
    </r>
  </si>
  <si>
    <t>Adicional de troca de uniforme com periculosidade</t>
  </si>
  <si>
    <t>Quantidade de pessoas por posto de serviço</t>
  </si>
  <si>
    <t>VALOR SALARIO MÍNIMO NACIONAL</t>
  </si>
  <si>
    <t>Nota 1:  Deverá ser elaborado um quadro para cada tipo de serviço.
Nota 2: A planilha será calculada considerando o valor mensal do empregado</t>
  </si>
  <si>
    <t>Módulo 1: Composição da Remuneração (por Posto)</t>
  </si>
  <si>
    <t>Composição da Remuneração (por Posto)</t>
  </si>
  <si>
    <t>Percentual (%)</t>
  </si>
  <si>
    <t xml:space="preserve">Valor 
(R$) </t>
  </si>
  <si>
    <t>Salário-Base</t>
  </si>
  <si>
    <r>
      <rPr>
        <b/>
        <sz val="11"/>
        <color theme="1"/>
        <rFont val="Arial"/>
      </rPr>
      <t xml:space="preserve">Adicional de função </t>
    </r>
    <r>
      <rPr>
        <b/>
        <sz val="11"/>
        <color rgb="FFFF0000"/>
        <rFont val="Arial"/>
      </rPr>
      <t>- Cálculo do valor: ("% do adicional' * "salário mínimo")</t>
    </r>
  </si>
  <si>
    <r>
      <rPr>
        <b/>
        <sz val="11"/>
        <color theme="1"/>
        <rFont val="Arial"/>
      </rPr>
      <t>Adicional de Periculosidade</t>
    </r>
    <r>
      <rPr>
        <b/>
        <sz val="11"/>
        <color rgb="FFFF0000"/>
        <rFont val="Arial"/>
      </rPr>
      <t xml:space="preserve"> (Lei nº 12.740/2012)    (30% do Salário-Base) </t>
    </r>
    <r>
      <rPr>
        <b/>
        <sz val="11"/>
        <color theme="1"/>
        <rFont val="Arial"/>
      </rPr>
      <t xml:space="preserve">
(cláusula 29 da CCT 2021/2023)</t>
    </r>
  </si>
  <si>
    <r>
      <rPr>
        <b/>
        <sz val="11"/>
        <color theme="1"/>
        <rFont val="Arial"/>
      </rPr>
      <t>Adicional de Insalubridade</t>
    </r>
    <r>
      <rPr>
        <b/>
        <sz val="11"/>
        <color rgb="FFFF0000"/>
        <rFont val="Arial"/>
      </rPr>
      <t xml:space="preserve"> </t>
    </r>
  </si>
  <si>
    <t>E</t>
  </si>
  <si>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</si>
  <si>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t>QUANT. hs NOTURNAS</t>
  </si>
  <si>
    <t>Vlr da Hora
NOTURNA</t>
  </si>
  <si>
    <t>F</t>
  </si>
  <si>
    <r>
      <rPr>
        <b/>
        <sz val="11"/>
        <color rgb="FF000000"/>
        <rFont val="Arial"/>
      </rPr>
      <t>Adicional de Hora Noturna Reduzida</t>
    </r>
    <r>
      <rPr>
        <b/>
        <sz val="11"/>
        <color rgb="FFFF0000"/>
        <rFont val="Arial"/>
      </rPr>
      <t xml:space="preserve"> (Hora Reduzida Noturna como Extra) </t>
    </r>
    <r>
      <rPr>
        <b/>
        <sz val="11"/>
        <color rgb="FF0000FF"/>
        <rFont val="Arial"/>
      </rPr>
      <t xml:space="preserve">(HRN que excedeu de 190,67h) </t>
    </r>
    <r>
      <rPr>
        <b/>
        <sz val="11"/>
        <color rgb="FFFF0000"/>
        <rFont val="Arial"/>
      </rPr>
      <t xml:space="preserve">Cálculo do valor: HE (c/peri) x 4,33 h x 2 vig.)   [195h (=180h + 15h) - 190,67 = 4,33h como horas extras, sendo  15 = 15 x (7hx1,1428571 – 7h) </t>
    </r>
    <r>
      <rPr>
        <b/>
        <sz val="11"/>
        <color rgb="FF0000FF"/>
        <rFont val="Arial"/>
      </rPr>
      <t>Das 22h às 5h</t>
    </r>
    <r>
      <rPr>
        <b/>
        <sz val="11"/>
        <color rgb="FF000000"/>
        <rFont val="Arial"/>
      </rPr>
      <t xml:space="preserve"> (cláusula 28 da CCT 2021/2023)</t>
    </r>
  </si>
  <si>
    <t>G</t>
  </si>
  <si>
    <r>
      <rPr>
        <b/>
        <sz val="11"/>
        <color rgb="FF000000"/>
        <rFont val="Arial"/>
      </rPr>
      <t xml:space="preserve">Adicional para Troca de Uniforme -  Cálculo do valor: 1/6 do salário-hora por dia = </t>
    </r>
    <r>
      <rPr>
        <b/>
        <sz val="11"/>
        <color rgb="FFFF0000"/>
        <rFont val="Arial"/>
      </rPr>
      <t xml:space="preserve">(VSH/6=1,34)x1,3x 2x15 </t>
    </r>
    <r>
      <rPr>
        <b/>
        <sz val="11"/>
        <color rgb="FF000000"/>
        <rFont val="Arial"/>
      </rPr>
      <t xml:space="preserve"> (cláusulas 16 e 31, §7º, da CCT 2021/2023)</t>
    </r>
  </si>
  <si>
    <t>H</t>
  </si>
  <si>
    <r>
      <rPr>
        <b/>
        <sz val="11"/>
        <color theme="1"/>
        <rFont val="Arial"/>
      </rPr>
      <t>Hrs extras A 50%</t>
    </r>
    <r>
      <rPr>
        <b/>
        <sz val="11"/>
        <color rgb="FF00B050"/>
        <rFont val="Arial"/>
      </rPr>
      <t>(INFORMAR realizadas)</t>
    </r>
  </si>
  <si>
    <t>QUANT. hs 50%</t>
  </si>
  <si>
    <t>Vlr da Hora 50%</t>
  </si>
  <si>
    <t>I</t>
  </si>
  <si>
    <r>
      <rPr>
        <b/>
        <sz val="11"/>
        <color theme="1"/>
        <rFont val="Arial"/>
      </rPr>
      <t>Hrs extras A 100%</t>
    </r>
    <r>
      <rPr>
        <b/>
        <sz val="11"/>
        <color rgb="FF00B050"/>
        <rFont val="Arial"/>
      </rPr>
      <t xml:space="preserve"> (INFORMAR realizadas)</t>
    </r>
  </si>
  <si>
    <t>QUANT. hs 100%</t>
  </si>
  <si>
    <t xml:space="preserve">Vlr da Hora 100% </t>
  </si>
  <si>
    <t>J</t>
  </si>
  <si>
    <r>
      <rPr>
        <b/>
        <sz val="11"/>
        <color theme="1"/>
        <rFont val="Arial"/>
      </rPr>
      <t xml:space="preserve">RSR (Repouso Semanal Remunerado) - </t>
    </r>
    <r>
      <rPr>
        <b/>
        <sz val="11"/>
        <color rgb="FFFF0000"/>
        <rFont val="Arial"/>
      </rPr>
      <t>Cálculo do valor: 20% sobre os adicionais pertinentes) -</t>
    </r>
    <r>
      <rPr>
        <b/>
        <sz val="11"/>
        <color theme="1"/>
        <rFont val="Arial"/>
      </rPr>
      <t xml:space="preserve"> </t>
    </r>
  </si>
  <si>
    <t>K</t>
  </si>
  <si>
    <t xml:space="preserve">Outros (especificar)                      </t>
  </si>
  <si>
    <t xml:space="preserve">Remuneração 1 = Total da Remuneração de verbas de natureza salarial nas quais incidem INSS + FGTS + Férias + 13º, etc.  </t>
  </si>
  <si>
    <r>
      <rPr>
        <b/>
        <sz val="11"/>
        <color theme="1"/>
        <rFont val="Arial"/>
      </rPr>
      <t xml:space="preserve">Intervalo Intrajornada </t>
    </r>
    <r>
      <rPr>
        <b/>
        <sz val="11"/>
        <color rgb="FFFF0000"/>
        <rFont val="Arial"/>
      </rPr>
      <t>(Adicional de Intervalo)  Cálculo do valor: HE (s/peri) x 15d x2vigx</t>
    </r>
    <r>
      <rPr>
        <b/>
        <sz val="11"/>
        <color rgb="FF0000FF"/>
        <rFont val="Arial"/>
      </rPr>
      <t>0,5h</t>
    </r>
    <r>
      <rPr>
        <b/>
        <sz val="11"/>
        <color rgb="FFFF0000"/>
        <rFont val="Arial"/>
      </rPr>
      <t>) - (</t>
    </r>
    <r>
      <rPr>
        <b/>
        <sz val="11"/>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</si>
  <si>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</si>
  <si>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1"/>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</si>
  <si>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t>Nota1:  O Módulo 1 refere-se ao valor mensal devido ao empregado pela prestação do serviço no período de 12 meses.</t>
  </si>
  <si>
    <t>Módulo 2 : Encargos e Benefícios Anuais, Mensais e Diários</t>
  </si>
  <si>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</si>
  <si>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t>2.1</t>
  </si>
  <si>
    <r>
      <rPr>
        <b/>
        <sz val="11"/>
        <color rgb="FF000000"/>
        <rFont val="Arial"/>
      </rPr>
      <t xml:space="preserve">13º (décimo terceiro) Salário </t>
    </r>
    <r>
      <rPr>
        <b/>
        <strike/>
        <sz val="11"/>
        <color rgb="FF993366"/>
        <rFont val="Arial"/>
      </rPr>
      <t>(Férias???)</t>
    </r>
    <r>
      <rPr>
        <b/>
        <strike/>
        <sz val="11"/>
        <color rgb="FF000000"/>
        <rFont val="Arial"/>
      </rPr>
      <t xml:space="preserve"> </t>
    </r>
    <r>
      <rPr>
        <b/>
        <sz val="11"/>
        <color rgb="FF000000"/>
        <rFont val="Arial"/>
      </rPr>
      <t>e Adicional de Férias</t>
    </r>
  </si>
  <si>
    <t>Valor (R$)</t>
  </si>
  <si>
    <r>
      <rPr>
        <b/>
        <sz val="11"/>
        <color rgb="FF000000"/>
        <rFont val="Arial"/>
      </rPr>
      <t>13º (décimo terceiro) Salário</t>
    </r>
    <r>
      <rPr>
        <b/>
        <sz val="11"/>
        <color rgb="FF000000"/>
        <rFont val="Arial"/>
      </rPr>
      <t xml:space="preserve"> </t>
    </r>
    <r>
      <rPr>
        <b/>
        <sz val="11"/>
        <color rgb="FFFF0000"/>
        <rFont val="Arial"/>
      </rPr>
      <t>Obrigatória a cotação de 8,33% sobre o valor do Módulo 1 – Composição da Remuneração1, conforme Anexo XII da IN 5/17</t>
    </r>
  </si>
  <si>
    <r>
      <rPr>
        <b/>
        <strike/>
        <sz val="11"/>
        <color rgb="FFFF0000"/>
        <rFont val="Arial"/>
      </rPr>
      <t>(Férias e ???)</t>
    </r>
    <r>
      <rPr>
        <b/>
        <sz val="11"/>
        <color rgb="FF808000"/>
        <rFont val="Arial"/>
      </rPr>
      <t xml:space="preserve"> </t>
    </r>
    <r>
      <rPr>
        <b/>
        <sz val="11"/>
        <color rgb="FF000000"/>
        <rFont val="Arial"/>
      </rPr>
      <t>Adicional de Férias</t>
    </r>
    <r>
      <rPr>
        <b/>
        <sz val="11"/>
        <color rgb="FF808000"/>
        <rFont val="Arial"/>
      </rPr>
      <t xml:space="preserve"> </t>
    </r>
    <r>
      <rPr>
        <b/>
        <sz val="11"/>
        <color rgb="FFFF0000"/>
        <rFont val="Arial"/>
      </rPr>
      <t xml:space="preserve">Obrigatória a cotação de 3,025% sobre o valor do Módulo 1 – Composição da Remuneração1. </t>
    </r>
    <r>
      <rPr>
        <b/>
        <sz val="11"/>
        <color rgb="FF0000FF"/>
        <rFont val="Arial"/>
      </rPr>
      <t xml:space="preserve"> É vedada a cotação de Férias neste Submódulo, </t>
    </r>
    <r>
      <rPr>
        <b/>
        <sz val="11"/>
        <color rgb="FF00B050"/>
        <rFont val="Arial"/>
      </rPr>
      <t>em face de tratar-se de Conta Vinculada</t>
    </r>
    <r>
      <rPr>
        <b/>
        <sz val="11"/>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</si>
  <si>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t>Total</t>
  </si>
  <si>
    <r>
      <rPr>
        <sz val="11"/>
        <color rgb="FF000000"/>
        <rFont val="Arial"/>
      </rPr>
      <t xml:space="preserve">Nota 1:  Como a planilha de custos e formação de preços é calculada mensalmente, provisiona-se proporcionalmente 1/12 (um doze avos) dos valores referentes à gratificação natalina, </t>
    </r>
    <r>
      <rPr>
        <sz val="11"/>
        <color rgb="FF000000"/>
        <rFont val="Arial"/>
      </rPr>
      <t>férias</t>
    </r>
    <r>
      <rPr>
        <sz val="11"/>
        <color rgb="FF000000"/>
        <rFont val="Arial"/>
      </rPr>
      <t xml:space="preserve"> e adicional de férias.
Nota 2:  O adicional de férias contido no Submódulo 2.1 corresponde a 1/3 (um terço) da remuneração que por sua vez é dividido por 12 (doze) conforme Nota 1 acima.
</t>
    </r>
    <r>
      <rPr>
        <b/>
        <strike/>
        <sz val="11"/>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11"/>
        <color rgb="FF000000"/>
        <rFont val="Arial"/>
      </rPr>
      <t xml:space="preserve"> </t>
    </r>
    <r>
      <rPr>
        <b/>
        <strike/>
        <sz val="11"/>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</si>
  <si>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</si>
  <si>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t>2.2</t>
  </si>
  <si>
    <t>GPS, FGTS e outras contribuições</t>
  </si>
  <si>
    <t>Valor
 (R$)</t>
  </si>
  <si>
    <t xml:space="preserve">INSS                                                                                                </t>
  </si>
  <si>
    <t xml:space="preserve">Salário Educação                                                                                            </t>
  </si>
  <si>
    <r>
      <rPr>
        <b/>
        <sz val="11"/>
        <color theme="1"/>
        <rFont val="Arial"/>
      </rPr>
      <t xml:space="preserve">RAT x FAP  </t>
    </r>
    <r>
      <rPr>
        <b/>
        <sz val="11"/>
        <color rgb="FF0000FF"/>
        <rFont val="Arial"/>
      </rPr>
      <t xml:space="preserve"> 
</t>
    </r>
    <r>
      <rPr>
        <b/>
        <sz val="11"/>
        <color rgb="FFFF0000"/>
        <rFont val="Arial"/>
      </rPr>
      <t>Cálculo do valor: % do RAT x FAP (Fator Acidentário de Prevenção de cada empresa)</t>
    </r>
  </si>
  <si>
    <t>RAT =</t>
  </si>
  <si>
    <t xml:space="preserve"> FAP =</t>
  </si>
  <si>
    <t xml:space="preserve">SESC ou SESI                                                                                                 </t>
  </si>
  <si>
    <t xml:space="preserve">SENAC ou SENAI                                                                                           </t>
  </si>
  <si>
    <t xml:space="preserve">SEBRAE                                                                                                              </t>
  </si>
  <si>
    <t xml:space="preserve">INCRA                                                                                                                  </t>
  </si>
  <si>
    <t xml:space="preserve">FGTS                                                                                                                 </t>
  </si>
  <si>
    <t>Nota 1: Os percentuais dos encargos previdenciários, do FGTS e demais contribuições são aqueles estabelecidos pela legislação vigente.
Nota 2: O SAT a depender do grau de risco do serviço irá variar entre 1%, para risco leve, de 2% para risco médio, e de 3% para risco grave.
Nota 3: Esses percentuais incidem sobre o Módulo 1, o Submódulo 2.1.</t>
  </si>
  <si>
    <t>Submódulo 2.3 – Benefícios Mensais e Diários</t>
  </si>
  <si>
    <t>2.3</t>
  </si>
  <si>
    <t>Benefícios Mensais e Diários</t>
  </si>
  <si>
    <r>
      <rPr>
        <b/>
        <sz val="11"/>
        <color theme="1"/>
        <rFont val="Arial"/>
      </rPr>
      <t xml:space="preserve">Transporte  </t>
    </r>
    <r>
      <rPr>
        <b/>
        <sz val="11"/>
        <color rgb="FFFF0000"/>
        <rFont val="Arial"/>
      </rPr>
      <t>Cálculo do valor: [(n passag dia × vlr VT × n dias mês ) – (6%xSB)]</t>
    </r>
  </si>
  <si>
    <r>
      <rPr>
        <b/>
        <sz val="11"/>
        <color theme="1"/>
        <rFont val="Arial"/>
      </rPr>
      <t xml:space="preserve">     </t>
    </r>
    <r>
      <rPr>
        <b/>
        <sz val="11"/>
        <color rgb="FFFF0000"/>
        <rFont val="Arial"/>
      </rPr>
      <t>A.1)  Valor da passagem do transporte coletivo no município de
                prestação dos serviços</t>
    </r>
    <r>
      <rPr>
        <b/>
        <sz val="11"/>
        <color theme="1"/>
        <rFont val="Arial"/>
      </rPr>
      <t xml:space="preserve"> </t>
    </r>
  </si>
  <si>
    <r>
      <rPr>
        <b/>
        <sz val="11"/>
        <color theme="1"/>
        <rFont val="Arial"/>
      </rPr>
      <t xml:space="preserve">     </t>
    </r>
    <r>
      <rPr>
        <b/>
        <sz val="11"/>
        <color rgb="FFFF0000"/>
        <rFont val="Arial"/>
      </rPr>
      <t>A.2) Quantidade de passagens por dia por empregado</t>
    </r>
  </si>
  <si>
    <t xml:space="preserve">     A.3) Quantidade de dias do mês de recebimento de passagens</t>
  </si>
  <si>
    <t xml:space="preserve">     A.4) Participação do empregado em percentual do salário-base  (cláusula 20º, da CCT /2023 - SINDASSEIO)</t>
  </si>
  <si>
    <r>
      <rPr>
        <b/>
        <sz val="11"/>
        <color theme="1"/>
        <rFont val="Arial"/>
      </rPr>
      <t xml:space="preserve">Auxílio-Refeição/Alimentação  </t>
    </r>
    <r>
      <rPr>
        <b/>
        <sz val="11"/>
        <color rgb="FFFF0000"/>
        <rFont val="Arial"/>
      </rPr>
      <t>Cálculo do valor = [(30xVA)x(1-0,20)]</t>
    </r>
  </si>
  <si>
    <r>
      <rPr>
        <b/>
        <sz val="11"/>
        <color theme="1"/>
        <rFont val="Arial"/>
      </rPr>
      <t xml:space="preserve">     </t>
    </r>
    <r>
      <rPr>
        <b/>
        <sz val="11"/>
        <color rgb="FFFF0000"/>
        <rFont val="Arial"/>
      </rPr>
      <t xml:space="preserve">F.1) Valor do Auxílio-Alimentação  </t>
    </r>
  </si>
  <si>
    <r>
      <rPr>
        <b/>
        <sz val="11"/>
        <color theme="1"/>
        <rFont val="Arial"/>
      </rPr>
      <t xml:space="preserve">     </t>
    </r>
    <r>
      <rPr>
        <b/>
        <sz val="11"/>
        <color rgb="FFFF0000"/>
        <rFont val="Arial"/>
      </rPr>
      <t>F.2) Quantidade de dias do mês de recebimento de auxílio-alimentação</t>
    </r>
  </si>
  <si>
    <r>
      <rPr>
        <b/>
        <sz val="11"/>
        <color rgb="FFFF0000"/>
        <rFont val="Arial"/>
      </rPr>
      <t xml:space="preserve">     F.3) Participação do empregado em percentual sobre o auxílio-alimentação </t>
    </r>
    <r>
      <rPr>
        <b/>
        <sz val="11"/>
        <color rgb="FFFF0000"/>
        <rFont val="Arial"/>
      </rPr>
      <t xml:space="preserve">(cláusula 33, §3º, da CCT 2021/2023) </t>
    </r>
  </si>
  <si>
    <t>AUXILIO EDUCACAO</t>
  </si>
  <si>
    <r>
      <rPr>
        <b/>
        <sz val="11"/>
        <color theme="1"/>
        <rFont val="Arial"/>
      </rPr>
      <t xml:space="preserve">Seguro de Vida </t>
    </r>
    <r>
      <rPr>
        <b/>
        <sz val="11"/>
        <color rgb="FFFF0000"/>
        <rFont val="Arial"/>
      </rPr>
      <t xml:space="preserve">Cálculo do valor: 26 x Rem x 0,023%  </t>
    </r>
    <r>
      <rPr>
        <b/>
        <sz val="11"/>
        <color theme="1"/>
        <rFont val="Arial"/>
      </rPr>
      <t xml:space="preserve">
</t>
    </r>
    <r>
      <rPr>
        <b/>
        <sz val="11"/>
        <color rgb="FF0000FF"/>
        <rFont val="Arial"/>
      </rPr>
      <t>O valor cotado pelo licitante deve ser fixado na planilha e somente deve ser alterado mediante repactuação com comprovação do aumento. Depois da licitação, excluir a fórmula</t>
    </r>
  </si>
  <si>
    <t>L</t>
  </si>
  <si>
    <r>
      <rPr>
        <b/>
        <sz val="11"/>
        <color theme="1"/>
        <rFont val="Arial"/>
      </rPr>
      <t xml:space="preserve">Auxílio-Funeral   </t>
    </r>
    <r>
      <rPr>
        <b/>
        <sz val="11"/>
        <color rgb="FFFF0000"/>
        <rFont val="Arial"/>
      </rPr>
      <t xml:space="preserve">Cálculo do valor: (SB x 0,52066%)/12  </t>
    </r>
    <r>
      <rPr>
        <b/>
        <sz val="11"/>
        <color theme="1"/>
        <rFont val="Arial"/>
      </rPr>
      <t xml:space="preserve">
</t>
    </r>
    <r>
      <rPr>
        <b/>
        <sz val="11"/>
        <color rgb="FF0000FF"/>
        <rFont val="Arial"/>
      </rPr>
      <t>O valor cotado pelo licitante deve ser fixado na planilha e somente deve ser alterado mediante repactuação com comprovação do aumento. Depois da licitação, excluir a fórmula</t>
    </r>
  </si>
  <si>
    <t>M</t>
  </si>
  <si>
    <t>Plano de Beneficio Familiar - BSF</t>
  </si>
  <si>
    <t>OUTROS</t>
  </si>
  <si>
    <t>Nota 1: o valor informado deverá ser o custo real do insumo (descontado o valor eventualmente pago pelo empregado).
Nota 2: Observar a previsão dos benefícios contidos em Acordos, Convenções e Dissídios Coletivos de Trabalho e atentar-se ao disposto no artigo 6º desta Instrução Normativa.</t>
  </si>
  <si>
    <t>Quadro-Resumo do Módulo 2 – Encargos e Benefícios Anuais, Mensais e Diários</t>
  </si>
  <si>
    <t>Encargos e Benefícios Anuais, Mensais e Diários</t>
  </si>
  <si>
    <r>
      <rPr>
        <b/>
        <sz val="11"/>
        <color rgb="FF000000"/>
        <rFont val="Arial"/>
      </rPr>
      <t xml:space="preserve">13º (décimo terceiro) Salário </t>
    </r>
    <r>
      <rPr>
        <b/>
        <strike/>
        <sz val="11"/>
        <color rgb="FF993366"/>
        <rFont val="Arial"/>
      </rPr>
      <t>(Férias???)</t>
    </r>
    <r>
      <rPr>
        <b/>
        <sz val="11"/>
        <color rgb="FF008080"/>
        <rFont val="Arial"/>
      </rPr>
      <t xml:space="preserve"> </t>
    </r>
    <r>
      <rPr>
        <b/>
        <sz val="11"/>
        <color rgb="FF000000"/>
        <rFont val="Arial"/>
      </rPr>
      <t>e Adicional de Férias</t>
    </r>
  </si>
  <si>
    <t>Módulo 3 - Provisão para Rescisão</t>
  </si>
  <si>
    <t>Provisão para Rescisão</t>
  </si>
  <si>
    <r>
      <rPr>
        <b/>
        <sz val="11"/>
        <color theme="1"/>
        <rFont val="Arial"/>
      </rPr>
      <t xml:space="preserve">Aviso Prévio Indenizado    </t>
    </r>
    <r>
      <rPr>
        <b/>
        <sz val="11"/>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</si>
  <si>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t>Incidência do FGTS sobre o Aviso Prévio Indenizado</t>
  </si>
  <si>
    <r>
      <rPr>
        <b/>
        <sz val="11"/>
        <color rgb="FF000000"/>
        <rFont val="Arial"/>
      </rPr>
      <t xml:space="preserve">Aviso Prévio Trabalhado   </t>
    </r>
    <r>
      <rPr>
        <b/>
        <sz val="11"/>
        <color rgb="FF0000FF"/>
        <rFont val="Arial"/>
      </rPr>
      <t xml:space="preserve">  </t>
    </r>
    <r>
      <rPr>
        <b/>
        <sz val="11"/>
        <color rgb="FFFF0000"/>
        <rFont val="Arial"/>
      </rPr>
      <t xml:space="preserve">  
(</t>
    </r>
    <r>
      <rPr>
        <b/>
        <sz val="11"/>
        <color rgb="FFFF0000"/>
        <rFont val="Arial"/>
      </rPr>
      <t>negociar extinção/redução na 1ª prorrogação)
  Cálculo do valor= [(Rem1/30)x7]/ meses do contratox100% dos empregados - ao final do contrato</t>
    </r>
    <r>
      <rPr>
        <b/>
        <sz val="11"/>
        <color rgb="FF0000FF"/>
        <rFont val="Arial"/>
      </rPr>
      <t xml:space="preserve">  </t>
    </r>
    <r>
      <rPr>
        <b/>
        <sz val="11"/>
        <color rgb="FF0000FF"/>
        <rFont val="Arial"/>
      </rPr>
      <t xml:space="preserve">
CONFORME ACORDAO  TCU 1.186/2017 definiu NOTA TEC. 652/2017 - MP
 </t>
    </r>
    <r>
      <rPr>
        <b/>
        <u/>
        <sz val="11"/>
        <color rgb="FF0000FF"/>
        <rFont val="Arial"/>
      </rPr>
      <t xml:space="preserve">PERCENTUAL MAXIMO DE 1,94% </t>
    </r>
    <r>
      <rPr>
        <b/>
        <sz val="11"/>
        <color rgb="FF0000FF"/>
        <rFont val="Arial"/>
      </rPr>
      <t>para aviso trabalhado 
E A sua reducao PARA o MAXIMO de  0,194%  apartir DA PRIMEIRA RENOVAÇÃO
(observada rotatividade para manutenção deste custo - PREVIAMENTE ACORDADO COM A EMPRESA)</t>
    </r>
  </si>
  <si>
    <t>Incidência de GPS, FGTS e outras contribuições sobre o Aviso Prévio Trabalhado</t>
  </si>
  <si>
    <r>
      <rPr>
        <b/>
        <sz val="11"/>
        <color theme="1"/>
        <rFont val="Arial"/>
      </rPr>
      <t>Multa do FGTS sobre o Aviso PrévioTrabalhado e Aviso Prévio Indenizado</t>
    </r>
    <r>
      <rPr>
        <b/>
        <sz val="11"/>
        <color rgb="FFFF0000"/>
        <rFont val="Arial"/>
      </rPr>
      <t xml:space="preserve">Obrigatória a cotação de 4% sobre o valor do Módulo 1 – Composição da Remuneração1, conforme Anexo XII da IN Seges nº 5/2017 </t>
    </r>
  </si>
  <si>
    <t>TOTAL</t>
  </si>
  <si>
    <t>Módulo 4 - Custo de Reposição do Profissional Ausente</t>
  </si>
  <si>
    <t xml:space="preserve">Nota 1: Os itens que contemplam o módulo 4 se referem ao custo dos dias trabalhados pelo repositor/substituto quando o empregado alocado na prestação do serviço estiver ausente, conforme as previsões estabelecidas na legislação. </t>
  </si>
  <si>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</si>
  <si>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t>MÓD 1                 (= a Rem1)=</t>
  </si>
  <si>
    <t>+</t>
  </si>
  <si>
    <r>
      <rPr>
        <b/>
        <sz val="11"/>
        <color rgb="FF0000FF"/>
        <rFont val="Arial"/>
      </rPr>
      <t xml:space="preserve">MÓD 2 </t>
    </r>
    <r>
      <rPr>
        <b/>
        <sz val="11"/>
        <color rgb="FFFF0000"/>
        <rFont val="Arial"/>
      </rPr>
      <t>(sem VA e VT)</t>
    </r>
    <r>
      <rPr>
        <b/>
        <sz val="11"/>
        <color rgb="FFFF0000"/>
        <rFont val="Arial"/>
      </rPr>
      <t xml:space="preserve"> </t>
    </r>
    <r>
      <rPr>
        <b/>
        <sz val="11"/>
        <color rgb="FF0000FF"/>
        <rFont val="Arial"/>
      </rPr>
      <t>=</t>
    </r>
  </si>
  <si>
    <t>MÓD 3 =</t>
  </si>
  <si>
    <t xml:space="preserve">Submódulo 4.1 – Substituto nas Ausências Legais </t>
  </si>
  <si>
    <t>4.1</t>
  </si>
  <si>
    <t>Substituto nas Ausências Legais</t>
  </si>
  <si>
    <r>
      <rPr>
        <b/>
        <sz val="11"/>
        <color rgb="FF000000"/>
        <rFont val="Arial"/>
      </rPr>
      <t xml:space="preserve">Substituto na cobertura de Férias  </t>
    </r>
    <r>
      <rPr>
        <b/>
        <sz val="11"/>
        <color rgb="FFFF0000"/>
        <rFont val="Arial"/>
      </rPr>
      <t xml:space="preserve">Obrigatória a cotação de 9,075% sobre o valor do Módulo 1 - Composição da Remuneração, </t>
    </r>
    <r>
      <rPr>
        <b/>
        <sz val="11"/>
        <color rgb="FF0066CC"/>
        <rFont val="Arial"/>
      </rPr>
      <t xml:space="preserve">mais </t>
    </r>
    <r>
      <rPr>
        <b/>
        <sz val="11"/>
        <color rgb="FFFF0000"/>
        <rFont val="Arial"/>
      </rPr>
      <t>o percentual do Submódulo 2.2 sobre o cálculo anterior, conforme Anexo XII da IN 5/17 (Férias + Adicional = 12,10% = 9,075% + 3,025%)</t>
    </r>
  </si>
  <si>
    <r>
      <rPr>
        <b/>
        <sz val="11"/>
        <color theme="1"/>
        <rFont val="Arial"/>
      </rPr>
      <t xml:space="preserve">Substituto na cobertura de Ausências Legais </t>
    </r>
    <r>
      <rPr>
        <b/>
        <sz val="11"/>
        <color rgb="FFFF0000"/>
        <rFont val="Arial"/>
      </rPr>
      <t>Cálculo do valor = [(</t>
    </r>
    <r>
      <rPr>
        <b/>
        <sz val="11"/>
        <color rgb="FF0000FF"/>
        <rFont val="Arial"/>
      </rPr>
      <t>BCCPA</t>
    </r>
    <r>
      <rPr>
        <b/>
        <sz val="11"/>
        <color rgb="FFFF0000"/>
        <rFont val="Arial"/>
      </rPr>
      <t>/30)x1dia]/12</t>
    </r>
  </si>
  <si>
    <r>
      <rPr>
        <b/>
        <sz val="11"/>
        <color theme="1"/>
        <rFont val="Arial"/>
      </rPr>
      <t xml:space="preserve">Substituto na cobertura de Licença-Paternidade
</t>
    </r>
    <r>
      <rPr>
        <b/>
        <sz val="11"/>
        <color rgb="FFFF0000"/>
        <rFont val="Arial"/>
      </rPr>
      <t>Cálculo do valor = {[(</t>
    </r>
    <r>
      <rPr>
        <b/>
        <sz val="11"/>
        <color rgb="FF0000FF"/>
        <rFont val="Arial"/>
      </rPr>
      <t>BCCPA</t>
    </r>
    <r>
      <rPr>
        <b/>
        <sz val="11"/>
        <color rgb="FFFF0000"/>
        <rFont val="Arial"/>
      </rPr>
      <t>/30)x5dias]/12}x1,5%</t>
    </r>
  </si>
  <si>
    <r>
      <rPr>
        <b/>
        <sz val="11"/>
        <color theme="1"/>
        <rFont val="Arial"/>
      </rPr>
      <t xml:space="preserve">Substituto na cobertura de Ausência por acidente de trabalho
</t>
    </r>
    <r>
      <rPr>
        <b/>
        <sz val="11"/>
        <color rgb="FFFF0000"/>
        <rFont val="Arial"/>
      </rPr>
      <t>Cálculo do valor  = {[(</t>
    </r>
    <r>
      <rPr>
        <b/>
        <sz val="11"/>
        <color rgb="FF0000FF"/>
        <rFont val="Arial"/>
      </rPr>
      <t>BCCPA</t>
    </r>
    <r>
      <rPr>
        <b/>
        <sz val="11"/>
        <color rgb="FFFF0000"/>
        <rFont val="Arial"/>
      </rPr>
      <t>/30)x15dias]/12}x0,78%</t>
    </r>
  </si>
  <si>
    <r>
      <rPr>
        <b/>
        <sz val="11"/>
        <color theme="1"/>
        <rFont val="Arial"/>
      </rPr>
      <t xml:space="preserve">Substituto na cobertura de Afastamento Maternidade 
</t>
    </r>
    <r>
      <rPr>
        <b/>
        <sz val="11"/>
        <color rgb="FFFF0000"/>
        <rFont val="Arial"/>
      </rPr>
      <t>{[((MÓD1 + MÓD1 / 3) + SUB2.2 x (MÓD1 + MÓD1 / 3)) x (4/12)] / 12} x 2% + [(SUB2.3 - VA - VT + MÓD3) x (4/12)] x 2%</t>
    </r>
  </si>
  <si>
    <r>
      <rPr>
        <b/>
        <sz val="11"/>
        <color theme="1"/>
        <rFont val="Arial"/>
      </rPr>
      <t>Substituto na cobertura de Outras ausências (especificar)
Substituto na cobertura de Ausência por doença</t>
    </r>
    <r>
      <rPr>
        <b/>
        <sz val="11"/>
        <color rgb="FFFF0000"/>
        <rFont val="Arial"/>
      </rPr>
      <t xml:space="preserve"> </t>
    </r>
    <r>
      <rPr>
        <b/>
        <sz val="11"/>
        <color rgb="FF0000FF"/>
        <rFont val="Arial"/>
      </rPr>
      <t xml:space="preserve">(incluído)
</t>
    </r>
    <r>
      <rPr>
        <b/>
        <sz val="11"/>
        <color rgb="FFFF0000"/>
        <rFont val="Arial"/>
      </rPr>
      <t>Cálculo do valor = [(</t>
    </r>
    <r>
      <rPr>
        <b/>
        <sz val="11"/>
        <color rgb="FF0000FF"/>
        <rFont val="Arial"/>
      </rPr>
      <t>BCCPA</t>
    </r>
    <r>
      <rPr>
        <b/>
        <sz val="11"/>
        <color rgb="FFFF0000"/>
        <rFont val="Arial"/>
      </rPr>
      <t>)/30)x3dias]/12 
Incluído por permissão da IN Seges nº 5/2017, Anexo VII-B, item 1.7, alíneas "b" e "c".5.</t>
    </r>
  </si>
  <si>
    <t>Submódulo 4.2 – Substituto na Intrajornada</t>
  </si>
  <si>
    <t xml:space="preserve">4.2 </t>
  </si>
  <si>
    <t>Substituto na Intrajornada</t>
  </si>
  <si>
    <t>Substituto na cobertura de Intervalo para repouso ou alimentação</t>
  </si>
  <si>
    <t>Quadro-Resumo do Módulo 4 – Custo de Reposição do Profissional Ausente</t>
  </si>
  <si>
    <t>Custo de Reposição do Profissional Ausente</t>
  </si>
  <si>
    <t>4.2</t>
  </si>
  <si>
    <t>Módulo 5 – Insumos Diversos</t>
  </si>
  <si>
    <t>Insumos Diversos</t>
  </si>
  <si>
    <t xml:space="preserve">Uniformes </t>
  </si>
  <si>
    <t>Outros (especificar)</t>
  </si>
  <si>
    <t>0.00</t>
  </si>
  <si>
    <t xml:space="preserve">Total </t>
  </si>
  <si>
    <t>Nota: Valores mensais por empregado</t>
  </si>
  <si>
    <t>Módulo 6 - Custos Indiretos, Lucro e Tributos</t>
  </si>
  <si>
    <t xml:space="preserve">Custos Indiretos, Lucro e Tributos </t>
  </si>
  <si>
    <t>BASE DE CÁLCULO DOS CUSTOS INDIRETOS  =  (Total do Módulo 1 – Composição da  Remuneração2 + Total do Módulo 2 - Encargos e Benefícios Anuais, Mensais e Diários + Total do Módulo 3 – Provisão da Rescisão + Total do Módulo 4 - Custo de Reposição do Profissional Ausente + Total do Módulo 5 - Insumos Diversos)</t>
  </si>
  <si>
    <t>Custos Indiretos</t>
  </si>
  <si>
    <t>BASE DE CÁLCULO DO LUCRO = (Total do Módulo 1 – Composição da  Remuneração2 + Total do Módulo 2 - Encargos e Benefícios Anuais, Mensais e Diários + Total do Módulo 3 – Provisão da Rescisão + Total do Módulo 4 - Custo de Reposição do Profissional Ausente + Total do Módulo 5 - Insumos Diversos + Custos Indiretos)</t>
  </si>
  <si>
    <t>BASE DE CÁLCULO DOS TRIBUTOS = (Total do Módulo 1 – Composição da  Remuneração2 + Total do Módulo 2 - Encargos e Benefícios Anuais, Mensais e Diários + Total do Módulo 3 – Provisão da Rescisão + Total do Módulo 4 - Custo de Reposição do Profissional Ausente + Total do Módulo 5 - Insumos Diversos + Custos Indiretos + Lucro)</t>
  </si>
  <si>
    <t>Tributos</t>
  </si>
  <si>
    <t>C.1    Tributos federais (especificar)</t>
  </si>
  <si>
    <r>
      <rPr>
        <sz val="11"/>
        <color rgb="FF000000"/>
        <rFont val="Calibri"/>
      </rPr>
      <t xml:space="preserve">  </t>
    </r>
    <r>
      <rPr>
        <b/>
        <sz val="11"/>
        <color rgb="FF000000"/>
        <rFont val="Arial"/>
      </rPr>
      <t xml:space="preserve">a) PIS  </t>
    </r>
    <r>
      <rPr>
        <sz val="11"/>
        <color rgb="FFFF0000"/>
        <rFont val="Arial"/>
      </rPr>
      <t>(depende do regime de tributação - utilizada a hipótese de Lucro Real ou Presumido)</t>
    </r>
  </si>
  <si>
    <r>
      <rPr>
        <sz val="11"/>
        <color rgb="FF000000"/>
        <rFont val="Calibri"/>
      </rPr>
      <t xml:space="preserve">  </t>
    </r>
    <r>
      <rPr>
        <b/>
        <sz val="11"/>
        <color rgb="FF000000"/>
        <rFont val="Arial"/>
      </rPr>
      <t xml:space="preserve">b) COFINS       </t>
    </r>
    <r>
      <rPr>
        <sz val="11"/>
        <color rgb="FFFF0000"/>
        <rFont val="Arial"/>
      </rPr>
      <t>(depende do regime de tributação - utilizada a hipótese de Lucro Real ou Presumido)</t>
    </r>
  </si>
  <si>
    <r>
      <rPr>
        <b/>
        <sz val="11"/>
        <color theme="1"/>
        <rFont val="Arial"/>
      </rPr>
      <t xml:space="preserve"> c) IRPJ</t>
    </r>
    <r>
      <rPr>
        <b/>
        <sz val="11"/>
        <color rgb="FF0000FF"/>
        <rFont val="Arial"/>
      </rPr>
      <t xml:space="preserve"> </t>
    </r>
    <r>
      <rPr>
        <b/>
        <sz val="11"/>
        <color rgb="FF0000FF"/>
        <rFont val="Arial"/>
      </rPr>
      <t>-</t>
    </r>
    <r>
      <rPr>
        <b/>
        <sz val="11"/>
        <color rgb="FF0000FF"/>
        <rFont val="Arial"/>
      </rPr>
      <t xml:space="preserve"> Em face dos Acórdãos TCU nºs 950/2007-P e 205/2018-P, o licitante não pode cotar expressamente este tributo.</t>
    </r>
  </si>
  <si>
    <r>
      <rPr>
        <b/>
        <sz val="11"/>
        <color theme="1"/>
        <rFont val="Arial"/>
      </rPr>
      <t xml:space="preserve"> d) CSLL </t>
    </r>
    <r>
      <rPr>
        <b/>
        <sz val="11"/>
        <color rgb="FF0000FF"/>
        <rFont val="Arial"/>
      </rPr>
      <t xml:space="preserve">- </t>
    </r>
    <r>
      <rPr>
        <b/>
        <sz val="11"/>
        <color rgb="FF0000FF"/>
        <rFont val="Arial"/>
      </rPr>
      <t>Em face dos Acórdãos TCU nºs 950/2007-P e 205/2018-P, o licitante não pode cotar expressamente este tributo.</t>
    </r>
  </si>
  <si>
    <t>C.2   Tributos estaduais (especificar)</t>
  </si>
  <si>
    <t>C.3   Tributos municipais (especificar):</t>
  </si>
  <si>
    <t xml:space="preserve">  a) ISS             </t>
  </si>
  <si>
    <t xml:space="preserve">Percentual Total e Valor Total de Tributos  </t>
  </si>
  <si>
    <t>Cálculo dos Tributos</t>
  </si>
  <si>
    <t xml:space="preserve">                                         Base de Cálculo para os Tributos</t>
  </si>
  <si>
    <t xml:space="preserve"> = ( --------------------------------------------------------- ) x Alíquota do Tributo</t>
  </si>
  <si>
    <t xml:space="preserve">                                  1 - (Total de Tributos em % dividido por 100)</t>
  </si>
  <si>
    <t>Nota 1: Custos Indiretos, Lucro e Tributos por empregado.
Nota 2: O valor referente a tributos é obtido aplicando-se o percentual sobre o valor do faturamento.</t>
  </si>
  <si>
    <r>
      <rPr>
        <b/>
        <sz val="11"/>
        <color theme="1"/>
        <rFont val="Arial"/>
      </rPr>
      <t xml:space="preserve">
</t>
    </r>
    <r>
      <rPr>
        <b/>
        <sz val="11"/>
        <color theme="1"/>
        <rFont val="Arial"/>
      </rPr>
      <t xml:space="preserve">2. QUADRO-RESUMO DO CUSTO POR POSTO DE TRABALHO
</t>
    </r>
  </si>
  <si>
    <t>Mão de obra vinculada à execução contratual (valor por Posto de Trabalho)</t>
  </si>
  <si>
    <t>Módulo 1 - Composição da Remuneração2</t>
  </si>
  <si>
    <t>Módulo 2 – Encargos e Benefícios Anuais, Mensais e Diários</t>
  </si>
  <si>
    <t>Módulo 3 – Provisão para Rescisão</t>
  </si>
  <si>
    <t>Módulo 4 – Custo de Reposição do Profissional Ausente</t>
  </si>
  <si>
    <t xml:space="preserve">Módulo 5 - Insumos Diversos </t>
  </si>
  <si>
    <t>Subtotal (A + B + C + D + E)</t>
  </si>
  <si>
    <r>
      <rPr>
        <b/>
        <sz val="11"/>
        <color theme="1"/>
        <rFont val="Arial"/>
      </rPr>
      <t xml:space="preserve">Valor Total </t>
    </r>
    <r>
      <rPr>
        <b/>
        <sz val="11"/>
        <color rgb="FFFF0000"/>
        <rFont val="Arial"/>
      </rPr>
      <t>POR COLABORADOR/PESSOA</t>
    </r>
  </si>
  <si>
    <t xml:space="preserve">O complemento abaixo é uma planilha auxiliar que consolida as várias planilhas com os diferentes tipos de postos </t>
  </si>
  <si>
    <t>3.  COMPLEMENTO DOS SERVIÇOS – VALOR MENSAL DOS SERVIÇOS</t>
  </si>
  <si>
    <t>ESCALA DE TRABALHO</t>
  </si>
  <si>
    <t>VALOR MES
POR PESSOA 
(R$)</t>
  </si>
  <si>
    <r>
      <rPr>
        <b/>
        <sz val="11"/>
        <color theme="1"/>
        <rFont val="Arial"/>
      </rPr>
      <t xml:space="preserve">QUANTIDADE
DE PESSOAS
</t>
    </r>
    <r>
      <rPr>
        <b/>
        <sz val="11"/>
        <color rgb="FF980000"/>
        <rFont val="Arial"/>
      </rPr>
      <t>POR 
POSTO</t>
    </r>
  </si>
  <si>
    <t>NÚMERO DE POSTOS</t>
  </si>
  <si>
    <t>SUBTOTAL
(R$)</t>
  </si>
  <si>
    <t>44 (quarenta e quatro) horas semanais diurnas, de segunda a sexta-feira envolvendo 1 (um) vigilante</t>
  </si>
  <si>
    <t xml:space="preserve">12 horas diurnas, de segunda-feira a domingo, envolvendo 2 (dois) vigilantes em turnos de  12 (doze) por 36 (trinta e seis) horas </t>
  </si>
  <si>
    <t xml:space="preserve">12 horas diurnas, de segunda-feira à sexta-feira, envolvendo 2 (dois) vigilantes em turnos de  12 (doze) por 36 (trinta e seis) horas </t>
  </si>
  <si>
    <t xml:space="preserve">12 horas noturnas, de segunda-feira à sexta-feira, envolvendo 2 (dois) vigilantes em turnos de  12 (doze) por 36 (trinta e seis) horas </t>
  </si>
  <si>
    <r>
      <rPr>
        <b/>
        <sz val="11"/>
        <color theme="1"/>
        <rFont val="Arial"/>
      </rPr>
      <t xml:space="preserve">Outros (especificar) </t>
    </r>
    <r>
      <rPr>
        <b/>
        <sz val="11"/>
        <color rgb="FFFF0000"/>
        <rFont val="Arial"/>
      </rPr>
      <t>(excluir linhas que não serão utilizadas)</t>
    </r>
  </si>
  <si>
    <t>TOTAL:</t>
  </si>
  <si>
    <t xml:space="preserve">Nota: Nos casos de inclusão de outros tipos de postos, observar o disposto no item 4 do Anexo VI-A, desta Instrução Normativa </t>
  </si>
  <si>
    <t>Valor mensal do serviço</t>
  </si>
  <si>
    <t>Número de meses do contrato</t>
  </si>
  <si>
    <r>
      <rPr>
        <b/>
        <sz val="11"/>
        <color theme="1"/>
        <rFont val="Arial"/>
      </rPr>
      <t xml:space="preserve">Valor global da proposta </t>
    </r>
    <r>
      <rPr>
        <b/>
        <sz val="11"/>
        <color theme="1"/>
        <rFont val="Arial"/>
      </rPr>
      <t>(valor mensal do serviço x nº de meses do contrato)</t>
    </r>
  </si>
  <si>
    <r>
      <rPr>
        <b/>
        <sz val="11"/>
        <color rgb="FF00B0F0"/>
        <rFont val="Arial"/>
      </rPr>
      <t xml:space="preserve">Outros (especificar) </t>
    </r>
    <r>
      <rPr>
        <b/>
        <sz val="11"/>
        <color rgb="FF00B0F0"/>
        <rFont val="Arial"/>
      </rPr>
      <t>(excluir as linhas não utilizadas)</t>
    </r>
  </si>
  <si>
    <r>
      <rPr>
        <b/>
        <sz val="11"/>
        <color theme="1"/>
        <rFont val="Arial"/>
      </rPr>
      <t xml:space="preserve">1. MÓDULOS .
</t>
    </r>
    <r>
      <rPr>
        <b/>
        <sz val="11"/>
        <color rgb="FF000000"/>
        <rFont val="Arial"/>
      </rPr>
      <t xml:space="preserve">Mão de obra
</t>
    </r>
    <r>
      <rPr>
        <b/>
        <sz val="11"/>
        <color rgb="FF000000"/>
        <rFont val="Arial"/>
      </rPr>
      <t>Mão de obra vinculada à execução contratual</t>
    </r>
  </si>
  <si>
    <r>
      <rPr>
        <b/>
        <sz val="11"/>
        <color rgb="FFFF0000"/>
        <rFont val="Arial"/>
      </rPr>
      <t xml:space="preserve">Valor do salário x hora SEM adicionais 
</t>
    </r>
    <r>
      <rPr>
        <b/>
        <sz val="11"/>
        <color rgb="FF0000FF"/>
        <rFont val="Arial"/>
      </rPr>
      <t>VSH (s/peri) =</t>
    </r>
    <r>
      <rPr>
        <b/>
        <sz val="11"/>
        <color rgb="FFFF0000"/>
        <rFont val="Arial"/>
      </rPr>
      <t xml:space="preserve"> </t>
    </r>
    <r>
      <rPr>
        <b/>
        <sz val="11"/>
        <color rgb="FF0000FF"/>
        <rFont val="Arial"/>
      </rPr>
      <t>(Valor do salário normativo / 220 h)</t>
    </r>
  </si>
  <si>
    <r>
      <rPr>
        <b/>
        <sz val="11"/>
        <color rgb="FFFF0000"/>
        <rFont val="Arial"/>
      </rPr>
      <t>Vlr do salário ×</t>
    </r>
    <r>
      <rPr>
        <b/>
        <sz val="11"/>
        <color rgb="FF000000"/>
        <rFont val="Arial"/>
      </rPr>
      <t xml:space="preserve"> HORA </t>
    </r>
    <r>
      <rPr>
        <b/>
        <sz val="11"/>
        <color rgb="FFFF0000"/>
        <rFont val="Arial"/>
      </rPr>
      <t xml:space="preserve">com  Adicionais pertinentes 
</t>
    </r>
    <r>
      <rPr>
        <b/>
        <sz val="11"/>
        <color rgb="FF0000FF"/>
        <rFont val="Arial"/>
      </rPr>
      <t>VSH (c/peri) =</t>
    </r>
    <r>
      <rPr>
        <b/>
        <sz val="11"/>
        <color rgb="FFFF0000"/>
        <rFont val="Arial"/>
      </rPr>
      <t xml:space="preserve"> </t>
    </r>
    <r>
      <rPr>
        <b/>
        <sz val="11"/>
        <color rgb="FF0000FF"/>
        <rFont val="Arial"/>
      </rPr>
      <t>(valor da hora + 30% de peri) ou 20% insalub)  e adicional de funcao</t>
    </r>
  </si>
  <si>
    <r>
      <rPr>
        <b/>
        <sz val="11"/>
        <color rgb="FFFF0000"/>
        <rFont val="Arial"/>
      </rPr>
      <t xml:space="preserve">Valor da hora EXTRA sem adicionais pertinentes -  50% 
</t>
    </r>
    <r>
      <rPr>
        <b/>
        <sz val="11"/>
        <color rgb="FF0000FF"/>
        <rFont val="Arial"/>
      </rPr>
      <t>HE (c/peri) = (valor da hora + 50% de peri)</t>
    </r>
  </si>
  <si>
    <r>
      <rPr>
        <b/>
        <sz val="11"/>
        <color rgb="FFFF0000"/>
        <rFont val="Arial"/>
      </rPr>
      <t xml:space="preserve">Valor da </t>
    </r>
    <r>
      <rPr>
        <b/>
        <sz val="11"/>
        <color rgb="FF000000"/>
        <rFont val="Arial"/>
      </rPr>
      <t>hora EXTRA 50%</t>
    </r>
    <r>
      <rPr>
        <b/>
        <sz val="11"/>
        <color rgb="FFFF0000"/>
        <rFont val="Arial"/>
      </rPr>
      <t xml:space="preserve"> - com Adicionais
</t>
    </r>
    <r>
      <rPr>
        <b/>
        <sz val="11"/>
        <color rgb="FF0000FF"/>
        <rFont val="Arial"/>
      </rPr>
      <t>HE (c/peri) = (valor da hora + 30% de peri) + 50%</t>
    </r>
  </si>
  <si>
    <r>
      <rPr>
        <b/>
        <sz val="11"/>
        <color rgb="FFFF0000"/>
        <rFont val="Arial"/>
      </rPr>
      <t xml:space="preserve">Valor da hora NOTURNA  com adicionais pertinentes 
</t>
    </r>
    <r>
      <rPr>
        <b/>
        <sz val="11"/>
        <color rgb="FF0000FF"/>
        <rFont val="Arial"/>
      </rPr>
      <t>AN (c/peri) =</t>
    </r>
    <r>
      <rPr>
        <b/>
        <sz val="11"/>
        <color rgb="FFFF0000"/>
        <rFont val="Arial"/>
      </rPr>
      <t xml:space="preserve"> </t>
    </r>
    <r>
      <rPr>
        <b/>
        <sz val="11"/>
        <color rgb="FF0000FF"/>
        <rFont val="Arial"/>
      </rPr>
      <t>(valor da hora + 30% de peri QUANDO CABIVEL) x 20%</t>
    </r>
  </si>
  <si>
    <r>
      <rPr>
        <b/>
        <sz val="11"/>
        <color rgb="FFFF0000"/>
        <rFont val="Arial"/>
      </rPr>
      <t xml:space="preserve">Valor da hora EXTRA A 100% COM ADICIONAIS PERTINENTES 
</t>
    </r>
    <r>
      <rPr>
        <b/>
        <sz val="11"/>
        <color rgb="FF0000FF"/>
        <rFont val="Arial"/>
      </rPr>
      <t>VHP =</t>
    </r>
    <r>
      <rPr>
        <b/>
        <sz val="11"/>
        <color rgb="FFFF0000"/>
        <rFont val="Arial"/>
      </rPr>
      <t xml:space="preserve">  </t>
    </r>
    <r>
      <rPr>
        <b/>
        <sz val="11"/>
        <color rgb="FF0000FF"/>
        <rFont val="Arial"/>
      </rPr>
      <t>(30% do valor da hora sem peri)</t>
    </r>
  </si>
  <si>
    <t xml:space="preserve">Valor da Hora COM 
periculosidade </t>
  </si>
  <si>
    <r>
      <rPr>
        <b/>
        <sz val="11"/>
        <color rgb="FFFF0000"/>
        <rFont val="Arial"/>
      </rPr>
      <t xml:space="preserve">VALOR DO ADICIONAL DE PERICULOSIDADE
</t>
    </r>
    <r>
      <rPr>
        <b/>
        <sz val="11"/>
        <color rgb="FF0000FF"/>
        <rFont val="Arial"/>
      </rPr>
      <t>(30% do salário normativo)</t>
    </r>
    <r>
      <rPr>
        <b/>
        <sz val="11"/>
        <color rgb="FFFF0000"/>
        <rFont val="Arial"/>
      </rPr>
      <t xml:space="preserve">             </t>
    </r>
    <r>
      <rPr>
        <b/>
        <sz val="11"/>
        <color rgb="FFFF0000"/>
        <rFont val="Arial"/>
      </rPr>
      <t xml:space="preserve">  </t>
    </r>
  </si>
  <si>
    <r>
      <rPr>
        <b/>
        <sz val="11"/>
        <color theme="1"/>
        <rFont val="Arial"/>
      </rPr>
      <t xml:space="preserve">Adicional de função </t>
    </r>
    <r>
      <rPr>
        <b/>
        <sz val="11"/>
        <color rgb="FFFF0000"/>
        <rFont val="Arial"/>
      </rPr>
      <t>- Cálculo do valor: ("% do adicional' * "salário mínimo")</t>
    </r>
  </si>
  <si>
    <r>
      <rPr>
        <b/>
        <sz val="11"/>
        <color theme="1"/>
        <rFont val="Arial"/>
      </rPr>
      <t>Adicional de Periculosidade</t>
    </r>
    <r>
      <rPr>
        <b/>
        <sz val="11"/>
        <color rgb="FFFF0000"/>
        <rFont val="Arial"/>
      </rPr>
      <t xml:space="preserve"> (Lei nº 12.740/2012)    (30% do Salário-Base) </t>
    </r>
    <r>
      <rPr>
        <b/>
        <sz val="11"/>
        <color theme="1"/>
        <rFont val="Arial"/>
      </rPr>
      <t xml:space="preserve">
(cláusula 29 da CCT 2021/2023)</t>
    </r>
  </si>
  <si>
    <r>
      <rPr>
        <b/>
        <sz val="11"/>
        <color theme="1"/>
        <rFont val="Arial"/>
      </rPr>
      <t>Adicional de Insalubridade</t>
    </r>
    <r>
      <rPr>
        <b/>
        <sz val="11"/>
        <color rgb="FFFF0000"/>
        <rFont val="Arial"/>
      </rPr>
      <t xml:space="preserve"> </t>
    </r>
  </si>
  <si>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</si>
  <si>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1"/>
        <color rgb="FF000000"/>
        <rFont val="Arial"/>
      </rPr>
      <t>Adicional de Hora Noturna Reduzida</t>
    </r>
    <r>
      <rPr>
        <b/>
        <sz val="11"/>
        <color rgb="FFFF0000"/>
        <rFont val="Arial"/>
      </rPr>
      <t xml:space="preserve"> (Hora Reduzida Noturna como Extra) </t>
    </r>
    <r>
      <rPr>
        <b/>
        <sz val="11"/>
        <color rgb="FF0000FF"/>
        <rFont val="Arial"/>
      </rPr>
      <t xml:space="preserve">(HRN que excedeu de 190,67h) </t>
    </r>
    <r>
      <rPr>
        <b/>
        <sz val="11"/>
        <color rgb="FFFF0000"/>
        <rFont val="Arial"/>
      </rPr>
      <t xml:space="preserve">Cálculo do valor: HE (c/peri) x 4,33 h x 2 vig.)   [195h (=180h + 15h) - 190,67 = 4,33h como horas extras, sendo  15 = 15 x (7hx1,1428571 – 7h) </t>
    </r>
    <r>
      <rPr>
        <b/>
        <sz val="11"/>
        <color rgb="FF0000FF"/>
        <rFont val="Arial"/>
      </rPr>
      <t>Das 22h às 5h</t>
    </r>
    <r>
      <rPr>
        <b/>
        <sz val="11"/>
        <color rgb="FF000000"/>
        <rFont val="Arial"/>
      </rPr>
      <t xml:space="preserve"> (cláusula 28 da CCT 2021/2023)</t>
    </r>
  </si>
  <si>
    <r>
      <rPr>
        <b/>
        <sz val="11"/>
        <color rgb="FF000000"/>
        <rFont val="Arial"/>
      </rPr>
      <t xml:space="preserve">Adicional para Troca de Uniforme -  Cálculo do valor: 1/6 do salário-hora por dia = </t>
    </r>
    <r>
      <rPr>
        <b/>
        <sz val="11"/>
        <color rgb="FFFF0000"/>
        <rFont val="Arial"/>
      </rPr>
      <t xml:space="preserve">(VSH/6=1,34)x1,3x 2x15 </t>
    </r>
    <r>
      <rPr>
        <b/>
        <sz val="11"/>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</si>
  <si>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</si>
  <si>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</si>
  <si>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1"/>
        <color theme="1"/>
        <rFont val="Arial"/>
      </rPr>
      <t xml:space="preserve">RSR (Repouso Semanal Remunerado) - </t>
    </r>
    <r>
      <rPr>
        <b/>
        <sz val="11"/>
        <color rgb="FFFF0000"/>
        <rFont val="Arial"/>
      </rPr>
      <t>Cálculo do valor: 20% sobre os adicionais pertinentes) -</t>
    </r>
    <r>
      <rPr>
        <b/>
        <sz val="11"/>
        <color theme="1"/>
        <rFont val="Arial"/>
      </rPr>
      <t xml:space="preserve"> </t>
    </r>
  </si>
  <si>
    <r>
      <rPr>
        <b/>
        <sz val="11"/>
        <color theme="1"/>
        <rFont val="Arial"/>
      </rPr>
      <t xml:space="preserve">Intervalo Intrajornada </t>
    </r>
    <r>
      <rPr>
        <b/>
        <sz val="11"/>
        <color rgb="FFFF0000"/>
        <rFont val="Arial"/>
      </rPr>
      <t>(Adicional de Intervalo)  Cálculo do valor: HE (s/peri) x 15d x2vigx</t>
    </r>
    <r>
      <rPr>
        <b/>
        <sz val="11"/>
        <color rgb="FF0000FF"/>
        <rFont val="Arial"/>
      </rPr>
      <t>0,5h</t>
    </r>
    <r>
      <rPr>
        <b/>
        <sz val="11"/>
        <color rgb="FFFF0000"/>
        <rFont val="Arial"/>
      </rPr>
      <t>) - (</t>
    </r>
    <r>
      <rPr>
        <b/>
        <sz val="11"/>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</si>
  <si>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</si>
  <si>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1"/>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</si>
  <si>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</si>
  <si>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1"/>
        <color rgb="FF993366"/>
        <rFont val="Arial"/>
      </rPr>
      <t>(Férias???)</t>
    </r>
    <r>
      <rPr>
        <b/>
        <strike/>
        <sz val="11"/>
        <color rgb="FF000000"/>
        <rFont val="Arial"/>
      </rPr>
      <t xml:space="preserve"> </t>
    </r>
    <r>
      <rPr>
        <b/>
        <sz val="11"/>
        <color rgb="FF000000"/>
        <rFont val="Arial"/>
      </rPr>
      <t>e Adicional de Férias</t>
    </r>
  </si>
  <si>
    <r>
      <rPr>
        <b/>
        <sz val="11"/>
        <color rgb="FF000000"/>
        <rFont val="Arial"/>
      </rPr>
      <t>13º (décimo terceiro) Salário</t>
    </r>
    <r>
      <rPr>
        <b/>
        <sz val="11"/>
        <color rgb="FF000000"/>
        <rFont val="Arial"/>
      </rPr>
      <t xml:space="preserve"> </t>
    </r>
    <r>
      <rPr>
        <b/>
        <sz val="11"/>
        <color rgb="FFFF0000"/>
        <rFont val="Arial"/>
      </rPr>
      <t>Obrigatória a cotação de 8,33% sobre o valor do Módulo 1 – Composição da Remuneração1, conforme Anexo XII da IN 5/17</t>
    </r>
  </si>
  <si>
    <r>
      <rPr>
        <b/>
        <strike/>
        <sz val="11"/>
        <color rgb="FFFF0000"/>
        <rFont val="Arial"/>
      </rPr>
      <t>(Férias e ???)</t>
    </r>
    <r>
      <rPr>
        <b/>
        <sz val="11"/>
        <color rgb="FF808000"/>
        <rFont val="Arial"/>
      </rPr>
      <t xml:space="preserve"> </t>
    </r>
    <r>
      <rPr>
        <b/>
        <sz val="11"/>
        <color rgb="FF000000"/>
        <rFont val="Arial"/>
      </rPr>
      <t>Adicional de Férias</t>
    </r>
    <r>
      <rPr>
        <b/>
        <sz val="11"/>
        <color rgb="FF808000"/>
        <rFont val="Arial"/>
      </rPr>
      <t xml:space="preserve"> </t>
    </r>
    <r>
      <rPr>
        <b/>
        <sz val="11"/>
        <color rgb="FFFF0000"/>
        <rFont val="Arial"/>
      </rPr>
      <t xml:space="preserve">Obrigatória a cotação de 3,025% sobre o valor do Módulo 1 – Composição da Remuneração1. </t>
    </r>
    <r>
      <rPr>
        <b/>
        <sz val="11"/>
        <color rgb="FF0000FF"/>
        <rFont val="Arial"/>
      </rPr>
      <t xml:space="preserve"> É vedada a cotação de Férias neste Submódulo, </t>
    </r>
    <r>
      <rPr>
        <b/>
        <sz val="11"/>
        <color rgb="FF00B050"/>
        <rFont val="Arial"/>
      </rPr>
      <t>em face de tratar-se de Conta Vinculada</t>
    </r>
    <r>
      <rPr>
        <b/>
        <sz val="11"/>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</si>
  <si>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11"/>
        <color rgb="FF000000"/>
        <rFont val="Arial"/>
      </rPr>
      <t xml:space="preserve">Nota 1:  Como a planilha de custos e formação de preços é calculada mensalmente, provisiona-se proporcionalmente 1/12 (um doze avos) dos valores referentes à gratificação natalina, </t>
    </r>
    <r>
      <rPr>
        <sz val="11"/>
        <color rgb="FF000000"/>
        <rFont val="Arial"/>
      </rPr>
      <t>férias</t>
    </r>
    <r>
      <rPr>
        <sz val="11"/>
        <color rgb="FF000000"/>
        <rFont val="Arial"/>
      </rPr>
      <t xml:space="preserve"> e adicional de férias.
Nota 2:  O adicional de férias contido no Submódulo 2.1 corresponde a 1/3 (um terço) da remuneração que por sua vez é dividido por 12 (doze) conforme Nota 1 acima.
</t>
    </r>
    <r>
      <rPr>
        <b/>
        <strike/>
        <sz val="11"/>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11"/>
        <color rgb="FF000000"/>
        <rFont val="Arial"/>
      </rPr>
      <t xml:space="preserve"> </t>
    </r>
    <r>
      <rPr>
        <b/>
        <strike/>
        <sz val="11"/>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</si>
  <si>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</si>
  <si>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1"/>
        <color theme="1"/>
        <rFont val="Arial"/>
      </rPr>
      <t xml:space="preserve">RAT x FAP  </t>
    </r>
    <r>
      <rPr>
        <b/>
        <sz val="11"/>
        <color rgb="FF0000FF"/>
        <rFont val="Arial"/>
      </rPr>
      <t xml:space="preserve"> 
</t>
    </r>
    <r>
      <rPr>
        <b/>
        <sz val="11"/>
        <color rgb="FFFF0000"/>
        <rFont val="Arial"/>
      </rPr>
      <t>Cálculo do valor: % do RAT x FAP (Fator Acidentário de Prevenção de cada empresa)</t>
    </r>
  </si>
  <si>
    <r>
      <rPr>
        <b/>
        <sz val="11"/>
        <color theme="1"/>
        <rFont val="Arial"/>
      </rPr>
      <t xml:space="preserve">Transporte  </t>
    </r>
    <r>
      <rPr>
        <b/>
        <sz val="11"/>
        <color rgb="FFFF0000"/>
        <rFont val="Arial"/>
      </rPr>
      <t>Cálculo do valor: [(n passag dia × vlr VT × n dias mês ) – (6%xSB)]</t>
    </r>
  </si>
  <si>
    <r>
      <rPr>
        <b/>
        <sz val="11"/>
        <color theme="1"/>
        <rFont val="Arial"/>
      </rPr>
      <t xml:space="preserve">     </t>
    </r>
    <r>
      <rPr>
        <b/>
        <sz val="11"/>
        <color rgb="FFFF0000"/>
        <rFont val="Arial"/>
      </rPr>
      <t>A.1)  Valor da passagem do transporte coletivo no município de
                prestação dos serviços</t>
    </r>
  </si>
  <si>
    <r>
      <rPr>
        <b/>
        <sz val="11"/>
        <color theme="1"/>
        <rFont val="Arial"/>
      </rPr>
      <t xml:space="preserve">     </t>
    </r>
    <r>
      <rPr>
        <b/>
        <sz val="11"/>
        <color rgb="FFFF0000"/>
        <rFont val="Arial"/>
      </rPr>
      <t>A.2) Quantidade de passagens por dia por empregado</t>
    </r>
  </si>
  <si>
    <r>
      <rPr>
        <b/>
        <sz val="11"/>
        <color theme="1"/>
        <rFont val="Arial"/>
      </rPr>
      <t xml:space="preserve">Auxílio-Refeição/Alimentação  </t>
    </r>
    <r>
      <rPr>
        <b/>
        <sz val="11"/>
        <color rgb="FFFF0000"/>
        <rFont val="Arial"/>
      </rPr>
      <t>Cálculo do valor = [(30xVA)x(1-0,20)]</t>
    </r>
  </si>
  <si>
    <r>
      <rPr>
        <b/>
        <sz val="11"/>
        <color theme="1"/>
        <rFont val="Arial"/>
      </rPr>
      <t xml:space="preserve">     </t>
    </r>
    <r>
      <rPr>
        <b/>
        <sz val="11"/>
        <color rgb="FFFF0000"/>
        <rFont val="Arial"/>
      </rPr>
      <t xml:space="preserve">B.1) Valor do Auxílio-Alimentação  </t>
    </r>
    <r>
      <rPr>
        <b/>
        <sz val="11"/>
        <color theme="1"/>
        <rFont val="Arial"/>
      </rPr>
      <t xml:space="preserve">/ </t>
    </r>
  </si>
  <si>
    <r>
      <rPr>
        <b/>
        <sz val="11"/>
        <color theme="1"/>
        <rFont val="Arial"/>
      </rPr>
      <t xml:space="preserve">     </t>
    </r>
    <r>
      <rPr>
        <b/>
        <sz val="11"/>
        <color rgb="FFFF0000"/>
        <rFont val="Arial"/>
      </rPr>
      <t>B.2) Quantidade de dias do mês de recebimento de aux.-aliment. /</t>
    </r>
    <r>
      <rPr>
        <b/>
        <sz val="11"/>
        <color rgb="FF0000FF"/>
        <rFont val="Arial"/>
      </rPr>
      <t xml:space="preserve"> </t>
    </r>
  </si>
  <si>
    <r>
      <rPr>
        <b/>
        <sz val="11"/>
        <color rgb="FFFF0000"/>
        <rFont val="Arial"/>
      </rPr>
      <t xml:space="preserve">     B.3) Participação do empregado em percentual sobre o auxílio-alimentação /</t>
    </r>
    <r>
      <rPr>
        <b/>
        <sz val="11"/>
        <color rgb="FF0000FF"/>
        <rFont val="Arial"/>
      </rPr>
      <t xml:space="preserve"> </t>
    </r>
  </si>
  <si>
    <r>
      <rPr>
        <b/>
        <sz val="11"/>
        <color theme="1"/>
        <rFont val="Arial"/>
      </rPr>
      <t xml:space="preserve">Seguro de Vida </t>
    </r>
    <r>
      <rPr>
        <b/>
        <sz val="11"/>
        <color rgb="FFFF0000"/>
        <rFont val="Arial"/>
      </rPr>
      <t xml:space="preserve">Cálculo do valor: 26 x Rem x 0,023%  </t>
    </r>
    <r>
      <rPr>
        <b/>
        <sz val="11"/>
        <color theme="1"/>
        <rFont val="Arial"/>
      </rPr>
      <t xml:space="preserve">
</t>
    </r>
    <r>
      <rPr>
        <b/>
        <sz val="11"/>
        <color rgb="FF0000FF"/>
        <rFont val="Arial"/>
      </rPr>
      <t>O valor cotado pelo licitante deve ser fixado na planilha e somente deve ser alterado mediante repactuação com comprovação do aumento. Depois da licitação, excluir a fórmula</t>
    </r>
  </si>
  <si>
    <r>
      <rPr>
        <b/>
        <sz val="11"/>
        <color theme="1"/>
        <rFont val="Arial"/>
      </rPr>
      <t xml:space="preserve">Auxílio-Funeral   </t>
    </r>
    <r>
      <rPr>
        <b/>
        <sz val="11"/>
        <color rgb="FFFF0000"/>
        <rFont val="Arial"/>
      </rPr>
      <t xml:space="preserve">Cálculo do valor: (SB x 0,52066%)/12  </t>
    </r>
    <r>
      <rPr>
        <b/>
        <sz val="11"/>
        <color theme="1"/>
        <rFont val="Arial"/>
      </rPr>
      <t>(cláusula 37 da CCT 2021/2023)</t>
    </r>
    <r>
      <rPr>
        <b/>
        <sz val="11"/>
        <color theme="1"/>
        <rFont val="Arial"/>
      </rPr>
      <t xml:space="preserve">
</t>
    </r>
    <r>
      <rPr>
        <b/>
        <sz val="11"/>
        <color rgb="FF0000FF"/>
        <rFont val="Arial"/>
      </rPr>
      <t>O valor cotado pelo licitante deve ser fixado na planilha e somente deve ser alterado mediante repactuação com comprovação do aumento. Depois da licitação, excluir a fórmula</t>
    </r>
  </si>
  <si>
    <r>
      <rPr>
        <b/>
        <sz val="11"/>
        <color rgb="FF000000"/>
        <rFont val="Arial"/>
      </rPr>
      <t xml:space="preserve">13º (décimo terceiro) Salário </t>
    </r>
    <r>
      <rPr>
        <b/>
        <strike/>
        <sz val="11"/>
        <color rgb="FF993366"/>
        <rFont val="Arial"/>
      </rPr>
      <t>(Férias???)</t>
    </r>
    <r>
      <rPr>
        <b/>
        <sz val="11"/>
        <color rgb="FF008080"/>
        <rFont val="Arial"/>
      </rPr>
      <t xml:space="preserve"> </t>
    </r>
    <r>
      <rPr>
        <b/>
        <sz val="11"/>
        <color rgb="FF000000"/>
        <rFont val="Arial"/>
      </rPr>
      <t>e Adicional de Férias</t>
    </r>
  </si>
  <si>
    <r>
      <rPr>
        <b/>
        <sz val="11"/>
        <color theme="1"/>
        <rFont val="Arial"/>
      </rPr>
      <t xml:space="preserve">Aviso Prévio Indenizado    </t>
    </r>
    <r>
      <rPr>
        <b/>
        <sz val="11"/>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</si>
  <si>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1"/>
        <color rgb="FF000000"/>
        <rFont val="Arial"/>
      </rPr>
      <t xml:space="preserve">Aviso Prévio Trabalhado   </t>
    </r>
    <r>
      <rPr>
        <b/>
        <sz val="11"/>
        <color rgb="FF0000FF"/>
        <rFont val="Arial"/>
      </rPr>
      <t xml:space="preserve">  </t>
    </r>
    <r>
      <rPr>
        <b/>
        <sz val="11"/>
        <color rgb="FFFF0000"/>
        <rFont val="Arial"/>
      </rPr>
      <t xml:space="preserve">  
(</t>
    </r>
    <r>
      <rPr>
        <b/>
        <sz val="11"/>
        <color rgb="FFFF0000"/>
        <rFont val="Arial"/>
      </rPr>
      <t>negociar extinção/redução na 1ª prorrogação)
  Cálculo do valor= [(Rem1/30)x7]/ meses do contratox100% dos empregados - ao final do contrato</t>
    </r>
    <r>
      <rPr>
        <b/>
        <sz val="11"/>
        <color rgb="FF0000FF"/>
        <rFont val="Arial"/>
      </rPr>
      <t xml:space="preserve">  </t>
    </r>
    <r>
      <rPr>
        <b/>
        <sz val="11"/>
        <color rgb="FF0000FF"/>
        <rFont val="Arial"/>
      </rPr>
      <t xml:space="preserve">
CONFORME ACORDAO  TCU 1.186/2017 definiu NOTA TEC. 652/2017 - MP
 </t>
    </r>
    <r>
      <rPr>
        <b/>
        <u/>
        <sz val="11"/>
        <color rgb="FF0000FF"/>
        <rFont val="Arial"/>
      </rPr>
      <t xml:space="preserve">PERCENTUAL MAXIMO DE 1,94% </t>
    </r>
    <r>
      <rPr>
        <b/>
        <sz val="11"/>
        <color rgb="FF0000FF"/>
        <rFont val="Arial"/>
      </rPr>
      <t>para aviso trabalhado 
E A sua reducao PARA o MAXIMO de  0,194%  apartir DA PRIMEIRA RENOVAÇÃO
(observada rotatividade para manutenção deste custo - PREVIAMENTE ACORDADO COM A EMPRESA)</t>
    </r>
  </si>
  <si>
    <r>
      <rPr>
        <b/>
        <sz val="11"/>
        <color theme="1"/>
        <rFont val="Arial"/>
      </rPr>
      <t>Multa do FGTS sobre o Aviso PrévioTrabalhado e Aviso Prévio Indenizado</t>
    </r>
    <r>
      <rPr>
        <b/>
        <sz val="11"/>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</si>
  <si>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</si>
  <si>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11"/>
        <color rgb="FFFF0000"/>
        <rFont val="Arial"/>
      </rPr>
      <t>(sem VA e VT)</t>
    </r>
    <r>
      <rPr>
        <b/>
        <sz val="11"/>
        <color rgb="FFFF0000"/>
        <rFont val="Arial"/>
      </rPr>
      <t xml:space="preserve"> </t>
    </r>
    <r>
      <rPr>
        <b/>
        <sz val="11"/>
        <color rgb="FF0000FF"/>
        <rFont val="Arial"/>
      </rPr>
      <t>=</t>
    </r>
  </si>
  <si>
    <r>
      <rPr>
        <b/>
        <sz val="11"/>
        <color rgb="FF000000"/>
        <rFont val="Arial"/>
      </rPr>
      <t xml:space="preserve">Substituto na cobertura de Férias  </t>
    </r>
    <r>
      <rPr>
        <b/>
        <sz val="11"/>
        <color rgb="FFFF0000"/>
        <rFont val="Arial"/>
      </rPr>
      <t xml:space="preserve">Obrigatória a cotação de 9,075% sobre o valor do Módulo 1 - Composição da Remuneração, </t>
    </r>
    <r>
      <rPr>
        <b/>
        <sz val="11"/>
        <color rgb="FF0066CC"/>
        <rFont val="Arial"/>
      </rPr>
      <t xml:space="preserve">mais </t>
    </r>
    <r>
      <rPr>
        <b/>
        <sz val="11"/>
        <color rgb="FFFF0000"/>
        <rFont val="Arial"/>
      </rPr>
      <t>o percentual do Submódulo 2.2 sobre o cálculo anterior, conforme Anexo XII da IN 5/17 (Férias + Adicional = 12,10% = 9,075% + 3,025%)</t>
    </r>
  </si>
  <si>
    <r>
      <rPr>
        <b/>
        <sz val="11"/>
        <color theme="1"/>
        <rFont val="Arial"/>
      </rPr>
      <t xml:space="preserve">Substituto na cobertura de Ausências Legais </t>
    </r>
    <r>
      <rPr>
        <b/>
        <sz val="11"/>
        <color rgb="FFFF0000"/>
        <rFont val="Arial"/>
      </rPr>
      <t>Cálculo do valor = [(</t>
    </r>
    <r>
      <rPr>
        <b/>
        <sz val="11"/>
        <color rgb="FF0000FF"/>
        <rFont val="Arial"/>
      </rPr>
      <t>BCCPA</t>
    </r>
    <r>
      <rPr>
        <b/>
        <sz val="11"/>
        <color rgb="FFFF0000"/>
        <rFont val="Arial"/>
      </rPr>
      <t>/30)x1dia]/12</t>
    </r>
  </si>
  <si>
    <r>
      <rPr>
        <b/>
        <sz val="11"/>
        <color theme="1"/>
        <rFont val="Arial"/>
      </rPr>
      <t xml:space="preserve">Substituto na cobertura de Licença-Paternidade
</t>
    </r>
    <r>
      <rPr>
        <b/>
        <sz val="11"/>
        <color rgb="FFFF0000"/>
        <rFont val="Arial"/>
      </rPr>
      <t>Cálculo do valor = {[(</t>
    </r>
    <r>
      <rPr>
        <b/>
        <sz val="11"/>
        <color rgb="FF0000FF"/>
        <rFont val="Arial"/>
      </rPr>
      <t>BCCPA</t>
    </r>
    <r>
      <rPr>
        <b/>
        <sz val="11"/>
        <color rgb="FFFF0000"/>
        <rFont val="Arial"/>
      </rPr>
      <t>/30)x5dias]/12}x1,5%</t>
    </r>
  </si>
  <si>
    <r>
      <rPr>
        <b/>
        <sz val="11"/>
        <color theme="1"/>
        <rFont val="Arial"/>
      </rPr>
      <t xml:space="preserve">Substituto na cobertura de Ausência por acidente de trabalho
</t>
    </r>
    <r>
      <rPr>
        <b/>
        <sz val="11"/>
        <color rgb="FFFF0000"/>
        <rFont val="Arial"/>
      </rPr>
      <t>Cálculo do valor  = {[(</t>
    </r>
    <r>
      <rPr>
        <b/>
        <sz val="11"/>
        <color rgb="FF0000FF"/>
        <rFont val="Arial"/>
      </rPr>
      <t>BCCPA</t>
    </r>
    <r>
      <rPr>
        <b/>
        <sz val="11"/>
        <color rgb="FFFF0000"/>
        <rFont val="Arial"/>
      </rPr>
      <t>/30)x15dias]/12}x0,78%</t>
    </r>
  </si>
  <si>
    <r>
      <rPr>
        <b/>
        <sz val="11"/>
        <color theme="1"/>
        <rFont val="Arial"/>
      </rPr>
      <t xml:space="preserve">Substituto na cobertura de Afastamento Maternidade 
</t>
    </r>
    <r>
      <rPr>
        <b/>
        <sz val="11"/>
        <color rgb="FFFF0000"/>
        <rFont val="Arial"/>
      </rPr>
      <t>{[((MÓD1 + MÓD1 / 3) + SUB2.2 x (MÓD1 + MÓD1 / 3)) x (4/12)] / 12} x 2% + [(SUB2.3 - VA - VT + MÓD3) x (4/12)] x 2%</t>
    </r>
  </si>
  <si>
    <r>
      <rPr>
        <b/>
        <sz val="11"/>
        <color theme="1"/>
        <rFont val="Arial"/>
      </rPr>
      <t>Substituto na cobertura de Outras ausências (especificar)
Substituto na cobertura de Ausência por doença</t>
    </r>
    <r>
      <rPr>
        <b/>
        <sz val="11"/>
        <color rgb="FFFF0000"/>
        <rFont val="Arial"/>
      </rPr>
      <t xml:space="preserve"> </t>
    </r>
    <r>
      <rPr>
        <b/>
        <sz val="11"/>
        <color rgb="FF0000FF"/>
        <rFont val="Arial"/>
      </rPr>
      <t xml:space="preserve">(incluído)
</t>
    </r>
    <r>
      <rPr>
        <b/>
        <sz val="11"/>
        <color rgb="FFFF0000"/>
        <rFont val="Arial"/>
      </rPr>
      <t>Cálculo do valor = [(</t>
    </r>
    <r>
      <rPr>
        <b/>
        <sz val="11"/>
        <color rgb="FF0000FF"/>
        <rFont val="Arial"/>
      </rPr>
      <t>BCCPA</t>
    </r>
    <r>
      <rPr>
        <b/>
        <sz val="11"/>
        <color rgb="FFFF0000"/>
        <rFont val="Arial"/>
      </rPr>
      <t>)/30)x3dias]/12 
Incluído por permissão da IN Seges nº 5/2017, Anexo VII-B, item 1.7, alíneas "b" e "c".5.</t>
    </r>
  </si>
  <si>
    <t>Uniformes</t>
  </si>
  <si>
    <t xml:space="preserve">Outros  </t>
  </si>
  <si>
    <r>
      <rPr>
        <sz val="11"/>
        <color rgb="FF000000"/>
        <rFont val="Calibri"/>
      </rPr>
      <t xml:space="preserve">  </t>
    </r>
    <r>
      <rPr>
        <b/>
        <sz val="11"/>
        <color rgb="FF000000"/>
        <rFont val="Arial"/>
      </rPr>
      <t xml:space="preserve">a) PIS  </t>
    </r>
    <r>
      <rPr>
        <sz val="11"/>
        <color rgb="FFFF0000"/>
        <rFont val="Arial"/>
      </rPr>
      <t>(depende do regime de tributação - utilizada a hipótese de Lucro Real ou Presumido)</t>
    </r>
  </si>
  <si>
    <r>
      <rPr>
        <sz val="11"/>
        <color rgb="FF000000"/>
        <rFont val="Calibri"/>
      </rPr>
      <t xml:space="preserve">  </t>
    </r>
    <r>
      <rPr>
        <b/>
        <sz val="11"/>
        <color rgb="FF000000"/>
        <rFont val="Arial"/>
      </rPr>
      <t xml:space="preserve">b) COFINS       </t>
    </r>
    <r>
      <rPr>
        <sz val="11"/>
        <color rgb="FFFF0000"/>
        <rFont val="Arial"/>
      </rPr>
      <t>(depende do regime de tributação - utilizada a hipótese de Lucro Real ou Presumido)</t>
    </r>
  </si>
  <si>
    <r>
      <rPr>
        <b/>
        <sz val="11"/>
        <color theme="1"/>
        <rFont val="Arial"/>
      </rPr>
      <t xml:space="preserve"> c) IRPJ</t>
    </r>
    <r>
      <rPr>
        <b/>
        <sz val="11"/>
        <color rgb="FF0000FF"/>
        <rFont val="Arial"/>
      </rPr>
      <t xml:space="preserve"> </t>
    </r>
    <r>
      <rPr>
        <b/>
        <sz val="11"/>
        <color rgb="FF0000FF"/>
        <rFont val="Arial"/>
      </rPr>
      <t>-</t>
    </r>
    <r>
      <rPr>
        <b/>
        <sz val="11"/>
        <color rgb="FF0000FF"/>
        <rFont val="Arial"/>
      </rPr>
      <t xml:space="preserve"> Em face dos Acórdãos TCU nºs 950/2007-P e 205/2018-P, o licitante não pode cotar expressamente este tributo.</t>
    </r>
  </si>
  <si>
    <r>
      <rPr>
        <b/>
        <sz val="11"/>
        <color theme="1"/>
        <rFont val="Arial"/>
      </rPr>
      <t xml:space="preserve"> d) CSLL </t>
    </r>
    <r>
      <rPr>
        <b/>
        <sz val="11"/>
        <color rgb="FF0000FF"/>
        <rFont val="Arial"/>
      </rPr>
      <t xml:space="preserve">- </t>
    </r>
    <r>
      <rPr>
        <b/>
        <sz val="11"/>
        <color rgb="FF0000FF"/>
        <rFont val="Arial"/>
      </rPr>
      <t>Em face dos Acórdãos TCU nºs 950/2007-P e 205/2018-P, o licitante não pode cotar expressamente este tributo.</t>
    </r>
  </si>
  <si>
    <t xml:space="preserve">  a) ISS          </t>
  </si>
  <si>
    <r>
      <rPr>
        <b/>
        <sz val="11"/>
        <color theme="1"/>
        <rFont val="Arial"/>
      </rPr>
      <t xml:space="preserve">
</t>
    </r>
    <r>
      <rPr>
        <b/>
        <sz val="11"/>
        <color theme="1"/>
        <rFont val="Arial"/>
      </rPr>
      <t xml:space="preserve">2. QUADRO-RESUMO DO CUSTO POR POSTO DE TRABALHO
</t>
    </r>
  </si>
  <si>
    <t>Valor Total por Posto</t>
  </si>
  <si>
    <t>PREÇO MENSAL DO POSTO  
(R$)</t>
  </si>
  <si>
    <r>
      <rPr>
        <b/>
        <sz val="11"/>
        <color theme="1"/>
        <rFont val="Arial"/>
      </rPr>
      <t xml:space="preserve">Outros (especificar) </t>
    </r>
    <r>
      <rPr>
        <b/>
        <sz val="11"/>
        <color rgb="FFFF0000"/>
        <rFont val="Arial"/>
      </rPr>
      <t>(excluir linhas que não serão utilizadas)</t>
    </r>
  </si>
  <si>
    <r>
      <rPr>
        <b/>
        <sz val="11"/>
        <color theme="1"/>
        <rFont val="Arial"/>
      </rPr>
      <t xml:space="preserve">Valor global da proposta </t>
    </r>
    <r>
      <rPr>
        <b/>
        <sz val="11"/>
        <color theme="1"/>
        <rFont val="Arial"/>
      </rPr>
      <t>(valor mensal do serviço x nº de meses do contrato)</t>
    </r>
  </si>
  <si>
    <r>
      <rPr>
        <b/>
        <sz val="11"/>
        <color rgb="FF00B0F0"/>
        <rFont val="Arial"/>
      </rPr>
      <t xml:space="preserve">Outros (especificar) </t>
    </r>
    <r>
      <rPr>
        <b/>
        <sz val="11"/>
        <color rgb="FF00B0F0"/>
        <rFont val="Arial"/>
      </rPr>
      <t>(excluir as linhas não utilizadas)</t>
    </r>
  </si>
  <si>
    <r>
      <rPr>
        <b/>
        <sz val="11"/>
        <color theme="1"/>
        <rFont val="Arial"/>
      </rPr>
      <t xml:space="preserve">1. MÓDULOS .
</t>
    </r>
    <r>
      <rPr>
        <b/>
        <sz val="11"/>
        <color rgb="FF000000"/>
        <rFont val="Arial"/>
      </rPr>
      <t xml:space="preserve">Mão de obra
</t>
    </r>
    <r>
      <rPr>
        <b/>
        <sz val="11"/>
        <color rgb="FF000000"/>
        <rFont val="Arial"/>
      </rPr>
      <t>Mão de obra vinculada à execução contratual</t>
    </r>
  </si>
  <si>
    <r>
      <rPr>
        <b/>
        <sz val="11"/>
        <color rgb="FFFF0000"/>
        <rFont val="Arial"/>
      </rPr>
      <t xml:space="preserve">Valor do salário x hora SEM adicionais 
</t>
    </r>
    <r>
      <rPr>
        <b/>
        <sz val="11"/>
        <color rgb="FF0000FF"/>
        <rFont val="Arial"/>
      </rPr>
      <t>VSH (s/peri) =</t>
    </r>
    <r>
      <rPr>
        <b/>
        <sz val="11"/>
        <color rgb="FFFF0000"/>
        <rFont val="Arial"/>
      </rPr>
      <t xml:space="preserve"> </t>
    </r>
    <r>
      <rPr>
        <b/>
        <sz val="11"/>
        <color rgb="FF0000FF"/>
        <rFont val="Arial"/>
      </rPr>
      <t>(Valor do salário normativo / 220 h)</t>
    </r>
  </si>
  <si>
    <r>
      <rPr>
        <b/>
        <sz val="11"/>
        <color rgb="FFFF0000"/>
        <rFont val="Arial"/>
      </rPr>
      <t xml:space="preserve">Vlr do salário × hora com  Adicionais pertinentes 
</t>
    </r>
    <r>
      <rPr>
        <b/>
        <sz val="11"/>
        <color rgb="FF0000FF"/>
        <rFont val="Arial"/>
      </rPr>
      <t>VSH (c/peri) =</t>
    </r>
    <r>
      <rPr>
        <b/>
        <sz val="11"/>
        <color rgb="FFFF0000"/>
        <rFont val="Arial"/>
      </rPr>
      <t xml:space="preserve"> </t>
    </r>
    <r>
      <rPr>
        <b/>
        <sz val="11"/>
        <color rgb="FF0000FF"/>
        <rFont val="Arial"/>
      </rPr>
      <t>(valor da hora + 30% de peri) ou 20% insalub)  e adicional de funcao</t>
    </r>
  </si>
  <si>
    <r>
      <rPr>
        <b/>
        <sz val="11"/>
        <color rgb="FFFF0000"/>
        <rFont val="Arial"/>
      </rPr>
      <t xml:space="preserve">Valor da hora EXTRA sem adicionais pertinentes -  50% 
</t>
    </r>
    <r>
      <rPr>
        <b/>
        <sz val="11"/>
        <color rgb="FF0000FF"/>
        <rFont val="Arial"/>
      </rPr>
      <t>HE (c/peri) = (valor da hora + 50% de peri)</t>
    </r>
  </si>
  <si>
    <r>
      <rPr>
        <b/>
        <sz val="11"/>
        <color rgb="FFFF0000"/>
        <rFont val="Arial"/>
      </rPr>
      <t xml:space="preserve">Valor da hora EXTRA 50% - com Adicionais
</t>
    </r>
    <r>
      <rPr>
        <b/>
        <sz val="11"/>
        <color rgb="FF0000FF"/>
        <rFont val="Arial"/>
      </rPr>
      <t>HE (c/peri) = (valor da hora + 30% de peri) + 50%</t>
    </r>
  </si>
  <si>
    <r>
      <rPr>
        <b/>
        <sz val="11"/>
        <color rgb="FFFF0000"/>
        <rFont val="Arial"/>
      </rPr>
      <t xml:space="preserve">Valor da hora NOTURNA  com adicionais pertinentes 
</t>
    </r>
    <r>
      <rPr>
        <b/>
        <sz val="11"/>
        <color rgb="FF0000FF"/>
        <rFont val="Arial"/>
      </rPr>
      <t>AN (c/peri) =</t>
    </r>
    <r>
      <rPr>
        <b/>
        <sz val="11"/>
        <color rgb="FFFF0000"/>
        <rFont val="Arial"/>
      </rPr>
      <t xml:space="preserve"> </t>
    </r>
    <r>
      <rPr>
        <b/>
        <sz val="11"/>
        <color rgb="FF0000FF"/>
        <rFont val="Arial"/>
      </rPr>
      <t>(valor da hora + 30% de peri) x 20%</t>
    </r>
  </si>
  <si>
    <r>
      <rPr>
        <b/>
        <sz val="11"/>
        <color rgb="FFFF0000"/>
        <rFont val="Arial"/>
      </rPr>
      <t xml:space="preserve">Valor da hora EXTRA A 100% COM ADICIONAIS PERTINENTES 
</t>
    </r>
    <r>
      <rPr>
        <b/>
        <sz val="11"/>
        <color rgb="FF0000FF"/>
        <rFont val="Arial"/>
      </rPr>
      <t>VHP =</t>
    </r>
    <r>
      <rPr>
        <b/>
        <sz val="11"/>
        <color rgb="FFFF0000"/>
        <rFont val="Arial"/>
      </rPr>
      <t xml:space="preserve">  </t>
    </r>
    <r>
      <rPr>
        <b/>
        <sz val="11"/>
        <color rgb="FF0000FF"/>
        <rFont val="Arial"/>
      </rPr>
      <t>(30% do valor da hora sem peri)</t>
    </r>
  </si>
  <si>
    <r>
      <rPr>
        <b/>
        <sz val="11"/>
        <color rgb="FFFF0000"/>
        <rFont val="Arial"/>
      </rPr>
      <t xml:space="preserve">Valor do adicional de periculosidade              </t>
    </r>
    <r>
      <rPr>
        <b/>
        <sz val="11"/>
        <color rgb="FFFF0000"/>
        <rFont val="Arial"/>
      </rPr>
      <t xml:space="preserve">  </t>
    </r>
    <r>
      <rPr>
        <b/>
        <sz val="11"/>
        <color rgb="FF0000FF"/>
        <rFont val="Arial"/>
      </rPr>
      <t>(30% do salário normativo)</t>
    </r>
  </si>
  <si>
    <t xml:space="preserve">Adicional de função </t>
  </si>
  <si>
    <r>
      <rPr>
        <b/>
        <sz val="11"/>
        <color theme="1"/>
        <rFont val="Arial"/>
      </rPr>
      <t>Adicional de Periculosidade</t>
    </r>
    <r>
      <rPr>
        <b/>
        <sz val="11"/>
        <color rgb="FFFF0000"/>
        <rFont val="Arial"/>
      </rPr>
      <t xml:space="preserve"> (Lei nº 12.740/2012)    (30% do Salário-Base) </t>
    </r>
    <r>
      <rPr>
        <b/>
        <sz val="11"/>
        <color theme="1"/>
        <rFont val="Arial"/>
      </rPr>
      <t xml:space="preserve">
(cláusula 29 da CCT 2021/2023)</t>
    </r>
  </si>
  <si>
    <t>Adicional de Insalubridade</t>
  </si>
  <si>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</si>
  <si>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1"/>
        <color rgb="FF000000"/>
        <rFont val="Arial"/>
      </rPr>
      <t>Adicional de Hora Noturna Reduzida</t>
    </r>
    <r>
      <rPr>
        <b/>
        <sz val="11"/>
        <color rgb="FFFF0000"/>
        <rFont val="Arial"/>
      </rPr>
      <t xml:space="preserve"> (Hora Reduzida Noturna como Extra) </t>
    </r>
    <r>
      <rPr>
        <b/>
        <sz val="11"/>
        <color rgb="FF0000FF"/>
        <rFont val="Arial"/>
      </rPr>
      <t xml:space="preserve">(HRN que excedeu de 190,67h) </t>
    </r>
    <r>
      <rPr>
        <b/>
        <sz val="11"/>
        <color rgb="FFFF0000"/>
        <rFont val="Arial"/>
      </rPr>
      <t xml:space="preserve">Cálculo do valor: HE (c/peri) x 4,33 h x 2 vig.)   [195h (=180h + 15h) - 190,67 = 4,33h como horas extras, sendo  15 = 15 x (7hx1,1428571 – 7h) </t>
    </r>
    <r>
      <rPr>
        <b/>
        <sz val="11"/>
        <color rgb="FF0000FF"/>
        <rFont val="Arial"/>
      </rPr>
      <t>Das 22h às 5h</t>
    </r>
    <r>
      <rPr>
        <b/>
        <sz val="11"/>
        <color rgb="FF000000"/>
        <rFont val="Arial"/>
      </rPr>
      <t xml:space="preserve"> (cláusula 28 da CCT 2021/2023)</t>
    </r>
  </si>
  <si>
    <r>
      <rPr>
        <b/>
        <sz val="11"/>
        <color rgb="FF000000"/>
        <rFont val="Arial"/>
      </rPr>
      <t xml:space="preserve">Adicional para Troca de Uniforme -  Cálculo do valor: 1/6 do salário-hora por dia = </t>
    </r>
    <r>
      <rPr>
        <b/>
        <sz val="11"/>
        <color rgb="FFFF0000"/>
        <rFont val="Arial"/>
      </rPr>
      <t xml:space="preserve">(VSH/6=1,34)x1,3x 2x15 </t>
    </r>
    <r>
      <rPr>
        <b/>
        <sz val="11"/>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</si>
  <si>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</si>
  <si>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</si>
  <si>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1"/>
        <color theme="1"/>
        <rFont val="Arial"/>
      </rPr>
      <t xml:space="preserve">RSR (Repouso Semanal Remunerado) - </t>
    </r>
    <r>
      <rPr>
        <b/>
        <sz val="11"/>
        <color rgb="FFFF0000"/>
        <rFont val="Arial"/>
      </rPr>
      <t>Cálculo do valor: 20% sobre os adicionais pertinentes) -</t>
    </r>
    <r>
      <rPr>
        <b/>
        <sz val="11"/>
        <color theme="1"/>
        <rFont val="Arial"/>
      </rPr>
      <t xml:space="preserve"> (cláusula 32 da CCT 2021/2023) -</t>
    </r>
    <r>
      <rPr>
        <b/>
        <sz val="11"/>
        <color rgb="FFFF0000"/>
        <rFont val="Arial"/>
      </rPr>
      <t xml:space="preserve"> </t>
    </r>
    <r>
      <rPr>
        <b/>
        <strike/>
        <sz val="11"/>
        <color rgb="FF0000FF"/>
        <rFont val="Arial"/>
      </rPr>
      <t>(???? Item controverso - consulte sua CCT ou assessoria jurídica)</t>
    </r>
    <r>
      <rPr>
        <b/>
        <strike/>
        <sz val="11"/>
        <color theme="1"/>
        <rFont val="Arial"/>
      </rPr>
      <t xml:space="preserve">. </t>
    </r>
    <r>
      <rPr>
        <b/>
        <strike/>
        <sz val="11"/>
        <color rgb="FF0000FF"/>
        <rFont val="Arial"/>
      </rPr>
      <t>Se não tiver na CCT não cotar</t>
    </r>
  </si>
  <si>
    <r>
      <rPr>
        <b/>
        <sz val="11"/>
        <color theme="1"/>
        <rFont val="Arial"/>
      </rPr>
      <t xml:space="preserve">Intervalo Intrajornada </t>
    </r>
    <r>
      <rPr>
        <b/>
        <sz val="11"/>
        <color rgb="FFFF0000"/>
        <rFont val="Arial"/>
      </rPr>
      <t>(Adicional de Intervalo)  Cálculo do valor: HE (s/peri) x 15d x2vigx</t>
    </r>
    <r>
      <rPr>
        <b/>
        <sz val="11"/>
        <color rgb="FF0000FF"/>
        <rFont val="Arial"/>
      </rPr>
      <t>0,5h</t>
    </r>
    <r>
      <rPr>
        <b/>
        <sz val="11"/>
        <color rgb="FFFF0000"/>
        <rFont val="Arial"/>
      </rPr>
      <t>) - (</t>
    </r>
    <r>
      <rPr>
        <b/>
        <sz val="11"/>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</si>
  <si>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</si>
  <si>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1"/>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</si>
  <si>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</si>
  <si>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1"/>
        <color rgb="FF993366"/>
        <rFont val="Arial"/>
      </rPr>
      <t>(Férias???)</t>
    </r>
    <r>
      <rPr>
        <b/>
        <strike/>
        <sz val="11"/>
        <color rgb="FF000000"/>
        <rFont val="Arial"/>
      </rPr>
      <t xml:space="preserve"> </t>
    </r>
    <r>
      <rPr>
        <b/>
        <sz val="11"/>
        <color rgb="FF000000"/>
        <rFont val="Arial"/>
      </rPr>
      <t>e Adicional de Férias</t>
    </r>
  </si>
  <si>
    <r>
      <rPr>
        <b/>
        <sz val="11"/>
        <color rgb="FF000000"/>
        <rFont val="Arial"/>
      </rPr>
      <t>13º (décimo terceiro) Salário</t>
    </r>
    <r>
      <rPr>
        <b/>
        <sz val="11"/>
        <color rgb="FF000000"/>
        <rFont val="Arial"/>
      </rPr>
      <t xml:space="preserve"> </t>
    </r>
    <r>
      <rPr>
        <b/>
        <sz val="11"/>
        <color rgb="FFFF0000"/>
        <rFont val="Arial"/>
      </rPr>
      <t>Obrigatória a cotação de 8,33% sobre o valor do Módulo 1 – Composição da Remuneração1, conforme Anexo XII da IN 5/17</t>
    </r>
  </si>
  <si>
    <r>
      <rPr>
        <b/>
        <strike/>
        <sz val="11"/>
        <color rgb="FFFF0000"/>
        <rFont val="Arial"/>
      </rPr>
      <t>(Férias e ???)</t>
    </r>
    <r>
      <rPr>
        <b/>
        <sz val="11"/>
        <color rgb="FF808000"/>
        <rFont val="Arial"/>
      </rPr>
      <t xml:space="preserve"> </t>
    </r>
    <r>
      <rPr>
        <b/>
        <sz val="11"/>
        <color rgb="FF000000"/>
        <rFont val="Arial"/>
      </rPr>
      <t>Adicional de Férias</t>
    </r>
    <r>
      <rPr>
        <b/>
        <sz val="11"/>
        <color rgb="FF808000"/>
        <rFont val="Arial"/>
      </rPr>
      <t xml:space="preserve"> </t>
    </r>
    <r>
      <rPr>
        <b/>
        <sz val="11"/>
        <color rgb="FFFF0000"/>
        <rFont val="Arial"/>
      </rPr>
      <t xml:space="preserve">Obrigatória a cotação de 3,025% sobre o valor do Módulo 1 – Composição da Remuneração1. </t>
    </r>
    <r>
      <rPr>
        <b/>
        <sz val="11"/>
        <color rgb="FF0000FF"/>
        <rFont val="Arial"/>
      </rPr>
      <t xml:space="preserve"> É vedada a cotação de Férias neste Submódulo, </t>
    </r>
    <r>
      <rPr>
        <b/>
        <sz val="11"/>
        <color rgb="FF00B050"/>
        <rFont val="Arial"/>
      </rPr>
      <t>em face de tratar-se de Conta Vinculada</t>
    </r>
    <r>
      <rPr>
        <b/>
        <sz val="11"/>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</si>
  <si>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11"/>
        <color rgb="FF000000"/>
        <rFont val="Arial"/>
      </rPr>
      <t xml:space="preserve">Nota 1:  Como a planilha de custos e formação de preços é calculada mensalmente, provisiona-se proporcionalmente 1/12 (um doze avos) dos valores referentes à gratificação natalina, </t>
    </r>
    <r>
      <rPr>
        <sz val="11"/>
        <color rgb="FF000000"/>
        <rFont val="Arial"/>
      </rPr>
      <t>férias</t>
    </r>
    <r>
      <rPr>
        <sz val="11"/>
        <color rgb="FF000000"/>
        <rFont val="Arial"/>
      </rPr>
      <t xml:space="preserve"> e adicional de férias.
Nota 2:  O adicional de férias contido no Submódulo 2.1 corresponde a 1/3 (um terço) da remuneração que por sua vez é dividido por 12 (doze) conforme Nota 1 acima.
</t>
    </r>
    <r>
      <rPr>
        <b/>
        <strike/>
        <sz val="11"/>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11"/>
        <color rgb="FF000000"/>
        <rFont val="Arial"/>
      </rPr>
      <t xml:space="preserve"> </t>
    </r>
    <r>
      <rPr>
        <b/>
        <strike/>
        <sz val="11"/>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</si>
  <si>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</si>
  <si>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1"/>
        <color theme="1"/>
        <rFont val="Arial"/>
      </rPr>
      <t xml:space="preserve">RAT x FAP  </t>
    </r>
    <r>
      <rPr>
        <b/>
        <sz val="11"/>
        <color rgb="FF0000FF"/>
        <rFont val="Arial"/>
      </rPr>
      <t xml:space="preserve"> 
</t>
    </r>
    <r>
      <rPr>
        <b/>
        <sz val="11"/>
        <color rgb="FFFF0000"/>
        <rFont val="Arial"/>
      </rPr>
      <t>Cálculo do valor: % do RAT x FAP (Fator Acidentário de Prevenção de cada empresa)</t>
    </r>
  </si>
  <si>
    <r>
      <rPr>
        <b/>
        <sz val="11"/>
        <color theme="1"/>
        <rFont val="Arial"/>
      </rPr>
      <t xml:space="preserve">Transporte  </t>
    </r>
    <r>
      <rPr>
        <b/>
        <sz val="11"/>
        <color rgb="FFFF0000"/>
        <rFont val="Arial"/>
      </rPr>
      <t>Cálculo do valor: [(n passag dia × vlr VT × n dias mês ) – (6%xSB)]</t>
    </r>
  </si>
  <si>
    <r>
      <rPr>
        <b/>
        <sz val="11"/>
        <color theme="1"/>
        <rFont val="Arial"/>
      </rPr>
      <t xml:space="preserve">     </t>
    </r>
    <r>
      <rPr>
        <b/>
        <sz val="11"/>
        <color rgb="FFFF0000"/>
        <rFont val="Arial"/>
      </rPr>
      <t>A.1)  Valor da passagem do transporte coletivo no município de
                prestação dos serviços</t>
    </r>
    <r>
      <rPr>
        <b/>
        <sz val="11"/>
        <color theme="1"/>
        <rFont val="Arial"/>
      </rPr>
      <t xml:space="preserve"> </t>
    </r>
  </si>
  <si>
    <r>
      <rPr>
        <b/>
        <sz val="11"/>
        <color theme="1"/>
        <rFont val="Arial"/>
      </rPr>
      <t xml:space="preserve">     </t>
    </r>
    <r>
      <rPr>
        <b/>
        <sz val="11"/>
        <color rgb="FFFF0000"/>
        <rFont val="Arial"/>
      </rPr>
      <t>A.2) Quantidade de passagens por dia por empregado</t>
    </r>
  </si>
  <si>
    <r>
      <rPr>
        <b/>
        <sz val="11"/>
        <color theme="1"/>
        <rFont val="Arial"/>
      </rPr>
      <t xml:space="preserve">Auxílio-Refeição/Alimentação  </t>
    </r>
    <r>
      <rPr>
        <b/>
        <sz val="11"/>
        <color rgb="FFFF0000"/>
        <rFont val="Arial"/>
      </rPr>
      <t>Cálculo do valor = [(30xVA)x(1-0,20)]</t>
    </r>
  </si>
  <si>
    <r>
      <rPr>
        <b/>
        <sz val="11"/>
        <color theme="1"/>
        <rFont val="Arial"/>
      </rPr>
      <t xml:space="preserve">     </t>
    </r>
    <r>
      <rPr>
        <b/>
        <sz val="11"/>
        <color rgb="FFFF0000"/>
        <rFont val="Arial"/>
      </rPr>
      <t xml:space="preserve">B.1) Valor do Auxílio-Alimentação  </t>
    </r>
    <r>
      <rPr>
        <b/>
        <sz val="11"/>
        <color theme="1"/>
        <rFont val="Arial"/>
      </rPr>
      <t xml:space="preserve">(cláusula 33, §10, da CCT 2021/2023) </t>
    </r>
  </si>
  <si>
    <r>
      <rPr>
        <b/>
        <sz val="11"/>
        <color theme="1"/>
        <rFont val="Arial"/>
      </rPr>
      <t xml:space="preserve">     </t>
    </r>
    <r>
      <rPr>
        <b/>
        <sz val="11"/>
        <color rgb="FFFF0000"/>
        <rFont val="Arial"/>
      </rPr>
      <t>B.2) Quantidade de dias do mês de recebimento de auxílio-alimentação</t>
    </r>
  </si>
  <si>
    <r>
      <rPr>
        <b/>
        <sz val="11"/>
        <color rgb="FFFF0000"/>
        <rFont val="Arial"/>
      </rPr>
      <t xml:space="preserve">     B.3) Participação do empregado em percentual sobre o auxílio-alimentação </t>
    </r>
    <r>
      <rPr>
        <b/>
        <sz val="11"/>
        <color rgb="FFFF0000"/>
        <rFont val="Arial"/>
      </rPr>
      <t xml:space="preserve">(cláusula 33, §3º, da CCT 2021/2023) </t>
    </r>
  </si>
  <si>
    <r>
      <rPr>
        <b/>
        <sz val="11"/>
        <color theme="1"/>
        <rFont val="Arial"/>
      </rPr>
      <t xml:space="preserve">Seguro de Vida </t>
    </r>
    <r>
      <rPr>
        <b/>
        <sz val="11"/>
        <color rgb="FFFF0000"/>
        <rFont val="Arial"/>
      </rPr>
      <t xml:space="preserve">Cálculo do valor: 26 x Rem x 0,023%  </t>
    </r>
    <r>
      <rPr>
        <b/>
        <sz val="11"/>
        <color theme="1"/>
        <rFont val="Arial"/>
      </rPr>
      <t xml:space="preserve"> (cláusula 38 da CCT 2021/2023)</t>
    </r>
    <r>
      <rPr>
        <b/>
        <sz val="11"/>
        <color theme="1"/>
        <rFont val="Arial"/>
      </rPr>
      <t xml:space="preserve">
</t>
    </r>
    <r>
      <rPr>
        <b/>
        <sz val="11"/>
        <color rgb="FF0000FF"/>
        <rFont val="Arial"/>
      </rPr>
      <t>O valor cotado pelo licitante deve ser fixado na planilha e somente deve ser alterado mediante repactuação com comprovação do aumento. Depois da licitação, excluir a fórmula</t>
    </r>
  </si>
  <si>
    <r>
      <rPr>
        <b/>
        <sz val="11"/>
        <color theme="1"/>
        <rFont val="Arial"/>
      </rPr>
      <t xml:space="preserve">Auxílio-Funeral   </t>
    </r>
    <r>
      <rPr>
        <b/>
        <sz val="11"/>
        <color rgb="FFFF0000"/>
        <rFont val="Arial"/>
      </rPr>
      <t xml:space="preserve">Cálculo do valor: (SB x 0,52066%)/12  </t>
    </r>
    <r>
      <rPr>
        <b/>
        <sz val="11"/>
        <color theme="1"/>
        <rFont val="Arial"/>
      </rPr>
      <t>(cláusula 37 da CCT 2021/2023)</t>
    </r>
    <r>
      <rPr>
        <b/>
        <sz val="11"/>
        <color theme="1"/>
        <rFont val="Arial"/>
      </rPr>
      <t xml:space="preserve">
</t>
    </r>
    <r>
      <rPr>
        <b/>
        <sz val="11"/>
        <color rgb="FF0000FF"/>
        <rFont val="Arial"/>
      </rPr>
      <t>O valor cotado pelo licitante deve ser fixado na planilha e somente deve ser alterado mediante repactuação com comprovação do aumento. Depois da licitação, excluir a fórmula</t>
    </r>
  </si>
  <si>
    <t xml:space="preserve">Plano de Beneficio Familiar </t>
  </si>
  <si>
    <r>
      <rPr>
        <b/>
        <sz val="11"/>
        <color rgb="FF000000"/>
        <rFont val="Arial"/>
      </rPr>
      <t xml:space="preserve">13º (décimo terceiro) Salário </t>
    </r>
    <r>
      <rPr>
        <b/>
        <strike/>
        <sz val="11"/>
        <color rgb="FF993366"/>
        <rFont val="Arial"/>
      </rPr>
      <t>(Férias???)</t>
    </r>
    <r>
      <rPr>
        <b/>
        <sz val="11"/>
        <color rgb="FF008080"/>
        <rFont val="Arial"/>
      </rPr>
      <t xml:space="preserve"> </t>
    </r>
    <r>
      <rPr>
        <b/>
        <sz val="11"/>
        <color rgb="FF000000"/>
        <rFont val="Arial"/>
      </rPr>
      <t>e Adicional de Férias</t>
    </r>
  </si>
  <si>
    <r>
      <rPr>
        <b/>
        <sz val="11"/>
        <color theme="1"/>
        <rFont val="Arial"/>
      </rPr>
      <t xml:space="preserve">Aviso Prévio Indenizado    </t>
    </r>
    <r>
      <rPr>
        <b/>
        <sz val="11"/>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</si>
  <si>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1"/>
        <color rgb="FF000000"/>
        <rFont val="Arial"/>
      </rPr>
      <t xml:space="preserve">Aviso Prévio Trabalhado   </t>
    </r>
    <r>
      <rPr>
        <b/>
        <sz val="11"/>
        <color rgb="FF0000FF"/>
        <rFont val="Arial"/>
      </rPr>
      <t xml:space="preserve">  </t>
    </r>
    <r>
      <rPr>
        <b/>
        <sz val="11"/>
        <color rgb="FFFF0000"/>
        <rFont val="Arial"/>
      </rPr>
      <t xml:space="preserve">  
(</t>
    </r>
    <r>
      <rPr>
        <b/>
        <sz val="11"/>
        <color rgb="FFFF0000"/>
        <rFont val="Arial"/>
      </rPr>
      <t>negociar extinção/redução na 1ª prorrogação)
  Cálculo do valor= [(Rem1/30)x7]/ meses do contratox100% dos empregados - ao final do contrato</t>
    </r>
    <r>
      <rPr>
        <b/>
        <sz val="11"/>
        <color rgb="FF0000FF"/>
        <rFont val="Arial"/>
      </rPr>
      <t xml:space="preserve">  </t>
    </r>
    <r>
      <rPr>
        <b/>
        <sz val="11"/>
        <color rgb="FF0000FF"/>
        <rFont val="Arial"/>
      </rPr>
      <t xml:space="preserve">
CONFORME ACORDAO  TCU 1.186/2017 definiu NOTA TEC. 652/2017 - MP
 </t>
    </r>
    <r>
      <rPr>
        <b/>
        <u/>
        <sz val="11"/>
        <color rgb="FF0000FF"/>
        <rFont val="Arial"/>
      </rPr>
      <t xml:space="preserve">PERCENTUAL MAXIMO DE 1,94% </t>
    </r>
    <r>
      <rPr>
        <b/>
        <sz val="11"/>
        <color rgb="FF0000FF"/>
        <rFont val="Arial"/>
      </rPr>
      <t>para aviso trabalhado 
E A sua reducao PARA o MAXIMO de  0,194%  apartir DA PRIMEIRA RENOVAÇÃO
(observada rotatividade para manutenção deste custo - PREVIAMENTE ACORDADO COM A EMPRESA)</t>
    </r>
  </si>
  <si>
    <r>
      <rPr>
        <b/>
        <sz val="11"/>
        <color theme="1"/>
        <rFont val="Arial"/>
      </rPr>
      <t>Multa do FGTS sobre o Aviso PrévioTrabalhado e Aviso Prévio Indenizado</t>
    </r>
    <r>
      <rPr>
        <b/>
        <sz val="11"/>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</si>
  <si>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</si>
  <si>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11"/>
        <color rgb="FFFF0000"/>
        <rFont val="Arial"/>
      </rPr>
      <t>(sem VA e VT)</t>
    </r>
    <r>
      <rPr>
        <b/>
        <sz val="11"/>
        <color rgb="FFFF0000"/>
        <rFont val="Arial"/>
      </rPr>
      <t xml:space="preserve"> </t>
    </r>
    <r>
      <rPr>
        <b/>
        <sz val="11"/>
        <color rgb="FF0000FF"/>
        <rFont val="Arial"/>
      </rPr>
      <t>=</t>
    </r>
  </si>
  <si>
    <r>
      <rPr>
        <b/>
        <sz val="11"/>
        <color rgb="FF000000"/>
        <rFont val="Arial"/>
      </rPr>
      <t xml:space="preserve">Substituto na cobertura de Férias  </t>
    </r>
    <r>
      <rPr>
        <b/>
        <sz val="11"/>
        <color rgb="FFFF0000"/>
        <rFont val="Arial"/>
      </rPr>
      <t xml:space="preserve">Obrigatória a cotação de 9,075% sobre o valor do Módulo 1 - Composição da Remuneração, </t>
    </r>
    <r>
      <rPr>
        <b/>
        <sz val="11"/>
        <color rgb="FF0066CC"/>
        <rFont val="Arial"/>
      </rPr>
      <t xml:space="preserve">mais </t>
    </r>
    <r>
      <rPr>
        <b/>
        <sz val="11"/>
        <color rgb="FFFF0000"/>
        <rFont val="Arial"/>
      </rPr>
      <t>o percentual do Submódulo 2.2 sobre o cálculo anterior, conforme Anexo XII da IN 5/17 (Férias + Adicional = 12,10% = 9,075% + 3,025%)</t>
    </r>
  </si>
  <si>
    <r>
      <rPr>
        <b/>
        <sz val="11"/>
        <color theme="1"/>
        <rFont val="Arial"/>
      </rPr>
      <t xml:space="preserve">Substituto na cobertura de Ausências Legais </t>
    </r>
    <r>
      <rPr>
        <b/>
        <sz val="11"/>
        <color rgb="FFFF0000"/>
        <rFont val="Arial"/>
      </rPr>
      <t>Cálculo do valor = [(</t>
    </r>
    <r>
      <rPr>
        <b/>
        <sz val="11"/>
        <color rgb="FF0000FF"/>
        <rFont val="Arial"/>
      </rPr>
      <t>BCCPA</t>
    </r>
    <r>
      <rPr>
        <b/>
        <sz val="11"/>
        <color rgb="FFFF0000"/>
        <rFont val="Arial"/>
      </rPr>
      <t>/30)x1dia]/12</t>
    </r>
  </si>
  <si>
    <r>
      <rPr>
        <b/>
        <sz val="11"/>
        <color theme="1"/>
        <rFont val="Arial"/>
      </rPr>
      <t xml:space="preserve">Substituto na cobertura de Licença-Paternidade
</t>
    </r>
    <r>
      <rPr>
        <b/>
        <sz val="11"/>
        <color rgb="FFFF0000"/>
        <rFont val="Arial"/>
      </rPr>
      <t>Cálculo do valor = {[(</t>
    </r>
    <r>
      <rPr>
        <b/>
        <sz val="11"/>
        <color rgb="FF0000FF"/>
        <rFont val="Arial"/>
      </rPr>
      <t>BCCPA</t>
    </r>
    <r>
      <rPr>
        <b/>
        <sz val="11"/>
        <color rgb="FFFF0000"/>
        <rFont val="Arial"/>
      </rPr>
      <t>/30)x5dias]/12}x1,5%</t>
    </r>
  </si>
  <si>
    <r>
      <rPr>
        <b/>
        <sz val="11"/>
        <color theme="1"/>
        <rFont val="Arial"/>
      </rPr>
      <t xml:space="preserve">Substituto na cobertura de Ausência por acidente de trabalho
</t>
    </r>
    <r>
      <rPr>
        <b/>
        <sz val="11"/>
        <color rgb="FFFF0000"/>
        <rFont val="Arial"/>
      </rPr>
      <t>Cálculo do valor  = {[(</t>
    </r>
    <r>
      <rPr>
        <b/>
        <sz val="11"/>
        <color rgb="FF0000FF"/>
        <rFont val="Arial"/>
      </rPr>
      <t>BCCPA</t>
    </r>
    <r>
      <rPr>
        <b/>
        <sz val="11"/>
        <color rgb="FFFF0000"/>
        <rFont val="Arial"/>
      </rPr>
      <t>/30)x15dias]/12}x0,78%</t>
    </r>
  </si>
  <si>
    <r>
      <rPr>
        <b/>
        <sz val="11"/>
        <color theme="1"/>
        <rFont val="Arial"/>
      </rPr>
      <t xml:space="preserve">Substituto na cobertura de Afastamento Maternidade 
</t>
    </r>
    <r>
      <rPr>
        <b/>
        <sz val="11"/>
        <color rgb="FFFF0000"/>
        <rFont val="Arial"/>
      </rPr>
      <t>{[((MÓD1 + MÓD1 / 3) + SUB2.2 x (MÓD1 + MÓD1 / 3)) x (4/12)] / 12} x 2% + [(SUB2.3 - VA - VT + MÓD3) x (4/12)] x 2%</t>
    </r>
  </si>
  <si>
    <r>
      <rPr>
        <b/>
        <sz val="11"/>
        <color theme="1"/>
        <rFont val="Arial"/>
      </rPr>
      <t>Substituto na cobertura de Outras ausências (especificar)
Substituto na cobertura de Ausência por doença</t>
    </r>
    <r>
      <rPr>
        <b/>
        <sz val="11"/>
        <color rgb="FFFF0000"/>
        <rFont val="Arial"/>
      </rPr>
      <t xml:space="preserve"> </t>
    </r>
    <r>
      <rPr>
        <b/>
        <sz val="11"/>
        <color rgb="FF0000FF"/>
        <rFont val="Arial"/>
      </rPr>
      <t xml:space="preserve">(incluído)
</t>
    </r>
    <r>
      <rPr>
        <b/>
        <sz val="11"/>
        <color rgb="FFFF0000"/>
        <rFont val="Arial"/>
      </rPr>
      <t>Cálculo do valor = [(</t>
    </r>
    <r>
      <rPr>
        <b/>
        <sz val="11"/>
        <color rgb="FF0000FF"/>
        <rFont val="Arial"/>
      </rPr>
      <t>BCCPA</t>
    </r>
    <r>
      <rPr>
        <b/>
        <sz val="11"/>
        <color rgb="FFFF0000"/>
        <rFont val="Arial"/>
      </rPr>
      <t>)/30)x3dias]/12 
Incluído por permissão da IN Seges nº 5/2017, Anexo VII-B, item 1.7, alíneas "b" e "c".5.</t>
    </r>
  </si>
  <si>
    <t xml:space="preserve">OUTROS  </t>
  </si>
  <si>
    <r>
      <rPr>
        <sz val="11"/>
        <color rgb="FF000000"/>
        <rFont val="Calibri"/>
      </rPr>
      <t xml:space="preserve">  </t>
    </r>
    <r>
      <rPr>
        <b/>
        <sz val="11"/>
        <color rgb="FF000000"/>
        <rFont val="Arial"/>
      </rPr>
      <t xml:space="preserve">a) PIS  </t>
    </r>
    <r>
      <rPr>
        <sz val="11"/>
        <color rgb="FFFF0000"/>
        <rFont val="Arial"/>
      </rPr>
      <t>(depende do regime de tributação - utilizada a hipótese de Lucro Real ou Presumido)</t>
    </r>
  </si>
  <si>
    <r>
      <rPr>
        <sz val="11"/>
        <color rgb="FF000000"/>
        <rFont val="Calibri"/>
      </rPr>
      <t xml:space="preserve">  </t>
    </r>
    <r>
      <rPr>
        <b/>
        <sz val="11"/>
        <color rgb="FF000000"/>
        <rFont val="Arial"/>
      </rPr>
      <t xml:space="preserve">b) COFINS       </t>
    </r>
    <r>
      <rPr>
        <sz val="11"/>
        <color rgb="FFFF0000"/>
        <rFont val="Arial"/>
      </rPr>
      <t>(depende do regime de tributação - utilizada a hipótese de Lucro Real ou Presumido)</t>
    </r>
  </si>
  <si>
    <r>
      <rPr>
        <b/>
        <sz val="11"/>
        <color theme="1"/>
        <rFont val="Arial"/>
      </rPr>
      <t xml:space="preserve"> c) IRPJ</t>
    </r>
    <r>
      <rPr>
        <b/>
        <sz val="11"/>
        <color rgb="FF0000FF"/>
        <rFont val="Arial"/>
      </rPr>
      <t xml:space="preserve"> </t>
    </r>
    <r>
      <rPr>
        <b/>
        <sz val="11"/>
        <color rgb="FF0000FF"/>
        <rFont val="Arial"/>
      </rPr>
      <t>-</t>
    </r>
    <r>
      <rPr>
        <b/>
        <sz val="11"/>
        <color rgb="FF0000FF"/>
        <rFont val="Arial"/>
      </rPr>
      <t xml:space="preserve"> Em face dos Acórdãos TCU nºs 950/2007-P e 205/2018-P, o licitante não pode cotar expressamente este tributo.</t>
    </r>
  </si>
  <si>
    <r>
      <rPr>
        <b/>
        <sz val="11"/>
        <color theme="1"/>
        <rFont val="Arial"/>
      </rPr>
      <t xml:space="preserve"> d) CSLL </t>
    </r>
    <r>
      <rPr>
        <b/>
        <sz val="11"/>
        <color rgb="FF0000FF"/>
        <rFont val="Arial"/>
      </rPr>
      <t xml:space="preserve">- </t>
    </r>
    <r>
      <rPr>
        <b/>
        <sz val="11"/>
        <color rgb="FF0000FF"/>
        <rFont val="Arial"/>
      </rPr>
      <t>Em face dos Acórdãos TCU nºs 950/2007-P e 205/2018-P, o licitante não pode cotar expressamente este tributo.</t>
    </r>
  </si>
  <si>
    <t xml:space="preserve">  a) ISS        </t>
  </si>
  <si>
    <r>
      <rPr>
        <b/>
        <sz val="11"/>
        <color theme="1"/>
        <rFont val="Arial"/>
      </rPr>
      <t xml:space="preserve">
</t>
    </r>
    <r>
      <rPr>
        <b/>
        <sz val="11"/>
        <color theme="1"/>
        <rFont val="Arial"/>
      </rPr>
      <t xml:space="preserve">2. QUADRO-RESUMO DO CUSTO POR POSTO DE TRABALHO
</t>
    </r>
  </si>
  <si>
    <r>
      <rPr>
        <b/>
        <sz val="11"/>
        <color theme="1"/>
        <rFont val="Arial"/>
      </rPr>
      <t xml:space="preserve">Outros (especificar) </t>
    </r>
    <r>
      <rPr>
        <b/>
        <sz val="11"/>
        <color rgb="FFFF0000"/>
        <rFont val="Arial"/>
      </rPr>
      <t>(excluir linhas que não serão utilizadas)</t>
    </r>
  </si>
  <si>
    <r>
      <rPr>
        <b/>
        <sz val="11"/>
        <color theme="1"/>
        <rFont val="Arial"/>
      </rPr>
      <t xml:space="preserve">Valor global da proposta </t>
    </r>
    <r>
      <rPr>
        <b/>
        <sz val="11"/>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</si>
  <si>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</si>
  <si>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</si>
  <si>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t xml:space="preserve">Salário Normativo da Categoria Profissional 
</t>
  </si>
  <si>
    <r>
      <rPr>
        <b/>
        <sz val="10"/>
        <color rgb="FFFF0000"/>
        <rFont val="Arial"/>
      </rPr>
      <t xml:space="preserve">Valor do salário x  hora SEM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</si>
  <si>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</si>
  <si>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</si>
  <si>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</si>
  <si>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 25%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</si>
  <si>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50% com ADIC 25% SÁBADOS (febrabpils)
</t>
    </r>
    <r>
      <rPr>
        <b/>
        <sz val="10"/>
        <color rgb="FF0070C0"/>
        <rFont val="Arial"/>
      </rPr>
      <t>salar hora × 1,75</t>
    </r>
  </si>
  <si>
    <r>
      <rPr>
        <b/>
        <sz val="10"/>
        <color rgb="FFFF0000"/>
        <rFont val="Arial"/>
      </rPr>
      <t xml:space="preserve">Valor da hora EXTRA A 100% com ADIC 50% DOMINGOS E FERIADOS (febrabpils)
</t>
    </r>
    <r>
      <rPr>
        <b/>
        <sz val="10"/>
        <color rgb="FFFF0000"/>
        <rFont val="Arial"/>
      </rPr>
      <t xml:space="preserve"> </t>
    </r>
    <r>
      <rPr>
        <b/>
        <sz val="10"/>
        <color rgb="FF0000FF"/>
        <rFont val="Arial"/>
      </rPr>
      <t>sal hora × 2,5</t>
    </r>
  </si>
  <si>
    <r>
      <rPr>
        <b/>
        <sz val="10"/>
        <color theme="1"/>
        <rFont val="Arial"/>
      </rPr>
      <t>Adicional de Periculosidade</t>
    </r>
    <r>
      <rPr>
        <b/>
        <sz val="10"/>
        <color rgb="FFFF0000"/>
        <rFont val="Arial"/>
      </rPr>
      <t xml:space="preserve">     (30% do Salário-Base) </t>
    </r>
  </si>
  <si>
    <r>
      <rPr>
        <b/>
        <sz val="10"/>
        <color theme="1"/>
        <rFont val="Arial"/>
      </rPr>
      <t xml:space="preserve">Adicional Noturno  : </t>
    </r>
    <r>
      <rPr>
        <b/>
        <sz val="10"/>
        <color rgb="FF0070C0"/>
        <rFont val="Arial"/>
      </rPr>
      <t xml:space="preserve">25% s/salario base febrapils </t>
    </r>
    <r>
      <rPr>
        <b/>
        <sz val="10"/>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</si>
  <si>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</si>
  <si>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</si>
  <si>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Hrs extras A 50%</t>
    </r>
    <r>
      <rPr>
        <b/>
        <sz val="10"/>
        <color rgb="FF00B050"/>
        <rFont val="Arial"/>
      </rPr>
      <t xml:space="preserve">(INFORMAR realizadas)
</t>
    </r>
    <r>
      <rPr>
        <b/>
        <sz val="10"/>
        <color rgb="FFC00000"/>
        <rFont val="Arial"/>
      </rPr>
      <t>ADIC 25% SÁBADOS (febrabpils)</t>
    </r>
  </si>
  <si>
    <r>
      <rPr>
        <b/>
        <sz val="10"/>
        <color theme="1"/>
        <rFont val="Arial"/>
      </rPr>
      <t xml:space="preserve">Vlr da Hora 50%
</t>
    </r>
    <r>
      <rPr>
        <b/>
        <sz val="10"/>
        <color rgb="FFC00000"/>
        <rFont val="Arial"/>
      </rPr>
      <t>+ 25% febrapils</t>
    </r>
  </si>
  <si>
    <r>
      <rPr>
        <b/>
        <sz val="10"/>
        <color rgb="FF000000"/>
        <rFont val="Arial"/>
      </rPr>
      <t>Hrs extras A 100%</t>
    </r>
    <r>
      <rPr>
        <b/>
        <sz val="10"/>
        <color rgb="FF00B050"/>
        <rFont val="Arial"/>
      </rPr>
      <t xml:space="preserve"> (INFORMAR realizadas)
</t>
    </r>
    <r>
      <rPr>
        <b/>
        <sz val="10"/>
        <color rgb="FFC00000"/>
        <rFont val="Arial"/>
      </rPr>
      <t>ADIC 50% DOM e FERIADOS (febrabpils)</t>
    </r>
  </si>
  <si>
    <r>
      <rPr>
        <b/>
        <sz val="10"/>
        <color theme="1"/>
        <rFont val="Arial"/>
      </rPr>
      <t xml:space="preserve">Vlr da Hora 100% 
</t>
    </r>
    <r>
      <rPr>
        <b/>
        <sz val="10"/>
        <color rgb="FFC00000"/>
        <rFont val="Arial"/>
      </rPr>
      <t>+ 50% febrapils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</si>
  <si>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</si>
  <si>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</si>
  <si>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</si>
  <si>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</si>
  <si>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</si>
  <si>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</si>
  <si>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</si>
  <si>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</si>
  <si>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</si>
  <si>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</si>
  <si>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</si>
  <si>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</si>
  <si>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</si>
  <si>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</si>
  <si>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</si>
  <si>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</si>
  <si>
    <r>
      <rPr>
        <b/>
        <sz val="10"/>
        <color theme="1"/>
        <rFont val="Arial"/>
      </rPr>
      <t xml:space="preserve">     </t>
    </r>
    <r>
      <rPr>
        <b/>
        <sz val="10"/>
        <color rgb="FFFF0000"/>
        <rFont val="Arial"/>
      </rPr>
      <t xml:space="preserve">B.2) Quantidade de dias do mês de recebimento de aux.aliment. </t>
    </r>
  </si>
  <si>
    <t xml:space="preserve">     B.3) Participação do empregado em percentual sobre o auxílio-alimentação </t>
  </si>
  <si>
    <r>
      <rPr>
        <b/>
        <sz val="10"/>
        <color theme="1"/>
        <rFont val="Arial"/>
      </rPr>
      <t xml:space="preserve">Seguro de Vida </t>
    </r>
    <r>
      <rPr>
        <b/>
        <sz val="9"/>
        <color rgb="FFFF0000"/>
        <rFont val="Arial"/>
      </rPr>
      <t xml:space="preserve">Cálculo do valor: 26 x Rem x 0,023%  </t>
    </r>
    <r>
      <rPr>
        <b/>
        <sz val="9"/>
        <color theme="1"/>
        <rFont val="Arial"/>
      </rPr>
      <t xml:space="preserve"> </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</si>
  <si>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</si>
  <si>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</si>
  <si>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</si>
  <si>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2"/>
        <color rgb="FF0000FF"/>
        <rFont val="Arial"/>
      </rPr>
      <t xml:space="preserve">CONFORME ACORDAO  TCU 1.186/2017 definiu NOTA TEC. 652/2017 - MP
 </t>
    </r>
    <r>
      <rPr>
        <b/>
        <u/>
        <sz val="12"/>
        <color rgb="FF0000FF"/>
        <rFont val="Arial"/>
      </rPr>
      <t xml:space="preserve">PERCENTUAL MAXIMO DE 1,94% </t>
    </r>
    <r>
      <rPr>
        <b/>
        <sz val="12"/>
        <color rgb="FF0000FF"/>
        <rFont val="Arial"/>
      </rPr>
      <t xml:space="preserve">para aviso trabalhado 
E A sua reducao PARA o MAXIMO de  0,194%  apartir DA PRIMEIRA RENOVAÇÃO
</t>
    </r>
    <r>
      <rPr>
        <b/>
        <sz val="10"/>
        <color rgb="FF0000FF"/>
        <rFont val="Arial"/>
      </rPr>
      <t>(observada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</si>
  <si>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</si>
  <si>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</si>
  <si>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</si>
  <si>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</si>
  <si>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</si>
  <si>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</si>
  <si>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</si>
  <si>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</si>
  <si>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</si>
  <si>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</si>
  <si>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</si>
  <si>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</si>
  <si>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</si>
  <si>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t xml:space="preserve">  a) ISS       </t>
  </si>
  <si>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</si>
  <si>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</si>
  <si>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</si>
  <si>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</si>
  <si>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</si>
  <si>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</si>
  <si>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</si>
  <si>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</si>
  <si>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</si>
  <si>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</si>
  <si>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</si>
  <si>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</si>
  <si>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t>VALOR SALARIO MÍNIMO NACIONAL (2022)</t>
  </si>
  <si>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</si>
  <si>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</si>
  <si>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 </t>
    </r>
    <r>
      <rPr>
        <b/>
        <sz val="10"/>
        <color rgb="FF0070C0"/>
        <rFont val="Arial"/>
      </rPr>
      <t xml:space="preserve">25% s/salario base febrapils </t>
    </r>
    <r>
      <rPr>
        <b/>
        <sz val="10"/>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</si>
  <si>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</si>
  <si>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</si>
  <si>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Hrs extras A 50%</t>
    </r>
    <r>
      <rPr>
        <b/>
        <sz val="10"/>
        <color rgb="FF00B050"/>
        <rFont val="Arial"/>
      </rPr>
      <t xml:space="preserve">(INFORMAR realizadas)
</t>
    </r>
    <r>
      <rPr>
        <b/>
        <sz val="10"/>
        <color rgb="FFC00000"/>
        <rFont val="Arial"/>
      </rPr>
      <t>ADIC 25% SÁBADOS (febrabpils)</t>
    </r>
  </si>
  <si>
    <r>
      <rPr>
        <b/>
        <sz val="10"/>
        <color theme="1"/>
        <rFont val="Arial"/>
      </rPr>
      <t xml:space="preserve">Vlr da Hora 50%
</t>
    </r>
    <r>
      <rPr>
        <b/>
        <sz val="10"/>
        <color rgb="FFC00000"/>
        <rFont val="Arial"/>
      </rPr>
      <t>+ 25% febrapils</t>
    </r>
  </si>
  <si>
    <r>
      <rPr>
        <b/>
        <sz val="10"/>
        <color rgb="FF000000"/>
        <rFont val="Arial"/>
      </rPr>
      <t>Hrs extras A 100%</t>
    </r>
    <r>
      <rPr>
        <b/>
        <sz val="10"/>
        <color rgb="FF00B050"/>
        <rFont val="Arial"/>
      </rPr>
      <t xml:space="preserve"> (INFORMAR realizadas)
</t>
    </r>
    <r>
      <rPr>
        <b/>
        <sz val="10"/>
        <color rgb="FFC00000"/>
        <rFont val="Arial"/>
      </rPr>
      <t>ADIC 50% DOM e FERIADOS (febrabpils)</t>
    </r>
  </si>
  <si>
    <r>
      <rPr>
        <b/>
        <sz val="10"/>
        <color theme="1"/>
        <rFont val="Arial"/>
      </rPr>
      <t xml:space="preserve">Vlr da Hora 100% 
</t>
    </r>
    <r>
      <rPr>
        <b/>
        <sz val="10"/>
        <color rgb="FFC00000"/>
        <rFont val="Arial"/>
      </rPr>
      <t>+ 50% febrapils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</si>
  <si>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</si>
  <si>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</si>
  <si>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</si>
  <si>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</si>
  <si>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</si>
  <si>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</si>
  <si>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</si>
  <si>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</si>
  <si>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</si>
  <si>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</si>
  <si>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</si>
  <si>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</si>
  <si>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</si>
  <si>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</si>
  <si>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</si>
  <si>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</si>
  <si>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</si>
  <si>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</si>
  <si>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</si>
  <si>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</si>
  <si>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</si>
  <si>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t>Gratificação Aniversário</t>
  </si>
  <si>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</si>
  <si>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</si>
  <si>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</si>
  <si>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</si>
  <si>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</si>
  <si>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</si>
  <si>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</si>
  <si>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</si>
  <si>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</si>
  <si>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</si>
  <si>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</si>
  <si>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</si>
  <si>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</si>
  <si>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</si>
  <si>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</si>
  <si>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</si>
  <si>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</si>
  <si>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</si>
  <si>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</si>
  <si>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</si>
  <si>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t>TOTALIZADORES IFFar</t>
  </si>
  <si>
    <t xml:space="preserve">VALOR  por  MÊS </t>
  </si>
  <si>
    <t xml:space="preserve">TOTAL GERAL </t>
  </si>
  <si>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</si>
  <si>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</si>
  <si>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</si>
  <si>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</si>
  <si>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</si>
  <si>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</si>
  <si>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</si>
  <si>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</si>
  <si>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</si>
  <si>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função</t>
    </r>
    <r>
      <rPr>
        <b/>
        <sz val="10"/>
        <color rgb="FFFF9900"/>
        <rFont val="Arial"/>
      </rPr>
      <t xml:space="preserve"> </t>
    </r>
    <r>
      <rPr>
        <b/>
        <sz val="10"/>
        <color rgb="FFFF0000"/>
        <rFont val="Arial"/>
      </rPr>
      <t>- Cáluco do valor: ("% do adicional' * "salário mínimo") / número de postos. Somente um recebe a função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</si>
  <si>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</si>
  <si>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</si>
  <si>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</si>
  <si>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</si>
  <si>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</si>
  <si>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</si>
  <si>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</si>
  <si>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</si>
  <si>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</si>
  <si>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</si>
  <si>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</si>
  <si>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</si>
  <si>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</si>
  <si>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</si>
  <si>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</si>
  <si>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</si>
  <si>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</si>
  <si>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</si>
  <si>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</si>
  <si>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</si>
  <si>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</si>
  <si>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</si>
  <si>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 </t>
    </r>
    <r>
      <rPr>
        <b/>
        <sz val="10"/>
        <color rgb="FF0000FF"/>
        <rFont val="Arial"/>
      </rPr>
      <t>PREMIO ASSIDUIDADE</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</si>
  <si>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</si>
  <si>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</si>
  <si>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</si>
  <si>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</si>
  <si>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</si>
  <si>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</si>
  <si>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</si>
  <si>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</si>
  <si>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</si>
  <si>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</si>
  <si>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</si>
  <si>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</si>
  <si>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</si>
  <si>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</si>
  <si>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</si>
  <si>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</si>
  <si>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</si>
  <si>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</si>
  <si>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</si>
  <si>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</si>
  <si>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</si>
  <si>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</si>
  <si>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</si>
  <si>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</si>
  <si>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t/>
  </si>
  <si>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</si>
  <si>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</si>
  <si>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</si>
  <si>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</si>
  <si>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</si>
  <si>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</si>
  <si>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</si>
  <si>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</si>
  <si>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</si>
  <si>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</si>
  <si>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t>
    </r>
  </si>
  <si>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</si>
  <si>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</si>
  <si>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</si>
  <si>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</si>
  <si>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</si>
  <si>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</si>
  <si>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</si>
  <si>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</si>
  <si>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</si>
  <si>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</si>
  <si>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</si>
  <si>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</si>
  <si>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</si>
  <si>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</si>
  <si>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</si>
  <si>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</si>
  <si>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</si>
  <si>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</si>
  <si>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</si>
  <si>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</si>
  <si>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</si>
  <si>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 </t>
    </r>
    <r>
      <rPr>
        <b/>
        <sz val="10"/>
        <color rgb="FF0000FF"/>
        <rFont val="Arial"/>
      </rPr>
      <t>PREMIO ASSIDUIDADE</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</si>
  <si>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</si>
  <si>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</si>
  <si>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</si>
  <si>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</si>
  <si>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</si>
  <si>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</si>
  <si>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</si>
  <si>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</si>
  <si>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</si>
  <si>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</si>
  <si>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</si>
  <si>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</si>
  <si>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</si>
  <si>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</si>
  <si>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</si>
  <si>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</si>
  <si>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</si>
  <si>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</si>
  <si>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</si>
  <si>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</si>
  <si>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</si>
  <si>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</si>
  <si>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</si>
  <si>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</si>
  <si>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</si>
  <si>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</si>
  <si>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</si>
  <si>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</si>
  <si>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</si>
  <si>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</si>
  <si>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</si>
  <si>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</si>
  <si>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</si>
  <si>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</si>
  <si>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</si>
  <si>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</si>
  <si>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</si>
  <si>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</si>
  <si>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t xml:space="preserve">Horas extras A 50% </t>
  </si>
  <si>
    <r>
      <rPr>
        <b/>
        <sz val="10"/>
        <color rgb="FF000000"/>
        <rFont val="Arial"/>
      </rPr>
      <t xml:space="preserve">HS a 50% estimadas - Estimativ
Plantoes </t>
    </r>
    <r>
      <rPr>
        <b/>
        <sz val="10"/>
        <color rgb="FFFF0000"/>
        <rFont val="Arial"/>
      </rPr>
      <t>(mês)</t>
    </r>
  </si>
  <si>
    <t xml:space="preserve">Horas extras A 100% </t>
  </si>
  <si>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</si>
  <si>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</si>
  <si>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</si>
  <si>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</si>
  <si>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</si>
  <si>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</si>
  <si>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</si>
  <si>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</si>
  <si>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</si>
  <si>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</si>
  <si>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</si>
  <si>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</si>
  <si>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</si>
  <si>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</si>
  <si>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</si>
  <si>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</si>
  <si>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</si>
  <si>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</si>
  <si>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</si>
  <si>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</si>
  <si>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t>Assistência Médica e Familiar</t>
  </si>
  <si>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</si>
  <si>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</si>
  <si>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</si>
  <si>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</si>
  <si>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</si>
  <si>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</si>
  <si>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</si>
  <si>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</si>
  <si>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</si>
  <si>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</si>
  <si>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</si>
  <si>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</si>
  <si>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</si>
  <si>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</si>
  <si>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</si>
  <si>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</si>
  <si>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</si>
  <si>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</si>
  <si>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</si>
  <si>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</si>
  <si>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t>3.  COMPLEMENTO DOS SERVIÇOS DE VIGILÂNCIA – VALOR MENSAL DOS SERVIÇOS</t>
  </si>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</sst>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F800]dddd\,\ mmmm\ dd\,\ yyyy"/>
    <numFmt numFmtId="165" formatCode="dd/mm/yy"/>
    <numFmt numFmtId="166" formatCode="&quot;R$&quot;\ #,##0.00"/>
    <numFmt numFmtId="167" formatCode="0.0%"/>
    <numFmt numFmtId="168" formatCode="0.000"/>
    <numFmt numFmtId="169" formatCode="_-* #,##0.00_-;\-* #,##0.00_-;_-* &quot;-&quot;??_-;_-@"/>
    <numFmt numFmtId="170" formatCode="_-&quot;R$&quot;\ * #,##0.00_-;\-&quot;R$&quot;\ * #,##0.00_-;_-&quot;R$&quot;\ * &quot;-&quot;??_-;_-@"/>
    <numFmt numFmtId="171" formatCode="[$R$ -416]#,##0.00"/>
    <numFmt numFmtId="172" formatCode="&quot;R$ &quot;#,##0.00"/>
    <numFmt numFmtId="173" formatCode="yyyy\-mm"/>
    <numFmt numFmtId="174" formatCode="0.000%"/>
    <numFmt numFmtId="175" formatCode="0.0000"/>
    <numFmt numFmtId="176" formatCode="0.0000%"/>
    <numFmt numFmtId="177" formatCode="_(* #,##0.00_);_(* \(#,##0.00\);_(* \-??_);_(@_)"/>
  </numFmts>
  <fonts count="203">
    <font>
      <sz val="11"/>
      <color rgb="FF000000"/>
      <name val="Calibri"/>
      <scheme val="minor"/>
    </font>
    <font>
      <sz val="11"/>
      <color rgb="FF000000"/>
      <name val="Calibri"/>
    </font>
    <font>
      <sz val="18"/>
      <color rgb="FF000000"/>
      <name val="Calibri"/>
    </font>
    <font>
      <b/>
      <sz val="11"/>
      <color theme="0"/>
      <name val="Calibri"/>
    </font>
    <font>
      <b/>
      <sz val="14"/>
      <color rgb="FF980000"/>
      <name val="Calibri"/>
    </font>
    <font>
      <b/>
      <sz val="18"/>
      <color rgb="FF000000"/>
      <name val="Calibri"/>
    </font>
    <font>
      <b/>
      <sz val="11"/>
      <color rgb="FF000000"/>
      <name val="Calibri"/>
    </font>
    <font>
      <b/>
      <sz val="11"/>
      <color rgb="FF0070C0"/>
      <name val="Calibri"/>
    </font>
    <font>
      <sz val="13"/>
      <color rgb="FF000000"/>
      <name val="Arial Narrow"/>
    </font>
    <font>
      <b/>
      <sz val="13"/>
      <color rgb="FF000000"/>
      <name val="Arial Narrow"/>
    </font>
    <font>
      <b/>
      <sz val="13"/>
      <color rgb="FF0070C0"/>
      <name val="Arial Narrow"/>
    </font>
    <font>
      <sz val="13"/>
      <color theme="1"/>
      <name val="Arial Narrow"/>
    </font>
    <font>
      <sz val="11"/>
      <color theme="1"/>
      <name val="Calibri"/>
    </font>
    <font>
      <b/>
      <sz val="18"/>
      <color rgb="FF0070C0"/>
      <name val="Arial Narrow"/>
    </font>
    <font>
      <b/>
      <sz val="13"/>
      <color rgb="FFFF0000"/>
      <name val="Arial Narrow"/>
    </font>
    <font>
      <b/>
      <sz val="13"/>
      <color theme="1"/>
      <name val="Arial Narrow"/>
    </font>
    <font>
      <sz val="13"/>
      <color rgb="FFA61C00"/>
      <name val="Arial Narrow"/>
    </font>
    <font>
      <b/>
      <sz val="18"/>
      <color theme="1"/>
      <name val="Arial Narrow"/>
    </font>
    <font>
      <b/>
      <sz val="18"/>
      <color rgb="FF000000"/>
      <name val="Arial Narrow"/>
    </font>
    <font>
      <b/>
      <sz val="14"/>
      <color rgb="FF000000"/>
      <name val="Arial Narrow"/>
    </font>
    <font>
      <u/>
      <sz val="13"/>
      <color rgb="FF000000"/>
      <name val="Arial Narrow"/>
    </font>
    <font>
      <sz val="13"/>
      <color rgb="FF0000FF"/>
      <name val="Arial Narrow"/>
    </font>
    <font>
      <b/>
      <sz val="13"/>
      <color rgb="FF0000FF"/>
      <name val="Arial Narrow"/>
    </font>
    <font>
      <b/>
      <sz val="18"/>
      <color rgb="FF0000FF"/>
      <name val="Arial Narrow"/>
    </font>
    <font>
      <sz val="18"/>
      <color rgb="FF000000"/>
      <name val="Arial Narrow"/>
    </font>
    <font>
      <b/>
      <u/>
      <sz val="14"/>
      <color rgb="FFFFFFFF"/>
      <name val="Calibri"/>
    </font>
    <font>
      <sz val="11"/>
      <name val="Calibri"/>
    </font>
    <font>
      <u/>
      <sz val="24"/>
      <color rgb="FF1155CC"/>
      <name val="Calibri"/>
    </font>
    <font>
      <sz val="24"/>
      <color rgb="FF000000"/>
      <name val="Calibri"/>
    </font>
    <font>
      <b/>
      <sz val="12"/>
      <color rgb="FF00B050"/>
      <name val="Calibri"/>
    </font>
    <font>
      <b/>
      <sz val="12"/>
      <color rgb="FF000000"/>
      <name val="Calibri"/>
    </font>
    <font>
      <b/>
      <sz val="15"/>
      <color rgb="FF000000"/>
      <name val="Book Antiqua"/>
    </font>
    <font>
      <b/>
      <sz val="15"/>
      <color rgb="FF00B050"/>
      <name val="Book Antiqua"/>
    </font>
    <font>
      <sz val="11"/>
      <color rgb="FFFFFFFF"/>
      <name val="Calibri"/>
    </font>
    <font>
      <b/>
      <sz val="18"/>
      <color rgb="FFFFFFFF"/>
      <name val="Calibri"/>
    </font>
    <font>
      <b/>
      <sz val="10"/>
      <color rgb="FF0070C0"/>
      <name val="Arial Narrow"/>
    </font>
    <font>
      <b/>
      <sz val="10"/>
      <color rgb="FFE36C09"/>
      <name val="Arial Narrow"/>
    </font>
    <font>
      <b/>
      <sz val="12"/>
      <color rgb="FFC00000"/>
      <name val="Calibri"/>
    </font>
    <font>
      <b/>
      <sz val="12"/>
      <color rgb="FFFFFFFF"/>
      <name val="Calibri"/>
    </font>
    <font>
      <b/>
      <sz val="12"/>
      <color theme="0"/>
      <name val="Calibri"/>
    </font>
    <font>
      <b/>
      <sz val="12"/>
      <color rgb="FF00B050"/>
      <name val="Arial Narrow"/>
    </font>
    <font>
      <b/>
      <sz val="10"/>
      <color theme="1"/>
      <name val="Arial Narrow"/>
    </font>
    <font>
      <b/>
      <sz val="10"/>
      <color rgb="FF0000FF"/>
      <name val="Arial Narrow"/>
    </font>
    <font>
      <b/>
      <sz val="12"/>
      <color theme="1"/>
      <name val="Arial Narrow"/>
    </font>
    <font>
      <b/>
      <sz val="10"/>
      <color rgb="FFFF0000"/>
      <name val="Arial Narrow"/>
    </font>
    <font>
      <b/>
      <sz val="12"/>
      <color rgb="FF000000"/>
      <name val="Arial Narrow"/>
    </font>
    <font>
      <b/>
      <sz val="10"/>
      <color rgb="FF000000"/>
      <name val="Arial Narrow"/>
    </font>
    <font>
      <b/>
      <sz val="12"/>
      <color rgb="FFFFFFFF"/>
      <name val="Arial Narrow"/>
    </font>
    <font>
      <b/>
      <sz val="10"/>
      <color rgb="FFFFFFFF"/>
      <name val="Arial Narrow"/>
    </font>
    <font>
      <b/>
      <sz val="12"/>
      <color theme="0"/>
      <name val="Arial Narrow"/>
    </font>
    <font>
      <b/>
      <sz val="10"/>
      <color theme="0"/>
      <name val="Arial Narrow"/>
    </font>
    <font>
      <sz val="11"/>
      <color theme="0"/>
      <name val="Calibri"/>
    </font>
    <font>
      <b/>
      <sz val="11"/>
      <color rgb="FF00B0F0"/>
      <name val="Calibri"/>
    </font>
    <font>
      <b/>
      <sz val="11"/>
      <color rgb="FF00B050"/>
      <name val="Calibri"/>
    </font>
    <font>
      <b/>
      <sz val="11"/>
      <color rgb="FF0000FF"/>
      <name val="Calibri"/>
    </font>
    <font>
      <b/>
      <sz val="11"/>
      <color rgb="FFFFFFFF"/>
      <name val="Calibri"/>
    </font>
    <font>
      <b/>
      <sz val="11"/>
      <color rgb="FFE36C09"/>
      <name val="Calibri"/>
    </font>
    <font>
      <sz val="11"/>
      <color rgb="FF666666"/>
      <name val="Calibri"/>
    </font>
    <font>
      <b/>
      <sz val="11"/>
      <color rgb="FFFF0000"/>
      <name val="Calibri"/>
    </font>
    <font>
      <sz val="12"/>
      <color rgb="FF000000"/>
      <name val="Calibri"/>
    </font>
    <font>
      <sz val="12"/>
      <color rgb="FFFFFFFF"/>
      <name val="Calibri"/>
    </font>
    <font>
      <b/>
      <sz val="11"/>
      <color theme="1"/>
      <name val="Calibri"/>
    </font>
    <font>
      <b/>
      <sz val="14"/>
      <color theme="0"/>
      <name val="Calibri"/>
    </font>
    <font>
      <sz val="12"/>
      <color rgb="FF666666"/>
      <name val="Calibri"/>
    </font>
    <font>
      <b/>
      <sz val="11"/>
      <color rgb="FF666666"/>
      <name val="Calibri"/>
    </font>
    <font>
      <b/>
      <sz val="12"/>
      <color rgb="FF666666"/>
      <name val="Calibri"/>
    </font>
    <font>
      <b/>
      <sz val="17"/>
      <color rgb="FF000000"/>
      <name val="Calibri"/>
    </font>
    <font>
      <b/>
      <sz val="12"/>
      <color theme="1"/>
      <name val="Calibri"/>
    </font>
    <font>
      <b/>
      <sz val="18"/>
      <color theme="1"/>
      <name val="Calibri"/>
    </font>
    <font>
      <sz val="11"/>
      <color rgb="FF999999"/>
      <name val="Calibri"/>
    </font>
    <font>
      <b/>
      <sz val="16"/>
      <color theme="1"/>
      <name val="Calibri"/>
    </font>
    <font>
      <b/>
      <sz val="12"/>
      <color theme="1"/>
      <name val="Merriweather"/>
    </font>
    <font>
      <sz val="11"/>
      <color rgb="FF0000FF"/>
      <name val="Calibri"/>
    </font>
    <font>
      <sz val="14"/>
      <color theme="0"/>
      <name val="Calibri"/>
    </font>
    <font>
      <sz val="12"/>
      <color rgb="FF0070C0"/>
      <name val="Merriweather"/>
    </font>
    <font>
      <b/>
      <sz val="12"/>
      <color rgb="FFFFFF99"/>
      <name val="Merriweather"/>
    </font>
    <font>
      <sz val="11"/>
      <color rgb="FF00B050"/>
      <name val="Calibri"/>
    </font>
    <font>
      <sz val="11"/>
      <color rgb="FF0070C0"/>
      <name val="Calibri"/>
    </font>
    <font>
      <sz val="10"/>
      <color theme="1"/>
      <name val="Arial"/>
    </font>
    <font>
      <b/>
      <sz val="10"/>
      <color rgb="FF000000"/>
      <name val="Arial"/>
    </font>
    <font>
      <b/>
      <sz val="10"/>
      <color rgb="FFFF0000"/>
      <name val="Arial"/>
    </font>
    <font>
      <b/>
      <sz val="10"/>
      <color theme="1"/>
      <name val="Arial"/>
    </font>
    <font>
      <b/>
      <sz val="16"/>
      <color rgb="FF000000"/>
      <name val="Arial"/>
    </font>
    <font>
      <sz val="11"/>
      <color theme="1"/>
      <name val="Arial"/>
    </font>
    <font>
      <b/>
      <sz val="16"/>
      <color rgb="FFFF0000"/>
      <name val="Arial"/>
    </font>
    <font>
      <u/>
      <sz val="11"/>
      <color theme="10"/>
      <name val="Calibri"/>
    </font>
    <font>
      <b/>
      <sz val="10"/>
      <color theme="1"/>
      <name val="Corrier"/>
    </font>
    <font>
      <b/>
      <sz val="14"/>
      <color rgb="FFC00000"/>
      <name val="Arial"/>
    </font>
    <font>
      <b/>
      <sz val="18"/>
      <color theme="1"/>
      <name val="Arial"/>
    </font>
    <font>
      <sz val="14"/>
      <color theme="1"/>
      <name val="Arial"/>
    </font>
    <font>
      <b/>
      <sz val="20"/>
      <color theme="1"/>
      <name val="Arial"/>
    </font>
    <font>
      <b/>
      <sz val="16"/>
      <color rgb="FF0000FF"/>
      <name val="Arial Narrow"/>
    </font>
    <font>
      <b/>
      <sz val="16"/>
      <color rgb="FFFFFFFF"/>
      <name val="Arial Narrow"/>
    </font>
    <font>
      <b/>
      <sz val="11"/>
      <color theme="0"/>
      <name val="Arial Narrow"/>
    </font>
    <font>
      <sz val="10"/>
      <color theme="0"/>
      <name val="Arial"/>
    </font>
    <font>
      <b/>
      <sz val="11"/>
      <color theme="1"/>
      <name val="Arial Narrow"/>
    </font>
    <font>
      <b/>
      <sz val="11"/>
      <color rgb="FFFFFFFF"/>
      <name val="Arial Narrow"/>
    </font>
    <font>
      <b/>
      <sz val="12"/>
      <color theme="1"/>
      <name val="Arial"/>
    </font>
    <font>
      <b/>
      <sz val="12"/>
      <color rgb="FFFFFFFF"/>
      <name val="Arial"/>
    </font>
    <font>
      <b/>
      <sz val="12"/>
      <color theme="0"/>
      <name val="Arial"/>
    </font>
    <font>
      <b/>
      <sz val="10"/>
      <color rgb="FFFFFFFF"/>
      <name val="Arial"/>
    </font>
    <font>
      <b/>
      <sz val="14"/>
      <color theme="1"/>
      <name val="Arial"/>
    </font>
    <font>
      <b/>
      <sz val="14"/>
      <color rgb="FFFFFFFF"/>
      <name val="Arial"/>
    </font>
    <font>
      <b/>
      <sz val="14"/>
      <color theme="0"/>
      <name val="Arial"/>
    </font>
    <font>
      <sz val="14"/>
      <color theme="0"/>
      <name val="Arial"/>
    </font>
    <font>
      <sz val="10"/>
      <color rgb="FFFFFFFF"/>
      <name val="Arial"/>
    </font>
    <font>
      <b/>
      <sz val="10"/>
      <color theme="0"/>
      <name val="Arial"/>
    </font>
    <font>
      <sz val="12"/>
      <color theme="1"/>
      <name val="Arial"/>
    </font>
    <font>
      <sz val="12"/>
      <color rgb="FFFFFFFF"/>
      <name val="Arial"/>
    </font>
    <font>
      <sz val="12"/>
      <color theme="0"/>
      <name val="Arial"/>
    </font>
    <font>
      <sz val="18"/>
      <color theme="1"/>
      <name val="Arial"/>
    </font>
    <font>
      <b/>
      <sz val="19"/>
      <color rgb="FF980000"/>
      <name val="Arial"/>
    </font>
    <font>
      <b/>
      <sz val="18"/>
      <color rgb="FFFFFFFF"/>
      <name val="Arial"/>
    </font>
    <font>
      <sz val="18"/>
      <color theme="0"/>
      <name val="Arial"/>
    </font>
    <font>
      <sz val="11"/>
      <color theme="1"/>
      <name val="Corrier"/>
    </font>
    <font>
      <sz val="11"/>
      <color theme="0"/>
      <name val="Corrier"/>
    </font>
    <font>
      <b/>
      <sz val="12"/>
      <color rgb="FF000000"/>
      <name val="Arial"/>
    </font>
    <font>
      <b/>
      <sz val="14"/>
      <color rgb="FFFF0000"/>
      <name val="Arial"/>
    </font>
    <font>
      <b/>
      <sz val="10"/>
      <color theme="0"/>
      <name val="Corrier"/>
    </font>
    <font>
      <sz val="11"/>
      <color theme="0"/>
      <name val="Arial"/>
    </font>
    <font>
      <b/>
      <sz val="11"/>
      <color rgb="FF980000"/>
      <name val="Arial"/>
    </font>
    <font>
      <sz val="11"/>
      <color rgb="FF000000"/>
      <name val="Arial"/>
    </font>
    <font>
      <b/>
      <sz val="11"/>
      <color rgb="FF000000"/>
      <name val="Arial"/>
    </font>
    <font>
      <b/>
      <sz val="11"/>
      <color rgb="FFC00000"/>
      <name val="Arial"/>
    </font>
    <font>
      <sz val="11"/>
      <color rgb="FF800000"/>
      <name val="Arial"/>
    </font>
    <font>
      <u/>
      <sz val="11"/>
      <color theme="10"/>
      <name val="Arial"/>
    </font>
    <font>
      <b/>
      <sz val="11"/>
      <color theme="1"/>
      <name val="Arial"/>
    </font>
    <font>
      <b/>
      <sz val="11"/>
      <color rgb="FFFF0000"/>
      <name val="Arial"/>
    </font>
    <font>
      <b/>
      <sz val="11"/>
      <color rgb="FFA5A5A5"/>
      <name val="Arial"/>
    </font>
    <font>
      <sz val="10"/>
      <color rgb="FF000000"/>
      <name val="Arial"/>
    </font>
    <font>
      <b/>
      <sz val="10"/>
      <color rgb="FFE36C09"/>
      <name val="Arial"/>
    </font>
    <font>
      <b/>
      <sz val="10"/>
      <color theme="1"/>
      <name val="Calibri"/>
    </font>
    <font>
      <sz val="9"/>
      <color theme="1"/>
      <name val="Calibri"/>
    </font>
    <font>
      <sz val="11"/>
      <color rgb="FF1F1F1F"/>
      <name val="Arial"/>
    </font>
    <font>
      <sz val="11"/>
      <color theme="1"/>
      <name val="Calibri"/>
      <scheme val="minor"/>
    </font>
    <font>
      <b/>
      <sz val="11"/>
      <color rgb="FF800080"/>
      <name val="Arial"/>
    </font>
    <font>
      <b/>
      <sz val="11"/>
      <color rgb="FF00B0F0"/>
      <name val="Arial"/>
    </font>
    <font>
      <b/>
      <sz val="11"/>
      <color rgb="FF9C0006"/>
      <name val="Calibri"/>
    </font>
    <font>
      <b/>
      <sz val="11"/>
      <color rgb="FF38761D"/>
      <name val="Arial"/>
    </font>
    <font>
      <b/>
      <sz val="11"/>
      <color rgb="FF0000FF"/>
      <name val="Arial"/>
    </font>
    <font>
      <b/>
      <strike/>
      <sz val="11"/>
      <color rgb="FFFF0000"/>
      <name val="Arial"/>
    </font>
    <font>
      <b/>
      <sz val="11"/>
      <color theme="0"/>
      <name val="Arial"/>
    </font>
    <font>
      <b/>
      <sz val="11"/>
      <color rgb="FF808000"/>
      <name val="Arial"/>
    </font>
    <font>
      <b/>
      <sz val="11"/>
      <color rgb="FF00B050"/>
      <name val="Arial"/>
    </font>
    <font>
      <sz val="11"/>
      <color rgb="FF808000"/>
      <name val="Arial"/>
    </font>
    <font>
      <sz val="11"/>
      <color rgb="FFFF0000"/>
      <name val="Arial"/>
    </font>
    <font>
      <sz val="9"/>
      <color theme="1"/>
      <name val="Arial"/>
    </font>
    <font>
      <b/>
      <sz val="15"/>
      <color rgb="FF800080"/>
      <name val="Arial"/>
    </font>
    <font>
      <b/>
      <sz val="10"/>
      <color rgb="FF00B0F0"/>
      <name val="Arial"/>
    </font>
    <font>
      <b/>
      <sz val="15"/>
      <color theme="1"/>
      <name val="Arial"/>
    </font>
    <font>
      <b/>
      <sz val="12"/>
      <color rgb="FFFF0000"/>
      <name val="Arial"/>
    </font>
    <font>
      <b/>
      <sz val="12"/>
      <color rgb="FF38761D"/>
      <name val="Arial"/>
    </font>
    <font>
      <b/>
      <sz val="35"/>
      <color rgb="FF38761D"/>
      <name val="Arial"/>
    </font>
    <font>
      <b/>
      <sz val="10"/>
      <color rgb="FF0000FF"/>
      <name val="Arial"/>
    </font>
    <font>
      <b/>
      <sz val="9"/>
      <color rgb="FF0000FF"/>
      <name val="Arial"/>
    </font>
    <font>
      <sz val="8"/>
      <color theme="1"/>
      <name val="Arial"/>
    </font>
    <font>
      <b/>
      <sz val="12"/>
      <color rgb="FF0000FF"/>
      <name val="Arial"/>
    </font>
    <font>
      <sz val="9"/>
      <color rgb="FF000000"/>
      <name val="Arial"/>
    </font>
    <font>
      <b/>
      <strike/>
      <sz val="10"/>
      <color rgb="FFFF0000"/>
      <name val="Arial"/>
    </font>
    <font>
      <b/>
      <sz val="9"/>
      <color rgb="FFFF0000"/>
      <name val="Arial"/>
    </font>
    <font>
      <b/>
      <sz val="10"/>
      <color rgb="FF808000"/>
      <name val="Arial"/>
    </font>
    <font>
      <b/>
      <sz val="14"/>
      <color rgb="FF0000FF"/>
      <name val="Arial"/>
    </font>
    <font>
      <sz val="9"/>
      <color rgb="FF808000"/>
      <name val="Arial"/>
    </font>
    <font>
      <sz val="10"/>
      <color rgb="FFFF0000"/>
      <name val="Arial"/>
    </font>
    <font>
      <b/>
      <sz val="16"/>
      <color rgb="FF0000FF"/>
      <name val="Arial"/>
    </font>
    <font>
      <b/>
      <sz val="20"/>
      <color rgb="FF000000"/>
      <name val="Arial"/>
    </font>
    <font>
      <sz val="11"/>
      <color rgb="FF999999"/>
      <name val="Arial"/>
    </font>
    <font>
      <b/>
      <sz val="16"/>
      <color rgb="FF000000"/>
      <name val="Courier New"/>
    </font>
    <font>
      <sz val="16"/>
      <color rgb="FF000000"/>
      <name val="Arial"/>
    </font>
    <font>
      <b/>
      <sz val="16"/>
      <color theme="1"/>
      <name val="Arial"/>
    </font>
    <font>
      <sz val="18"/>
      <color rgb="FFFABF8F"/>
      <name val="Calibri"/>
    </font>
    <font>
      <sz val="13"/>
      <color rgb="FF000000"/>
      <name val="&quot;Arial Narrow&quot;, Arial"/>
    </font>
    <font>
      <u/>
      <sz val="13"/>
      <color rgb="FF000000"/>
      <name val="&quot;Arial Narrow&quot;, Arial"/>
    </font>
    <font>
      <b/>
      <u/>
      <sz val="13"/>
      <color rgb="FF000000"/>
      <name val="&quot;Arial Narrow&quot;, Arial"/>
    </font>
    <font>
      <b/>
      <sz val="12"/>
      <color rgb="FFC00000"/>
      <name val="Arial"/>
    </font>
    <font>
      <b/>
      <sz val="11"/>
      <color rgb="FF0070C0"/>
      <name val="Arial"/>
    </font>
    <font>
      <b/>
      <strike/>
      <sz val="11"/>
      <color rgb="FF993366"/>
      <name val="Arial"/>
    </font>
    <font>
      <b/>
      <strike/>
      <sz val="11"/>
      <color rgb="FF808000"/>
      <name val="Arial"/>
    </font>
    <font>
      <b/>
      <strike/>
      <sz val="11"/>
      <color rgb="FF000000"/>
      <name val="Arial"/>
    </font>
    <font>
      <b/>
      <strike/>
      <sz val="11"/>
      <color rgb="FF0000FF"/>
      <name val="Arial"/>
    </font>
    <font>
      <b/>
      <sz val="11"/>
      <color rgb="FF008080"/>
      <name val="Arial"/>
    </font>
    <font>
      <b/>
      <u/>
      <sz val="11"/>
      <color rgb="FF0000FF"/>
      <name val="Arial"/>
    </font>
    <font>
      <b/>
      <sz val="11"/>
      <color rgb="FF0066CC"/>
      <name val="Arial"/>
    </font>
    <font>
      <b/>
      <strike/>
      <sz val="11"/>
      <color theme="1"/>
      <name val="Arial"/>
    </font>
    <font>
      <b/>
      <sz val="12"/>
      <color rgb="FF00B0F0"/>
      <name val="Arial"/>
    </font>
    <font>
      <b/>
      <sz val="10"/>
      <color rgb="FF0070C0"/>
      <name val="Arial"/>
    </font>
    <font>
      <b/>
      <sz val="10"/>
      <color rgb="FF00B050"/>
      <name val="Arial"/>
    </font>
    <font>
      <b/>
      <sz val="10"/>
      <color rgb="FFC00000"/>
      <name val="Arial"/>
    </font>
    <font>
      <b/>
      <strike/>
      <sz val="10"/>
      <color rgb="FF0000FF"/>
      <name val="Arial"/>
    </font>
    <font>
      <b/>
      <strike/>
      <sz val="10"/>
      <color theme="1"/>
      <name val="Arial"/>
    </font>
    <font>
      <b/>
      <strike/>
      <sz val="10"/>
      <color rgb="FF993366"/>
      <name val="Arial"/>
    </font>
    <font>
      <b/>
      <sz val="8"/>
      <color rgb="FFFF0000"/>
      <name val="Arial"/>
    </font>
    <font>
      <b/>
      <strike/>
      <sz val="9"/>
      <color rgb="FFFF0000"/>
      <name val="Arial"/>
    </font>
    <font>
      <b/>
      <strike/>
      <sz val="9"/>
      <color rgb="FF0000FF"/>
      <name val="Arial"/>
    </font>
    <font>
      <b/>
      <sz val="9"/>
      <color theme="1"/>
      <name val="Arial"/>
    </font>
    <font>
      <b/>
      <sz val="8"/>
      <color rgb="FF0000FF"/>
      <name val="Arial"/>
    </font>
    <font>
      <b/>
      <sz val="10"/>
      <color rgb="FF008080"/>
      <name val="Arial"/>
    </font>
    <font>
      <b/>
      <u/>
      <sz val="12"/>
      <color rgb="FF0000FF"/>
      <name val="Arial"/>
    </font>
    <font>
      <b/>
      <sz val="9"/>
      <color rgb="FF0066CC"/>
      <name val="Arial"/>
    </font>
    <font>
      <sz val="8"/>
      <color rgb="FFFF0000"/>
      <name val="Arial"/>
    </font>
    <font>
      <sz val="9"/>
      <color rgb="FFFF0000"/>
      <name val="Arial"/>
    </font>
    <font>
      <b/>
      <u/>
      <sz val="10"/>
      <color rgb="FF0000FF"/>
      <name val="Arial"/>
    </font>
    <font>
      <b/>
      <sz val="10"/>
      <color rgb="FFFF9900"/>
      <name val="Arial"/>
    </font>
  </fonts>
  <fills count="27">
    <fill>
      <patternFill patternType="none"/>
    </fill>
    <fill>
      <patternFill patternType="gray125"/>
    </fill>
    <fill>
      <patternFill patternType="solid">
        <fgColor rgb="FFFFFF00"/>
        <bgColor rgb="FFFFFF00"/>
      </patternFill>
    </fill>
    <fill>
      <patternFill patternType="solid">
        <fgColor rgb="FF999999"/>
        <bgColor rgb="FF999999"/>
      </patternFill>
    </fill>
    <fill>
      <patternFill patternType="solid">
        <fgColor rgb="FF434343"/>
        <bgColor rgb="FF434343"/>
      </patternFill>
    </fill>
    <fill>
      <patternFill patternType="solid">
        <fgColor rgb="FF000000"/>
        <bgColor rgb="FF000000"/>
      </patternFill>
    </fill>
    <fill>
      <patternFill patternType="solid">
        <fgColor rgb="FFF2F2F2"/>
        <bgColor rgb="FFF2F2F2"/>
      </patternFill>
    </fill>
    <fill>
      <patternFill patternType="solid">
        <fgColor theme="1"/>
        <bgColor theme="1"/>
      </patternFill>
    </fill>
    <fill>
      <patternFill patternType="solid">
        <fgColor rgb="FFFFFFFF"/>
        <bgColor rgb="FFFFFFFF"/>
      </patternFill>
    </fill>
    <fill>
      <patternFill patternType="solid">
        <fgColor rgb="FFFFF2CC"/>
        <bgColor rgb="FFFFF2CC"/>
      </patternFill>
    </fill>
    <fill>
      <patternFill patternType="solid">
        <fgColor rgb="FFCFE2F3"/>
        <bgColor rgb="FFCFE2F3"/>
      </patternFill>
    </fill>
    <fill>
      <patternFill patternType="solid">
        <fgColor rgb="FFC3FB25"/>
        <bgColor rgb="FFC3FB25"/>
      </patternFill>
    </fill>
    <fill>
      <patternFill patternType="solid">
        <fgColor rgb="FFFDE9D9"/>
        <bgColor rgb="FFFDE9D9"/>
      </patternFill>
    </fill>
    <fill>
      <patternFill patternType="solid">
        <fgColor rgb="FFEAF1DD"/>
        <bgColor rgb="FFEAF1DD"/>
      </patternFill>
    </fill>
    <fill>
      <patternFill patternType="solid">
        <fgColor rgb="FFDAEEF3"/>
        <bgColor rgb="FFDAEEF3"/>
      </patternFill>
    </fill>
    <fill>
      <patternFill patternType="solid">
        <fgColor rgb="FFD99594"/>
        <bgColor rgb="FFD99594"/>
      </patternFill>
    </fill>
    <fill>
      <patternFill patternType="solid">
        <fgColor rgb="FFF3F3F3"/>
        <bgColor rgb="FFF3F3F3"/>
      </patternFill>
    </fill>
    <fill>
      <patternFill patternType="solid">
        <fgColor theme="0"/>
        <bgColor theme="0"/>
      </patternFill>
    </fill>
    <fill>
      <patternFill patternType="solid">
        <fgColor rgb="FF92D050"/>
        <bgColor rgb="FF92D050"/>
      </patternFill>
    </fill>
    <fill>
      <patternFill patternType="solid">
        <fgColor rgb="FFFF00FF"/>
        <bgColor rgb="FFFF00FF"/>
      </patternFill>
    </fill>
    <fill>
      <patternFill patternType="solid">
        <fgColor rgb="FFD8D8D8"/>
        <bgColor rgb="FFD8D8D8"/>
      </patternFill>
    </fill>
    <fill>
      <patternFill patternType="solid">
        <fgColor rgb="FF6AA84F"/>
        <bgColor rgb="FF6AA84F"/>
      </patternFill>
    </fill>
    <fill>
      <patternFill patternType="solid">
        <fgColor rgb="FFBDBDBD"/>
        <bgColor rgb="FFBDBDBD"/>
      </patternFill>
    </fill>
    <fill>
      <patternFill patternType="solid">
        <fgColor rgb="FF6D9EEB"/>
        <bgColor rgb="FF6D9EEB"/>
      </patternFill>
    </fill>
    <fill>
      <patternFill patternType="solid">
        <fgColor rgb="FFFFFF99"/>
        <bgColor rgb="FFFFFF99"/>
      </patternFill>
    </fill>
    <fill>
      <patternFill patternType="solid">
        <fgColor rgb="FFD6E3BC"/>
        <bgColor rgb="FFD6E3BC"/>
      </patternFill>
    </fill>
    <fill>
      <patternFill patternType="solid">
        <fgColor rgb="FFEFEFEF"/>
        <bgColor rgb="FFEFEFEF"/>
      </patternFill>
    </fill>
  </fills>
  <borders count="11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
      <left/>
      <right/>
      <top style="thin">
        <color rgb="FF000000"/>
      </top>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hair">
        <color rgb="FF000000"/>
      </right>
      <top/>
      <bottom/>
      <diagonal/>
    </border>
    <border>
      <left/>
      <right style="hair">
        <color rgb="FF000000"/>
      </right>
      <top/>
      <bottom/>
      <diagonal/>
    </border>
    <border>
      <left style="hair">
        <color rgb="FF000000"/>
      </left>
      <right/>
      <top style="medium">
        <color rgb="FF000000"/>
      </top>
      <bottom/>
      <diagonal/>
    </border>
    <border>
      <left style="hair">
        <color rgb="FF000000"/>
      </left>
      <right style="hair">
        <color rgb="FF000000"/>
      </right>
      <top/>
      <bottom/>
      <diagonal/>
    </border>
    <border>
      <left style="hair">
        <color rgb="FF000000"/>
      </left>
      <right/>
      <top/>
      <bottom/>
      <diagonal/>
    </border>
    <border>
      <left/>
      <right style="hair">
        <color rgb="FF000000"/>
      </right>
      <top/>
      <bottom/>
      <diagonal/>
    </border>
    <border>
      <left/>
      <right/>
      <top/>
      <bottom/>
      <diagonal/>
    </border>
    <border>
      <left/>
      <right style="hair">
        <color rgb="FF000000"/>
      </right>
      <top/>
      <bottom/>
      <diagonal/>
    </border>
    <border>
      <left style="hair">
        <color rgb="FF000000"/>
      </left>
      <right style="hair">
        <color rgb="FF000000"/>
      </right>
      <top style="medium">
        <color rgb="FF000000"/>
      </top>
      <bottom/>
      <diagonal/>
    </border>
    <border>
      <left style="hair">
        <color rgb="FF000000"/>
      </left>
      <right/>
      <top style="medium">
        <color rgb="FF000000"/>
      </top>
      <bottom/>
      <diagonal/>
    </border>
    <border>
      <left/>
      <right/>
      <top style="medium">
        <color rgb="FF000000"/>
      </top>
      <bottom/>
      <diagonal/>
    </border>
    <border>
      <left/>
      <right style="hair">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hair">
        <color rgb="FF000000"/>
      </right>
      <top/>
      <bottom/>
      <diagonal/>
    </border>
    <border>
      <left style="hair">
        <color rgb="FF000000"/>
      </left>
      <right style="hair">
        <color rgb="FF000000"/>
      </right>
      <top style="hair">
        <color rgb="FF000000"/>
      </top>
      <bottom/>
      <diagonal/>
    </border>
    <border>
      <left style="hair">
        <color rgb="FF000000"/>
      </left>
      <right/>
      <top/>
      <bottom/>
      <diagonal/>
    </border>
    <border>
      <left style="hair">
        <color rgb="FF000000"/>
      </left>
      <right style="hair">
        <color rgb="FF000000"/>
      </right>
      <top/>
      <bottom/>
      <diagonal/>
    </border>
    <border>
      <left style="hair">
        <color rgb="FF000000"/>
      </left>
      <right style="hair">
        <color rgb="FF000000"/>
      </right>
      <top/>
      <bottom/>
      <diagonal/>
    </border>
    <border>
      <left style="hair">
        <color rgb="FF000000"/>
      </left>
      <right/>
      <top/>
      <bottom/>
      <diagonal/>
    </border>
    <border>
      <left/>
      <right/>
      <top/>
      <bottom/>
      <diagonal/>
    </border>
    <border>
      <left style="hair">
        <color rgb="FF000000"/>
      </left>
      <right/>
      <top style="hair">
        <color rgb="FF000000"/>
      </top>
      <bottom/>
      <diagonal/>
    </border>
    <border>
      <left/>
      <right style="hair">
        <color rgb="FF000000"/>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top/>
      <bottom style="medium">
        <color rgb="FF000000"/>
      </bottom>
      <diagonal/>
    </border>
    <border>
      <left style="hair">
        <color rgb="FF000000"/>
      </left>
      <right style="hair">
        <color rgb="FF000000"/>
      </right>
      <top/>
      <bottom style="thin">
        <color rgb="FF000000"/>
      </bottom>
      <diagonal/>
    </border>
    <border>
      <left style="hair">
        <color rgb="FF000000"/>
      </left>
      <right/>
      <top/>
      <bottom style="thin">
        <color rgb="FF000000"/>
      </bottom>
      <diagonal/>
    </border>
    <border>
      <left/>
      <right/>
      <top/>
      <bottom style="thin">
        <color rgb="FF000000"/>
      </bottom>
      <diagonal/>
    </border>
    <border>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right/>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hair">
        <color rgb="FF000000"/>
      </right>
      <top/>
      <bottom style="thin">
        <color rgb="FF000000"/>
      </bottom>
      <diagonal/>
    </border>
    <border>
      <left style="hair">
        <color rgb="FF000000"/>
      </left>
      <right style="thin">
        <color rgb="FF000000"/>
      </right>
      <top/>
      <bottom style="thin">
        <color rgb="FF000000"/>
      </bottom>
      <diagonal/>
    </border>
    <border>
      <left style="thin">
        <color rgb="FF000000"/>
      </left>
      <right style="hair">
        <color rgb="FF000000"/>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bottom/>
      <diagonal/>
    </border>
    <border>
      <left/>
      <right/>
      <top/>
      <bottom style="dotted">
        <color rgb="FF000000"/>
      </bottom>
      <diagonal/>
    </border>
    <border>
      <left/>
      <right/>
      <top style="hair">
        <color rgb="FF000000"/>
      </top>
      <bottom style="hair">
        <color rgb="FF000000"/>
      </bottom>
      <diagonal/>
    </border>
    <border>
      <left/>
      <right/>
      <top style="hair">
        <color rgb="FF000000"/>
      </top>
      <bottom style="hair">
        <color rgb="FF000000"/>
      </bottom>
      <diagonal/>
    </border>
    <border>
      <left/>
      <right/>
      <top style="double">
        <color rgb="FF92CDDC"/>
      </top>
      <bottom style="double">
        <color rgb="FF92CDDC"/>
      </bottom>
      <diagonal/>
    </border>
    <border>
      <left/>
      <right/>
      <top style="double">
        <color rgb="FF92CDDC"/>
      </top>
      <bottom style="double">
        <color rgb="FF92CDDC"/>
      </bottom>
      <diagonal/>
    </border>
    <border>
      <left/>
      <right/>
      <top/>
      <bottom style="hair">
        <color rgb="FF980000"/>
      </bottom>
      <diagonal/>
    </border>
    <border>
      <left/>
      <right/>
      <top style="dotted">
        <color rgb="FF000000"/>
      </top>
      <bottom style="dotted">
        <color rgb="FF000000"/>
      </bottom>
      <diagonal/>
    </border>
    <border>
      <left/>
      <right/>
      <top style="dotted">
        <color rgb="FF000000"/>
      </top>
      <bottom/>
      <diagonal/>
    </border>
    <border>
      <left/>
      <right/>
      <top style="dotted">
        <color rgb="FF000000"/>
      </top>
      <bottom/>
      <diagonal/>
    </border>
    <border>
      <left/>
      <right/>
      <top style="dotted">
        <color rgb="FF000000"/>
      </top>
      <bottom style="dotted">
        <color rgb="FF000000"/>
      </bottom>
      <diagonal/>
    </border>
    <border>
      <left/>
      <right/>
      <top/>
      <bottom style="hair">
        <color rgb="FF7F7F7F"/>
      </bottom>
      <diagonal/>
    </border>
    <border>
      <left/>
      <right/>
      <top style="hair">
        <color rgb="FF7F7F7F"/>
      </top>
      <bottom style="hair">
        <color rgb="FF7F7F7F"/>
      </bottom>
      <diagonal/>
    </border>
    <border>
      <left/>
      <right/>
      <top/>
      <bottom style="dotted">
        <color rgb="FF000000"/>
      </bottom>
      <diagonal/>
    </border>
    <border>
      <left/>
      <right/>
      <top/>
      <bottom style="dotted">
        <color rgb="FF000000"/>
      </bottom>
      <diagonal/>
    </border>
    <border>
      <left/>
      <right/>
      <top style="dotted">
        <color rgb="FF000000"/>
      </top>
      <bottom style="thin">
        <color rgb="FF000000"/>
      </bottom>
      <diagonal/>
    </border>
    <border>
      <left style="thin">
        <color rgb="FF000000"/>
      </left>
      <right/>
      <top style="dotted">
        <color rgb="FF000000"/>
      </top>
      <bottom style="thin">
        <color rgb="FF000000"/>
      </bottom>
      <diagonal/>
    </border>
    <border>
      <left style="thin">
        <color rgb="FF000000"/>
      </left>
      <right/>
      <top style="thin">
        <color rgb="FF000000"/>
      </top>
      <bottom/>
      <diagonal/>
    </border>
    <border>
      <left/>
      <right/>
      <top style="dotted">
        <color rgb="FF000000"/>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medium">
        <color rgb="FFCCCCCC"/>
      </left>
      <right/>
      <top style="medium">
        <color rgb="FFCCCCCC"/>
      </top>
      <bottom style="medium">
        <color rgb="FFCCCCCC"/>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980000"/>
      </left>
      <right/>
      <top style="thin">
        <color rgb="FF980000"/>
      </top>
      <bottom style="thin">
        <color rgb="FF980000"/>
      </bottom>
      <diagonal/>
    </border>
    <border>
      <left/>
      <right style="thin">
        <color rgb="FF980000"/>
      </right>
      <top style="thin">
        <color rgb="FF980000"/>
      </top>
      <bottom style="thin">
        <color rgb="FF980000"/>
      </bottom>
      <diagonal/>
    </border>
    <border>
      <left style="thin">
        <color rgb="FF980000"/>
      </left>
      <right style="thin">
        <color rgb="FF000000"/>
      </right>
      <top style="thin">
        <color rgb="FF980000"/>
      </top>
      <bottom style="thin">
        <color rgb="FF980000"/>
      </bottom>
      <diagonal/>
    </border>
    <border>
      <left style="thin">
        <color rgb="FF000000"/>
      </left>
      <right/>
      <top style="thin">
        <color rgb="FF980000"/>
      </top>
      <bottom style="thin">
        <color rgb="FF980000"/>
      </bottom>
      <diagonal/>
    </border>
    <border>
      <left/>
      <right/>
      <top style="thin">
        <color rgb="FF980000"/>
      </top>
      <bottom style="thin">
        <color rgb="FF980000"/>
      </bottom>
      <diagonal/>
    </border>
    <border>
      <left/>
      <right style="thin">
        <color rgb="FF000000"/>
      </right>
      <top style="thin">
        <color rgb="FF980000"/>
      </top>
      <bottom style="thin">
        <color rgb="FF980000"/>
      </bottom>
      <diagonal/>
    </border>
    <border>
      <left/>
      <right style="thin">
        <color rgb="FF000000"/>
      </right>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277">
    <xf numFmtId="0" fontId="0" fillId="0" borderId="0" xfId="0" applyFont="1" applyAlignment="1"/>
    <xf numFmtId="0" fontId="1" fillId="0" borderId="0" xfId="0" applyFont="1"/>
    <xf numFmtId="10" fontId="1" fillId="0" borderId="0" xfId="0" applyNumberFormat="1" applyFont="1"/>
    <xf numFmtId="0" fontId="2" fillId="0" borderId="0" xfId="0" applyFont="1" applyAlignment="1">
      <alignment horizontal="left"/>
    </xf>
    <xf numFmtId="0" fontId="3" fillId="0" borderId="0" xfId="0" applyFont="1"/>
    <xf numFmtId="0" fontId="1" fillId="2" borderId="1" xfId="0" applyFont="1" applyFill="1" applyBorder="1"/>
    <xf numFmtId="0" fontId="4" fillId="2" borderId="1" xfId="0" applyFont="1" applyFill="1" applyBorder="1" applyAlignment="1">
      <alignment horizontal="center"/>
    </xf>
    <xf numFmtId="0" fontId="5" fillId="0" borderId="0" xfId="0" applyFont="1" applyAlignment="1">
      <alignment horizontal="left"/>
    </xf>
    <xf numFmtId="0" fontId="1" fillId="0" borderId="0" xfId="0" applyFont="1" applyAlignment="1">
      <alignment vertical="center"/>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10" fontId="6" fillId="0" borderId="2" xfId="0" applyNumberFormat="1" applyFont="1" applyBorder="1" applyAlignment="1">
      <alignment horizontal="center" vertical="center" wrapText="1"/>
    </xf>
    <xf numFmtId="0" fontId="5" fillId="3" borderId="2" xfId="0" applyFont="1" applyFill="1" applyBorder="1" applyAlignment="1">
      <alignment horizontal="left" vertical="center"/>
    </xf>
    <xf numFmtId="0" fontId="5" fillId="0" borderId="2" xfId="0" applyFont="1" applyBorder="1" applyAlignment="1">
      <alignment horizontal="left" vertical="center"/>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vertical="center" wrapText="1"/>
    </xf>
    <xf numFmtId="49" fontId="8" fillId="0" borderId="0" xfId="0" applyNumberFormat="1" applyFont="1" applyAlignment="1">
      <alignment horizontal="center" vertical="center" wrapText="1"/>
    </xf>
    <xf numFmtId="4" fontId="8" fillId="0" borderId="0" xfId="0" applyNumberFormat="1" applyFont="1" applyAlignment="1">
      <alignment horizontal="center" vertical="center"/>
    </xf>
    <xf numFmtId="10" fontId="8" fillId="0" borderId="0" xfId="0" applyNumberFormat="1" applyFont="1" applyAlignment="1">
      <alignment horizontal="center" vertical="center"/>
    </xf>
    <xf numFmtId="10" fontId="11" fillId="0" borderId="0" xfId="0" applyNumberFormat="1" applyFont="1" applyAlignment="1">
      <alignment horizontal="center" vertical="center"/>
    </xf>
    <xf numFmtId="1" fontId="8" fillId="0" borderId="0" xfId="0" applyNumberFormat="1" applyFont="1" applyAlignment="1">
      <alignment horizontal="center" vertical="center"/>
    </xf>
    <xf numFmtId="0" fontId="12" fillId="3" borderId="1" xfId="0" applyFont="1" applyFill="1" applyBorder="1"/>
    <xf numFmtId="0" fontId="13" fillId="0" borderId="0" xfId="0" applyFont="1" applyAlignment="1">
      <alignment horizontal="left" vertical="center"/>
    </xf>
    <xf numFmtId="0" fontId="10" fillId="0" borderId="0" xfId="0" applyFont="1" applyAlignment="1">
      <alignment vertical="center"/>
    </xf>
    <xf numFmtId="4" fontId="9" fillId="0" borderId="0" xfId="0" applyNumberFormat="1" applyFont="1" applyAlignment="1">
      <alignment horizontal="center" vertical="center"/>
    </xf>
    <xf numFmtId="0" fontId="13" fillId="3" borderId="1" xfId="0" applyFont="1" applyFill="1" applyBorder="1" applyAlignment="1">
      <alignment horizontal="left" vertical="center"/>
    </xf>
    <xf numFmtId="0" fontId="10" fillId="0" borderId="2" xfId="0" applyFont="1" applyBorder="1" applyAlignment="1">
      <alignment vertical="center"/>
    </xf>
    <xf numFmtId="0" fontId="10" fillId="0" borderId="3" xfId="0" applyFont="1" applyBorder="1" applyAlignment="1">
      <alignment vertical="center"/>
    </xf>
    <xf numFmtId="4" fontId="14" fillId="0" borderId="0" xfId="0" applyNumberFormat="1" applyFont="1" applyAlignment="1">
      <alignment horizontal="center" vertical="center"/>
    </xf>
    <xf numFmtId="4" fontId="15" fillId="0" borderId="0" xfId="0" applyNumberFormat="1" applyFont="1" applyAlignment="1">
      <alignment horizontal="center" vertical="center"/>
    </xf>
    <xf numFmtId="0" fontId="15" fillId="0" borderId="0" xfId="0" applyFont="1" applyAlignment="1">
      <alignment horizontal="center" vertical="center"/>
    </xf>
    <xf numFmtId="0" fontId="11" fillId="0" borderId="0" xfId="0" applyFont="1" applyAlignment="1">
      <alignment vertical="center" wrapText="1"/>
    </xf>
    <xf numFmtId="49" fontId="11" fillId="0" borderId="0" xfId="0" applyNumberFormat="1" applyFont="1" applyAlignment="1">
      <alignment horizontal="center" vertical="center" wrapText="1"/>
    </xf>
    <xf numFmtId="4" fontId="11" fillId="0" borderId="0" xfId="0" applyNumberFormat="1" applyFont="1" applyAlignment="1">
      <alignment horizontal="center" vertical="center"/>
    </xf>
    <xf numFmtId="1" fontId="11" fillId="0" borderId="0" xfId="0" applyNumberFormat="1" applyFont="1" applyAlignment="1">
      <alignment horizontal="center" vertical="center"/>
    </xf>
    <xf numFmtId="1" fontId="16" fillId="0" borderId="0" xfId="0" applyNumberFormat="1" applyFont="1" applyAlignment="1">
      <alignment horizontal="center" vertical="center"/>
    </xf>
    <xf numFmtId="10" fontId="15" fillId="0" borderId="0" xfId="0" applyNumberFormat="1" applyFont="1" applyAlignment="1">
      <alignment horizontal="center" vertical="center"/>
    </xf>
    <xf numFmtId="0" fontId="17" fillId="3" borderId="1" xfId="0" applyFont="1" applyFill="1" applyBorder="1" applyAlignment="1">
      <alignment horizontal="left" vertical="center"/>
    </xf>
    <xf numFmtId="0" fontId="17" fillId="0" borderId="0" xfId="0" applyFont="1" applyAlignment="1">
      <alignment horizontal="left" vertical="center"/>
    </xf>
    <xf numFmtId="0" fontId="11" fillId="0" borderId="0" xfId="0" applyFont="1" applyAlignment="1">
      <alignment vertical="center"/>
    </xf>
    <xf numFmtId="0" fontId="15" fillId="0" borderId="2" xfId="0" applyFont="1" applyBorder="1" applyAlignment="1">
      <alignment vertical="center"/>
    </xf>
    <xf numFmtId="0" fontId="18" fillId="3" borderId="1" xfId="0" applyFont="1" applyFill="1" applyBorder="1" applyAlignment="1">
      <alignment horizontal="left" vertical="center"/>
    </xf>
    <xf numFmtId="0" fontId="18" fillId="0" borderId="0" xfId="0" applyFont="1" applyAlignment="1">
      <alignment horizontal="left" vertical="center"/>
    </xf>
    <xf numFmtId="10" fontId="9" fillId="0" borderId="0" xfId="0" applyNumberFormat="1" applyFont="1" applyAlignment="1">
      <alignment horizontal="center" vertical="center"/>
    </xf>
    <xf numFmtId="4" fontId="19" fillId="0" borderId="0" xfId="0" applyNumberFormat="1" applyFont="1" applyAlignment="1">
      <alignment horizontal="center" vertical="center"/>
    </xf>
    <xf numFmtId="0" fontId="20" fillId="0" borderId="0" xfId="0" applyFont="1" applyAlignment="1">
      <alignment vertical="center" wrapText="1"/>
    </xf>
    <xf numFmtId="0" fontId="8" fillId="0" borderId="0" xfId="0" applyFont="1" applyAlignment="1">
      <alignment horizontal="center" vertical="center"/>
    </xf>
    <xf numFmtId="0" fontId="21" fillId="0" borderId="0" xfId="0" applyFont="1" applyAlignment="1">
      <alignment vertical="center"/>
    </xf>
    <xf numFmtId="0" fontId="22" fillId="0" borderId="0" xfId="0" applyFont="1" applyAlignment="1">
      <alignment horizontal="center" vertical="center"/>
    </xf>
    <xf numFmtId="0" fontId="21" fillId="0" borderId="0" xfId="0" applyFont="1" applyAlignment="1">
      <alignment vertical="center" wrapText="1"/>
    </xf>
    <xf numFmtId="4" fontId="21" fillId="0" borderId="0" xfId="0" applyNumberFormat="1" applyFont="1" applyAlignment="1">
      <alignment horizontal="center" vertical="center"/>
    </xf>
    <xf numFmtId="10" fontId="22" fillId="0" borderId="0" xfId="0" applyNumberFormat="1" applyFont="1" applyAlignment="1">
      <alignment horizontal="center" vertical="center"/>
    </xf>
    <xf numFmtId="4" fontId="22" fillId="0" borderId="0" xfId="0" applyNumberFormat="1" applyFont="1" applyAlignment="1">
      <alignment horizontal="center" vertical="center"/>
    </xf>
    <xf numFmtId="0" fontId="23" fillId="3" borderId="1" xfId="0" applyFont="1" applyFill="1" applyBorder="1" applyAlignment="1">
      <alignment horizontal="left" vertical="center"/>
    </xf>
    <xf numFmtId="0" fontId="23" fillId="0" borderId="0" xfId="0" applyFont="1" applyAlignment="1">
      <alignment horizontal="left" vertical="center"/>
    </xf>
    <xf numFmtId="10" fontId="8" fillId="0" borderId="0" xfId="0" applyNumberFormat="1" applyFont="1" applyAlignment="1">
      <alignment vertical="center"/>
    </xf>
    <xf numFmtId="0" fontId="24" fillId="0" borderId="0" xfId="0" applyFont="1" applyAlignment="1">
      <alignment horizontal="left" vertical="center"/>
    </xf>
    <xf numFmtId="0" fontId="24" fillId="3" borderId="1" xfId="0" applyFont="1" applyFill="1" applyBorder="1" applyAlignment="1">
      <alignment horizontal="left" vertical="center"/>
    </xf>
    <xf numFmtId="0" fontId="2" fillId="3" borderId="1" xfId="0" applyFont="1" applyFill="1" applyBorder="1" applyAlignment="1">
      <alignment horizontal="left"/>
    </xf>
    <xf numFmtId="0" fontId="12" fillId="5" borderId="1" xfId="0" applyFont="1" applyFill="1" applyBorder="1"/>
    <xf numFmtId="0" fontId="27"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xf>
    <xf numFmtId="0" fontId="12" fillId="5" borderId="7" xfId="0" applyFont="1" applyFill="1" applyBorder="1"/>
    <xf numFmtId="0" fontId="32" fillId="0" borderId="0" xfId="0" applyFont="1" applyAlignment="1">
      <alignment horizontal="center"/>
    </xf>
    <xf numFmtId="0" fontId="31" fillId="2" borderId="1" xfId="0" applyFont="1" applyFill="1" applyBorder="1" applyAlignment="1">
      <alignment horizontal="center"/>
    </xf>
    <xf numFmtId="0" fontId="33" fillId="0" borderId="0" xfId="0" applyFont="1"/>
    <xf numFmtId="0" fontId="30" fillId="6" borderId="11" xfId="0" applyFont="1" applyFill="1" applyBorder="1" applyAlignment="1">
      <alignment vertical="center"/>
    </xf>
    <xf numFmtId="0" fontId="1" fillId="0" borderId="12" xfId="0" applyFont="1" applyBorder="1"/>
    <xf numFmtId="0" fontId="33" fillId="8" borderId="1" xfId="0" applyFont="1" applyFill="1" applyBorder="1"/>
    <xf numFmtId="0" fontId="30" fillId="0" borderId="0" xfId="0" applyFont="1" applyAlignment="1">
      <alignment vertical="center"/>
    </xf>
    <xf numFmtId="0" fontId="39" fillId="8" borderId="1" xfId="0" applyFont="1" applyFill="1" applyBorder="1" applyAlignment="1">
      <alignment vertical="center"/>
    </xf>
    <xf numFmtId="0" fontId="40" fillId="9" borderId="25" xfId="0" applyFont="1" applyFill="1" applyBorder="1" applyAlignment="1">
      <alignment horizontal="center" vertical="center" textRotation="90" wrapText="1"/>
    </xf>
    <xf numFmtId="0" fontId="43" fillId="9" borderId="1" xfId="0" applyFont="1" applyFill="1" applyBorder="1" applyAlignment="1">
      <alignment horizontal="center" vertical="center" wrapText="1"/>
    </xf>
    <xf numFmtId="0" fontId="40" fillId="9" borderId="1" xfId="0" applyFont="1" applyFill="1" applyBorder="1" applyAlignment="1">
      <alignment horizontal="center" vertical="center" textRotation="90" wrapText="1"/>
    </xf>
    <xf numFmtId="0" fontId="45" fillId="10" borderId="25" xfId="0" applyFont="1" applyFill="1" applyBorder="1" applyAlignment="1">
      <alignment horizontal="center" vertical="center" textRotation="90" wrapText="1"/>
    </xf>
    <xf numFmtId="0" fontId="46" fillId="10" borderId="1" xfId="0" applyFont="1" applyFill="1" applyBorder="1" applyAlignment="1">
      <alignment horizontal="center" vertical="center" wrapText="1"/>
    </xf>
    <xf numFmtId="0" fontId="45" fillId="10" borderId="1" xfId="0" applyFont="1" applyFill="1" applyBorder="1" applyAlignment="1">
      <alignment horizontal="center" vertical="center" textRotation="90" wrapText="1"/>
    </xf>
    <xf numFmtId="0" fontId="45" fillId="9" borderId="25" xfId="0" applyFont="1" applyFill="1" applyBorder="1" applyAlignment="1">
      <alignment horizontal="center" vertical="center" textRotation="90" wrapText="1"/>
    </xf>
    <xf numFmtId="0" fontId="46" fillId="9" borderId="1" xfId="0" applyFont="1" applyFill="1" applyBorder="1" applyAlignment="1">
      <alignment horizontal="center" vertical="center" wrapText="1"/>
    </xf>
    <xf numFmtId="0" fontId="47" fillId="8" borderId="25" xfId="0" applyFont="1" applyFill="1" applyBorder="1" applyAlignment="1">
      <alignment horizontal="center" vertical="center" textRotation="90" wrapText="1"/>
    </xf>
    <xf numFmtId="0" fontId="48" fillId="8" borderId="1" xfId="0" applyFont="1" applyFill="1" applyBorder="1" applyAlignment="1">
      <alignment horizontal="center" vertical="center" wrapText="1"/>
    </xf>
    <xf numFmtId="0" fontId="49" fillId="8" borderId="25" xfId="0" applyFont="1" applyFill="1" applyBorder="1" applyAlignment="1">
      <alignment horizontal="center" vertical="center" textRotation="90" wrapText="1"/>
    </xf>
    <xf numFmtId="0" fontId="50" fillId="8" borderId="1" xfId="0" applyFont="1" applyFill="1" applyBorder="1" applyAlignment="1">
      <alignment horizontal="center" vertical="center" wrapText="1"/>
    </xf>
    <xf numFmtId="0" fontId="51" fillId="8" borderId="1" xfId="0" applyFont="1" applyFill="1" applyBorder="1"/>
    <xf numFmtId="0" fontId="29" fillId="9" borderId="39" xfId="0" applyFont="1" applyFill="1" applyBorder="1" applyAlignment="1">
      <alignment horizontal="center" vertical="center"/>
    </xf>
    <xf numFmtId="0" fontId="6" fillId="9" borderId="42" xfId="0" applyFont="1" applyFill="1" applyBorder="1" applyAlignment="1">
      <alignment wrapText="1"/>
    </xf>
    <xf numFmtId="0" fontId="1" fillId="9" borderId="43" xfId="0" applyFont="1" applyFill="1" applyBorder="1" applyAlignment="1">
      <alignment horizontal="center"/>
    </xf>
    <xf numFmtId="0" fontId="54" fillId="9" borderId="42" xfId="0" applyFont="1" applyFill="1" applyBorder="1" applyAlignment="1">
      <alignment horizontal="center" wrapText="1"/>
    </xf>
    <xf numFmtId="0" fontId="30" fillId="9" borderId="1" xfId="0" applyFont="1" applyFill="1" applyBorder="1"/>
    <xf numFmtId="0" fontId="29" fillId="9" borderId="45" xfId="0" applyFont="1" applyFill="1" applyBorder="1" applyAlignment="1">
      <alignment horizontal="center" vertical="center"/>
    </xf>
    <xf numFmtId="0" fontId="30" fillId="10" borderId="39" xfId="0" applyFont="1" applyFill="1" applyBorder="1" applyAlignment="1">
      <alignment horizontal="center" vertical="center"/>
    </xf>
    <xf numFmtId="0" fontId="1" fillId="10" borderId="42" xfId="0" applyFont="1" applyFill="1" applyBorder="1"/>
    <xf numFmtId="0" fontId="1" fillId="10" borderId="43" xfId="0" applyFont="1" applyFill="1" applyBorder="1" applyAlignment="1">
      <alignment horizontal="center"/>
    </xf>
    <xf numFmtId="0" fontId="6" fillId="10" borderId="42" xfId="0" applyFont="1" applyFill="1" applyBorder="1" applyAlignment="1">
      <alignment horizontal="center" wrapText="1"/>
    </xf>
    <xf numFmtId="0" fontId="1" fillId="10" borderId="1" xfId="0" applyFont="1" applyFill="1" applyBorder="1"/>
    <xf numFmtId="0" fontId="30" fillId="10" borderId="45" xfId="0" applyFont="1" applyFill="1" applyBorder="1" applyAlignment="1">
      <alignment horizontal="center" vertical="center"/>
    </xf>
    <xf numFmtId="0" fontId="30" fillId="9" borderId="39" xfId="0" applyFont="1" applyFill="1" applyBorder="1" applyAlignment="1">
      <alignment horizontal="center" vertical="center"/>
    </xf>
    <xf numFmtId="0" fontId="1" fillId="9" borderId="42" xfId="0" applyFont="1" applyFill="1" applyBorder="1"/>
    <xf numFmtId="0" fontId="6" fillId="9" borderId="42" xfId="0" applyFont="1" applyFill="1" applyBorder="1" applyAlignment="1">
      <alignment horizontal="center" wrapText="1"/>
    </xf>
    <xf numFmtId="0" fontId="1" fillId="9" borderId="1" xfId="0" applyFont="1" applyFill="1" applyBorder="1"/>
    <xf numFmtId="0" fontId="38" fillId="8" borderId="39" xfId="0" applyFont="1" applyFill="1" applyBorder="1" applyAlignment="1">
      <alignment horizontal="center" vertical="center"/>
    </xf>
    <xf numFmtId="0" fontId="33" fillId="8" borderId="42" xfId="0" applyFont="1" applyFill="1" applyBorder="1"/>
    <xf numFmtId="0" fontId="33" fillId="8" borderId="43" xfId="0" applyFont="1" applyFill="1" applyBorder="1" applyAlignment="1">
      <alignment horizontal="center"/>
    </xf>
    <xf numFmtId="0" fontId="55" fillId="8" borderId="42" xfId="0" applyFont="1" applyFill="1" applyBorder="1" applyAlignment="1">
      <alignment horizontal="center" wrapText="1"/>
    </xf>
    <xf numFmtId="0" fontId="39" fillId="8" borderId="39" xfId="0" applyFont="1" applyFill="1" applyBorder="1" applyAlignment="1">
      <alignment horizontal="center" vertical="center"/>
    </xf>
    <xf numFmtId="0" fontId="51" fillId="8" borderId="42" xfId="0" applyFont="1" applyFill="1" applyBorder="1"/>
    <xf numFmtId="0" fontId="51" fillId="8" borderId="43" xfId="0" applyFont="1" applyFill="1" applyBorder="1" applyAlignment="1">
      <alignment horizontal="center"/>
    </xf>
    <xf numFmtId="0" fontId="3" fillId="8" borderId="42" xfId="0" applyFont="1" applyFill="1" applyBorder="1" applyAlignment="1">
      <alignment horizontal="center" wrapText="1"/>
    </xf>
    <xf numFmtId="0" fontId="29" fillId="9" borderId="50" xfId="0" applyFont="1" applyFill="1" applyBorder="1" applyAlignment="1">
      <alignment horizontal="center" vertical="center"/>
    </xf>
    <xf numFmtId="0" fontId="6" fillId="9" borderId="50" xfId="0" applyFont="1" applyFill="1" applyBorder="1"/>
    <xf numFmtId="0" fontId="1" fillId="9" borderId="53" xfId="0" applyFont="1" applyFill="1" applyBorder="1" applyAlignment="1">
      <alignment horizontal="center"/>
    </xf>
    <xf numFmtId="0" fontId="54" fillId="9" borderId="50" xfId="0" applyFont="1" applyFill="1" applyBorder="1" applyAlignment="1">
      <alignment horizontal="center" wrapText="1"/>
    </xf>
    <xf numFmtId="0" fontId="30" fillId="9" borderId="7" xfId="0" applyFont="1" applyFill="1" applyBorder="1"/>
    <xf numFmtId="0" fontId="29" fillId="9" borderId="53" xfId="0" applyFont="1" applyFill="1" applyBorder="1" applyAlignment="1">
      <alignment horizontal="center" vertical="center"/>
    </xf>
    <xf numFmtId="0" fontId="30" fillId="10" borderId="50" xfId="0" applyFont="1" applyFill="1" applyBorder="1" applyAlignment="1">
      <alignment horizontal="center" vertical="center"/>
    </xf>
    <xf numFmtId="0" fontId="1" fillId="10" borderId="57" xfId="0" applyFont="1" applyFill="1" applyBorder="1"/>
    <xf numFmtId="0" fontId="1" fillId="10" borderId="53" xfId="0" applyFont="1" applyFill="1" applyBorder="1" applyAlignment="1">
      <alignment horizontal="center"/>
    </xf>
    <xf numFmtId="0" fontId="6" fillId="10" borderId="50" xfId="0" applyFont="1" applyFill="1" applyBorder="1" applyAlignment="1">
      <alignment horizontal="center" wrapText="1"/>
    </xf>
    <xf numFmtId="0" fontId="1" fillId="10" borderId="7" xfId="0" applyFont="1" applyFill="1" applyBorder="1"/>
    <xf numFmtId="0" fontId="30" fillId="10" borderId="53" xfId="0" applyFont="1" applyFill="1" applyBorder="1" applyAlignment="1">
      <alignment horizontal="center" vertical="center"/>
    </xf>
    <xf numFmtId="0" fontId="30" fillId="9" borderId="57" xfId="0" applyFont="1" applyFill="1" applyBorder="1" applyAlignment="1">
      <alignment horizontal="center" vertical="center"/>
    </xf>
    <xf numFmtId="0" fontId="1" fillId="9" borderId="57" xfId="0" applyFont="1" applyFill="1" applyBorder="1"/>
    <xf numFmtId="0" fontId="6" fillId="9" borderId="50" xfId="0" applyFont="1" applyFill="1" applyBorder="1" applyAlignment="1">
      <alignment horizontal="center" wrapText="1"/>
    </xf>
    <xf numFmtId="0" fontId="1" fillId="9" borderId="7" xfId="0" applyFont="1" applyFill="1" applyBorder="1"/>
    <xf numFmtId="0" fontId="30" fillId="9" borderId="50" xfId="0" applyFont="1" applyFill="1" applyBorder="1" applyAlignment="1">
      <alignment horizontal="center" vertical="center"/>
    </xf>
    <xf numFmtId="0" fontId="1" fillId="10" borderId="59" xfId="0" applyFont="1" applyFill="1" applyBorder="1" applyAlignment="1">
      <alignment horizontal="center"/>
    </xf>
    <xf numFmtId="0" fontId="38" fillId="8" borderId="50" xfId="0" applyFont="1" applyFill="1" applyBorder="1" applyAlignment="1">
      <alignment horizontal="center" vertical="center"/>
    </xf>
    <xf numFmtId="0" fontId="33" fillId="8" borderId="57" xfId="0" applyFont="1" applyFill="1" applyBorder="1"/>
    <xf numFmtId="0" fontId="33" fillId="8" borderId="59" xfId="0" applyFont="1" applyFill="1" applyBorder="1" applyAlignment="1">
      <alignment horizontal="center"/>
    </xf>
    <xf numFmtId="0" fontId="55" fillId="8" borderId="50" xfId="0" applyFont="1" applyFill="1" applyBorder="1" applyAlignment="1">
      <alignment horizontal="center" wrapText="1"/>
    </xf>
    <xf numFmtId="0" fontId="33" fillId="8" borderId="7" xfId="0" applyFont="1" applyFill="1" applyBorder="1"/>
    <xf numFmtId="0" fontId="39" fillId="8" borderId="50" xfId="0" applyFont="1" applyFill="1" applyBorder="1" applyAlignment="1">
      <alignment horizontal="center" vertical="center"/>
    </xf>
    <xf numFmtId="0" fontId="51" fillId="8" borderId="57" xfId="0" applyFont="1" applyFill="1" applyBorder="1"/>
    <xf numFmtId="0" fontId="51" fillId="8" borderId="59" xfId="0" applyFont="1" applyFill="1" applyBorder="1" applyAlignment="1">
      <alignment horizontal="center"/>
    </xf>
    <xf numFmtId="0" fontId="3" fillId="8" borderId="50" xfId="0" applyFont="1" applyFill="1" applyBorder="1" applyAlignment="1">
      <alignment horizontal="center" wrapText="1"/>
    </xf>
    <xf numFmtId="0" fontId="51" fillId="8" borderId="7" xfId="0" applyFont="1" applyFill="1" applyBorder="1"/>
    <xf numFmtId="0" fontId="6" fillId="0" borderId="0" xfId="0" applyFont="1"/>
    <xf numFmtId="0" fontId="7" fillId="0" borderId="3" xfId="0" applyFont="1" applyBorder="1" applyAlignment="1">
      <alignment horizontal="center"/>
    </xf>
    <xf numFmtId="0" fontId="7" fillId="0" borderId="3" xfId="0" applyFont="1" applyBorder="1" applyAlignment="1">
      <alignment vertical="center"/>
    </xf>
    <xf numFmtId="4" fontId="56" fillId="0" borderId="61" xfId="0" applyNumberFormat="1" applyFont="1" applyBorder="1" applyAlignment="1">
      <alignment horizontal="center"/>
    </xf>
    <xf numFmtId="4" fontId="56" fillId="0" borderId="62" xfId="0" applyNumberFormat="1" applyFont="1" applyBorder="1" applyAlignment="1">
      <alignment horizontal="center"/>
    </xf>
    <xf numFmtId="0" fontId="29" fillId="9" borderId="63" xfId="0" applyFont="1" applyFill="1" applyBorder="1" applyAlignment="1">
      <alignment horizontal="center" vertical="center"/>
    </xf>
    <xf numFmtId="0" fontId="30" fillId="9" borderId="63" xfId="0" applyFont="1" applyFill="1" applyBorder="1" applyAlignment="1">
      <alignment horizontal="center" vertical="center"/>
    </xf>
    <xf numFmtId="0" fontId="1" fillId="9" borderId="7" xfId="0" applyFont="1" applyFill="1" applyBorder="1" applyAlignment="1">
      <alignment horizontal="center"/>
    </xf>
    <xf numFmtId="4" fontId="1" fillId="9" borderId="50" xfId="0" applyNumberFormat="1" applyFont="1" applyFill="1" applyBorder="1" applyAlignment="1">
      <alignment horizontal="center"/>
    </xf>
    <xf numFmtId="10" fontId="57" fillId="9" borderId="50" xfId="0" applyNumberFormat="1" applyFont="1" applyFill="1" applyBorder="1" applyAlignment="1">
      <alignment horizontal="center"/>
    </xf>
    <xf numFmtId="49" fontId="57" fillId="9" borderId="53" xfId="0" applyNumberFormat="1" applyFont="1" applyFill="1" applyBorder="1" applyAlignment="1">
      <alignment horizontal="center" wrapText="1"/>
    </xf>
    <xf numFmtId="3" fontId="12" fillId="9" borderId="63" xfId="0" applyNumberFormat="1" applyFont="1" applyFill="1" applyBorder="1" applyAlignment="1">
      <alignment horizontal="center" wrapText="1"/>
    </xf>
    <xf numFmtId="2" fontId="54" fillId="9" borderId="7" xfId="0" applyNumberFormat="1" applyFont="1" applyFill="1" applyBorder="1" applyAlignment="1">
      <alignment horizontal="center"/>
    </xf>
    <xf numFmtId="0" fontId="30" fillId="9" borderId="7" xfId="0" applyFont="1" applyFill="1" applyBorder="1" applyAlignment="1">
      <alignment horizontal="center"/>
    </xf>
    <xf numFmtId="0" fontId="6" fillId="9" borderId="7" xfId="0" applyFont="1" applyFill="1" applyBorder="1" applyAlignment="1">
      <alignment horizontal="center"/>
    </xf>
    <xf numFmtId="0" fontId="58" fillId="9" borderId="7" xfId="0" applyFont="1" applyFill="1" applyBorder="1" applyAlignment="1">
      <alignment horizontal="center"/>
    </xf>
    <xf numFmtId="0" fontId="58" fillId="9" borderId="64" xfId="0" applyFont="1" applyFill="1" applyBorder="1" applyAlignment="1">
      <alignment horizontal="center"/>
    </xf>
    <xf numFmtId="0" fontId="30" fillId="10" borderId="65" xfId="0" applyFont="1" applyFill="1" applyBorder="1" applyAlignment="1">
      <alignment horizontal="center" vertical="center"/>
    </xf>
    <xf numFmtId="0" fontId="59" fillId="10" borderId="63" xfId="0" applyFont="1" applyFill="1" applyBorder="1" applyAlignment="1">
      <alignment horizontal="center" vertical="center"/>
    </xf>
    <xf numFmtId="0" fontId="1" fillId="10" borderId="7" xfId="0" applyFont="1" applyFill="1" applyBorder="1" applyAlignment="1">
      <alignment horizontal="center"/>
    </xf>
    <xf numFmtId="4" fontId="1" fillId="10" borderId="50" xfId="0" applyNumberFormat="1" applyFont="1" applyFill="1" applyBorder="1" applyAlignment="1">
      <alignment horizontal="center"/>
    </xf>
    <xf numFmtId="10" fontId="1" fillId="10" borderId="50" xfId="0" applyNumberFormat="1" applyFont="1" applyFill="1" applyBorder="1" applyAlignment="1">
      <alignment horizontal="center"/>
    </xf>
    <xf numFmtId="10" fontId="57" fillId="10" borderId="50" xfId="0" applyNumberFormat="1" applyFont="1" applyFill="1" applyBorder="1" applyAlignment="1">
      <alignment horizontal="center"/>
    </xf>
    <xf numFmtId="49" fontId="57" fillId="10" borderId="53" xfId="0" applyNumberFormat="1" applyFont="1" applyFill="1" applyBorder="1" applyAlignment="1">
      <alignment horizontal="center" wrapText="1"/>
    </xf>
    <xf numFmtId="3" fontId="1" fillId="10" borderId="63" xfId="0" applyNumberFormat="1" applyFont="1" applyFill="1" applyBorder="1" applyAlignment="1">
      <alignment horizontal="center" wrapText="1"/>
    </xf>
    <xf numFmtId="2" fontId="1" fillId="10" borderId="7" xfId="0" applyNumberFormat="1" applyFont="1" applyFill="1" applyBorder="1" applyAlignment="1">
      <alignment horizontal="center"/>
    </xf>
    <xf numFmtId="0" fontId="59" fillId="9" borderId="65" xfId="0" applyFont="1" applyFill="1" applyBorder="1" applyAlignment="1">
      <alignment horizontal="center" vertical="center"/>
    </xf>
    <xf numFmtId="0" fontId="59" fillId="9" borderId="63" xfId="0" applyFont="1" applyFill="1" applyBorder="1" applyAlignment="1">
      <alignment horizontal="center" vertical="center"/>
    </xf>
    <xf numFmtId="10" fontId="1" fillId="9" borderId="50" xfId="0" applyNumberFormat="1" applyFont="1" applyFill="1" applyBorder="1" applyAlignment="1">
      <alignment horizontal="center"/>
    </xf>
    <xf numFmtId="3" fontId="1" fillId="9" borderId="63" xfId="0" applyNumberFormat="1" applyFont="1" applyFill="1" applyBorder="1" applyAlignment="1">
      <alignment horizontal="center" wrapText="1"/>
    </xf>
    <xf numFmtId="2" fontId="1" fillId="9" borderId="7" xfId="0" applyNumberFormat="1" applyFont="1" applyFill="1" applyBorder="1" applyAlignment="1">
      <alignment horizontal="center"/>
    </xf>
    <xf numFmtId="0" fontId="1" fillId="9" borderId="66" xfId="0" applyFont="1" applyFill="1" applyBorder="1" applyAlignment="1">
      <alignment horizontal="center"/>
    </xf>
    <xf numFmtId="0" fontId="59" fillId="10" borderId="65" xfId="0" applyFont="1" applyFill="1" applyBorder="1" applyAlignment="1">
      <alignment horizontal="center" vertical="center"/>
    </xf>
    <xf numFmtId="0" fontId="1" fillId="10" borderId="67" xfId="0" applyFont="1" applyFill="1" applyBorder="1" applyAlignment="1">
      <alignment horizontal="center"/>
    </xf>
    <xf numFmtId="0" fontId="60" fillId="8" borderId="65" xfId="0" applyFont="1" applyFill="1" applyBorder="1" applyAlignment="1">
      <alignment horizontal="center" vertical="center"/>
    </xf>
    <xf numFmtId="0" fontId="60" fillId="8" borderId="63" xfId="0" applyFont="1" applyFill="1" applyBorder="1" applyAlignment="1">
      <alignment horizontal="center" vertical="center"/>
    </xf>
    <xf numFmtId="0" fontId="33" fillId="8" borderId="7" xfId="0" applyFont="1" applyFill="1" applyBorder="1" applyAlignment="1">
      <alignment horizontal="center"/>
    </xf>
    <xf numFmtId="4" fontId="33" fillId="8" borderId="7" xfId="0" applyNumberFormat="1" applyFont="1" applyFill="1" applyBorder="1" applyAlignment="1">
      <alignment horizontal="center"/>
    </xf>
    <xf numFmtId="10" fontId="33" fillId="8" borderId="50" xfId="0" applyNumberFormat="1" applyFont="1" applyFill="1" applyBorder="1" applyAlignment="1">
      <alignment horizontal="center"/>
    </xf>
    <xf numFmtId="49" fontId="33" fillId="8" borderId="53" xfId="0" applyNumberFormat="1" applyFont="1" applyFill="1" applyBorder="1" applyAlignment="1">
      <alignment horizontal="center" wrapText="1"/>
    </xf>
    <xf numFmtId="3" fontId="33" fillId="8" borderId="63" xfId="0" applyNumberFormat="1" applyFont="1" applyFill="1" applyBorder="1" applyAlignment="1">
      <alignment horizontal="center" wrapText="1"/>
    </xf>
    <xf numFmtId="2" fontId="33" fillId="8" borderId="7" xfId="0" applyNumberFormat="1" applyFont="1" applyFill="1" applyBorder="1" applyAlignment="1">
      <alignment horizontal="center"/>
    </xf>
    <xf numFmtId="10" fontId="55" fillId="8" borderId="50" xfId="0" applyNumberFormat="1" applyFont="1" applyFill="1" applyBorder="1" applyAlignment="1">
      <alignment horizontal="center"/>
    </xf>
    <xf numFmtId="3" fontId="55" fillId="8" borderId="63" xfId="0" applyNumberFormat="1" applyFont="1" applyFill="1" applyBorder="1" applyAlignment="1">
      <alignment horizontal="center" wrapText="1"/>
    </xf>
    <xf numFmtId="2" fontId="55" fillId="8" borderId="7" xfId="0" applyNumberFormat="1" applyFont="1" applyFill="1" applyBorder="1" applyAlignment="1">
      <alignment horizontal="center"/>
    </xf>
    <xf numFmtId="0" fontId="55" fillId="8" borderId="7" xfId="0" applyFont="1" applyFill="1" applyBorder="1" applyAlignment="1">
      <alignment horizontal="center"/>
    </xf>
    <xf numFmtId="0" fontId="38" fillId="8" borderId="65" xfId="0" applyFont="1" applyFill="1" applyBorder="1" applyAlignment="1">
      <alignment horizontal="center" vertical="center"/>
    </xf>
    <xf numFmtId="0" fontId="38" fillId="8" borderId="63" xfId="0" applyFont="1" applyFill="1" applyBorder="1" applyAlignment="1">
      <alignment horizontal="center" vertical="center"/>
    </xf>
    <xf numFmtId="4" fontId="55" fillId="8" borderId="7" xfId="0" applyNumberFormat="1" applyFont="1" applyFill="1" applyBorder="1" applyAlignment="1">
      <alignment horizontal="center"/>
    </xf>
    <xf numFmtId="49" fontId="55" fillId="8" borderId="53" xfId="0" applyNumberFormat="1" applyFont="1" applyFill="1" applyBorder="1" applyAlignment="1">
      <alignment horizontal="center" wrapText="1"/>
    </xf>
    <xf numFmtId="0" fontId="39" fillId="8" borderId="65" xfId="0" applyFont="1" applyFill="1" applyBorder="1" applyAlignment="1">
      <alignment horizontal="center" vertical="center"/>
    </xf>
    <xf numFmtId="0" fontId="39" fillId="8" borderId="63" xfId="0" applyFont="1" applyFill="1" applyBorder="1" applyAlignment="1">
      <alignment horizontal="center" vertical="center"/>
    </xf>
    <xf numFmtId="0" fontId="51" fillId="8" borderId="7" xfId="0" applyFont="1" applyFill="1" applyBorder="1" applyAlignment="1">
      <alignment horizontal="center"/>
    </xf>
    <xf numFmtId="4" fontId="3" fillId="8" borderId="7" xfId="0" applyNumberFormat="1" applyFont="1" applyFill="1" applyBorder="1" applyAlignment="1">
      <alignment horizontal="center"/>
    </xf>
    <xf numFmtId="10" fontId="3" fillId="8" borderId="50" xfId="0" applyNumberFormat="1" applyFont="1" applyFill="1" applyBorder="1" applyAlignment="1">
      <alignment horizontal="center"/>
    </xf>
    <xf numFmtId="49" fontId="3" fillId="8" borderId="53" xfId="0" applyNumberFormat="1" applyFont="1" applyFill="1" applyBorder="1" applyAlignment="1">
      <alignment horizontal="center" wrapText="1"/>
    </xf>
    <xf numFmtId="3" fontId="3" fillId="8" borderId="63" xfId="0" applyNumberFormat="1" applyFont="1" applyFill="1" applyBorder="1" applyAlignment="1">
      <alignment horizontal="center" wrapText="1"/>
    </xf>
    <xf numFmtId="2" fontId="3" fillId="8" borderId="7" xfId="0" applyNumberFormat="1" applyFont="1" applyFill="1" applyBorder="1" applyAlignment="1">
      <alignment horizontal="center"/>
    </xf>
    <xf numFmtId="0" fontId="3" fillId="8" borderId="7" xfId="0" applyFont="1" applyFill="1" applyBorder="1" applyAlignment="1">
      <alignment horizontal="center"/>
    </xf>
    <xf numFmtId="0" fontId="61" fillId="8" borderId="1" xfId="0" applyFont="1" applyFill="1" applyBorder="1" applyAlignment="1">
      <alignment horizontal="center"/>
    </xf>
    <xf numFmtId="0" fontId="3" fillId="8" borderId="1" xfId="0" applyFont="1" applyFill="1" applyBorder="1"/>
    <xf numFmtId="0" fontId="62" fillId="8" borderId="1" xfId="0" applyFont="1" applyFill="1" applyBorder="1" applyAlignment="1">
      <alignment horizontal="center"/>
    </xf>
    <xf numFmtId="0" fontId="7" fillId="0" borderId="2" xfId="0" applyFont="1" applyBorder="1" applyAlignment="1">
      <alignment horizontal="center"/>
    </xf>
    <xf numFmtId="0" fontId="7" fillId="0" borderId="2" xfId="0" applyFont="1" applyBorder="1" applyAlignment="1">
      <alignment vertical="center"/>
    </xf>
    <xf numFmtId="4" fontId="56" fillId="0" borderId="3" xfId="0" applyNumberFormat="1" applyFont="1" applyBorder="1" applyAlignment="1">
      <alignment horizontal="center"/>
    </xf>
    <xf numFmtId="4" fontId="56" fillId="0" borderId="68" xfId="0" applyNumberFormat="1" applyFont="1" applyBorder="1" applyAlignment="1">
      <alignment horizontal="center"/>
    </xf>
    <xf numFmtId="0" fontId="29" fillId="9" borderId="69" xfId="0" applyFont="1" applyFill="1" applyBorder="1" applyAlignment="1">
      <alignment horizontal="center" vertical="center"/>
    </xf>
    <xf numFmtId="0" fontId="63" fillId="9" borderId="69" xfId="0" applyFont="1" applyFill="1" applyBorder="1" applyAlignment="1">
      <alignment horizontal="center" vertical="center"/>
    </xf>
    <xf numFmtId="0" fontId="57" fillId="9" borderId="7" xfId="0" applyFont="1" applyFill="1" applyBorder="1" applyAlignment="1">
      <alignment horizontal="center"/>
    </xf>
    <xf numFmtId="4" fontId="57" fillId="9" borderId="70" xfId="0" applyNumberFormat="1" applyFont="1" applyFill="1" applyBorder="1" applyAlignment="1">
      <alignment horizontal="center"/>
    </xf>
    <xf numFmtId="10" fontId="57" fillId="9" borderId="70" xfId="0" applyNumberFormat="1" applyFont="1" applyFill="1" applyBorder="1" applyAlignment="1">
      <alignment horizontal="center"/>
    </xf>
    <xf numFmtId="3" fontId="57" fillId="9" borderId="63" xfId="0" applyNumberFormat="1" applyFont="1" applyFill="1" applyBorder="1" applyAlignment="1">
      <alignment horizontal="center" wrapText="1"/>
    </xf>
    <xf numFmtId="2" fontId="57" fillId="9" borderId="7" xfId="0" applyNumberFormat="1" applyFont="1" applyFill="1" applyBorder="1" applyAlignment="1">
      <alignment horizontal="center"/>
    </xf>
    <xf numFmtId="0" fontId="65" fillId="9" borderId="66" xfId="0" applyFont="1" applyFill="1" applyBorder="1" applyAlignment="1">
      <alignment horizontal="center"/>
    </xf>
    <xf numFmtId="0" fontId="57" fillId="9" borderId="66" xfId="0" applyFont="1" applyFill="1" applyBorder="1" applyAlignment="1">
      <alignment horizontal="center"/>
    </xf>
    <xf numFmtId="0" fontId="64" fillId="9" borderId="71" xfId="0" applyFont="1" applyFill="1" applyBorder="1" applyAlignment="1">
      <alignment horizontal="center"/>
    </xf>
    <xf numFmtId="0" fontId="30" fillId="10" borderId="72" xfId="0" applyFont="1" applyFill="1" applyBorder="1" applyAlignment="1">
      <alignment horizontal="center" vertical="center"/>
    </xf>
    <xf numFmtId="0" fontId="59" fillId="10" borderId="69" xfId="0" applyFont="1" applyFill="1" applyBorder="1" applyAlignment="1">
      <alignment horizontal="center" vertical="center"/>
    </xf>
    <xf numFmtId="0" fontId="57" fillId="10" borderId="7" xfId="0" applyFont="1" applyFill="1" applyBorder="1" applyAlignment="1">
      <alignment horizontal="center"/>
    </xf>
    <xf numFmtId="4" fontId="57" fillId="10" borderId="70" xfId="0" applyNumberFormat="1" applyFont="1" applyFill="1" applyBorder="1" applyAlignment="1">
      <alignment horizontal="center"/>
    </xf>
    <xf numFmtId="10" fontId="1" fillId="10" borderId="70" xfId="0" applyNumberFormat="1" applyFont="1" applyFill="1" applyBorder="1" applyAlignment="1">
      <alignment horizontal="center"/>
    </xf>
    <xf numFmtId="10" fontId="57" fillId="10" borderId="70" xfId="0" applyNumberFormat="1" applyFont="1" applyFill="1" applyBorder="1" applyAlignment="1">
      <alignment horizontal="center"/>
    </xf>
    <xf numFmtId="0" fontId="1" fillId="10" borderId="66" xfId="0" applyFont="1" applyFill="1" applyBorder="1" applyAlignment="1">
      <alignment horizontal="center"/>
    </xf>
    <xf numFmtId="0" fontId="59" fillId="9" borderId="72" xfId="0" applyFont="1" applyFill="1" applyBorder="1" applyAlignment="1">
      <alignment horizontal="center" vertical="center"/>
    </xf>
    <xf numFmtId="0" fontId="59" fillId="9" borderId="69" xfId="0" applyFont="1" applyFill="1" applyBorder="1" applyAlignment="1">
      <alignment horizontal="center" vertical="center"/>
    </xf>
    <xf numFmtId="10" fontId="1" fillId="9" borderId="70" xfId="0" applyNumberFormat="1" applyFont="1" applyFill="1" applyBorder="1" applyAlignment="1">
      <alignment horizontal="center"/>
    </xf>
    <xf numFmtId="0" fontId="59" fillId="10" borderId="72" xfId="0" applyFont="1" applyFill="1" applyBorder="1" applyAlignment="1">
      <alignment horizontal="center" vertical="center"/>
    </xf>
    <xf numFmtId="0" fontId="1" fillId="10" borderId="73" xfId="0" applyFont="1" applyFill="1" applyBorder="1" applyAlignment="1">
      <alignment horizontal="center"/>
    </xf>
    <xf numFmtId="0" fontId="60" fillId="8" borderId="72" xfId="0" applyFont="1" applyFill="1" applyBorder="1" applyAlignment="1">
      <alignment horizontal="center" vertical="center"/>
    </xf>
    <xf numFmtId="0" fontId="60" fillId="8" borderId="69" xfId="0" applyFont="1" applyFill="1" applyBorder="1" applyAlignment="1">
      <alignment horizontal="center" vertical="center"/>
    </xf>
    <xf numFmtId="10" fontId="33" fillId="8" borderId="70" xfId="0" applyNumberFormat="1" applyFont="1" applyFill="1" applyBorder="1" applyAlignment="1">
      <alignment horizontal="center"/>
    </xf>
    <xf numFmtId="0" fontId="33" fillId="8" borderId="66" xfId="0" applyFont="1" applyFill="1" applyBorder="1" applyAlignment="1">
      <alignment horizontal="center"/>
    </xf>
    <xf numFmtId="4" fontId="33" fillId="8" borderId="66" xfId="0" applyNumberFormat="1" applyFont="1" applyFill="1" applyBorder="1" applyAlignment="1">
      <alignment horizontal="center"/>
    </xf>
    <xf numFmtId="0" fontId="38" fillId="8" borderId="72" xfId="0" applyFont="1" applyFill="1" applyBorder="1" applyAlignment="1">
      <alignment horizontal="center" vertical="center"/>
    </xf>
    <xf numFmtId="0" fontId="38" fillId="8" borderId="69" xfId="0" applyFont="1" applyFill="1" applyBorder="1" applyAlignment="1">
      <alignment horizontal="center" vertical="center"/>
    </xf>
    <xf numFmtId="0" fontId="39" fillId="8" borderId="72" xfId="0" applyFont="1" applyFill="1" applyBorder="1" applyAlignment="1">
      <alignment horizontal="center" vertical="center"/>
    </xf>
    <xf numFmtId="0" fontId="39" fillId="8" borderId="69" xfId="0" applyFont="1" applyFill="1" applyBorder="1" applyAlignment="1">
      <alignment horizontal="center" vertical="center"/>
    </xf>
    <xf numFmtId="4" fontId="51" fillId="8" borderId="66" xfId="0" applyNumberFormat="1" applyFont="1" applyFill="1" applyBorder="1" applyAlignment="1">
      <alignment horizontal="center"/>
    </xf>
    <xf numFmtId="10" fontId="51" fillId="8" borderId="70" xfId="0" applyNumberFormat="1" applyFont="1" applyFill="1" applyBorder="1" applyAlignment="1">
      <alignment horizontal="center"/>
    </xf>
    <xf numFmtId="49" fontId="51" fillId="8" borderId="53" xfId="0" applyNumberFormat="1" applyFont="1" applyFill="1" applyBorder="1" applyAlignment="1">
      <alignment horizontal="center" wrapText="1"/>
    </xf>
    <xf numFmtId="2" fontId="51" fillId="8" borderId="7" xfId="0" applyNumberFormat="1" applyFont="1" applyFill="1" applyBorder="1" applyAlignment="1">
      <alignment horizontal="center"/>
    </xf>
    <xf numFmtId="0" fontId="51" fillId="8" borderId="66" xfId="0" applyFont="1" applyFill="1" applyBorder="1" applyAlignment="1">
      <alignment horizontal="center"/>
    </xf>
    <xf numFmtId="0" fontId="66" fillId="9" borderId="69" xfId="0" applyFont="1" applyFill="1" applyBorder="1" applyAlignment="1">
      <alignment horizontal="center" vertical="center"/>
    </xf>
    <xf numFmtId="4" fontId="6" fillId="9" borderId="50" xfId="0" applyNumberFormat="1" applyFont="1" applyFill="1" applyBorder="1" applyAlignment="1">
      <alignment horizontal="center"/>
    </xf>
    <xf numFmtId="10" fontId="6" fillId="9" borderId="70" xfId="0" applyNumberFormat="1" applyFont="1" applyFill="1" applyBorder="1" applyAlignment="1">
      <alignment horizontal="center"/>
    </xf>
    <xf numFmtId="49" fontId="6" fillId="9" borderId="53" xfId="0" applyNumberFormat="1" applyFont="1" applyFill="1" applyBorder="1" applyAlignment="1">
      <alignment horizontal="center" wrapText="1"/>
    </xf>
    <xf numFmtId="3" fontId="5" fillId="9" borderId="63" xfId="0" applyNumberFormat="1" applyFont="1" applyFill="1" applyBorder="1" applyAlignment="1">
      <alignment horizontal="center" wrapText="1"/>
    </xf>
    <xf numFmtId="2" fontId="64" fillId="9" borderId="7" xfId="0" applyNumberFormat="1" applyFont="1" applyFill="1" applyBorder="1" applyAlignment="1">
      <alignment horizontal="center"/>
    </xf>
    <xf numFmtId="0" fontId="64" fillId="9" borderId="66" xfId="0" applyFont="1" applyFill="1" applyBorder="1" applyAlignment="1">
      <alignment horizontal="center"/>
    </xf>
    <xf numFmtId="0" fontId="66" fillId="10" borderId="72" xfId="0" applyFont="1" applyFill="1" applyBorder="1" applyAlignment="1">
      <alignment horizontal="center" vertical="center"/>
    </xf>
    <xf numFmtId="0" fontId="30" fillId="10" borderId="69" xfId="0" applyFont="1" applyFill="1" applyBorder="1" applyAlignment="1">
      <alignment horizontal="center" vertical="center"/>
    </xf>
    <xf numFmtId="4" fontId="6" fillId="10" borderId="50" xfId="0" applyNumberFormat="1" applyFont="1" applyFill="1" applyBorder="1" applyAlignment="1">
      <alignment horizontal="center"/>
    </xf>
    <xf numFmtId="10" fontId="6" fillId="10" borderId="70" xfId="0" applyNumberFormat="1" applyFont="1" applyFill="1" applyBorder="1" applyAlignment="1">
      <alignment horizontal="center"/>
    </xf>
    <xf numFmtId="49" fontId="6" fillId="10" borderId="53" xfId="0" applyNumberFormat="1" applyFont="1" applyFill="1" applyBorder="1" applyAlignment="1">
      <alignment horizontal="center" wrapText="1"/>
    </xf>
    <xf numFmtId="3" fontId="5" fillId="10" borderId="63" xfId="0" applyNumberFormat="1" applyFont="1" applyFill="1" applyBorder="1" applyAlignment="1">
      <alignment horizontal="center" wrapText="1"/>
    </xf>
    <xf numFmtId="0" fontId="66" fillId="9" borderId="72" xfId="0" applyFont="1" applyFill="1" applyBorder="1" applyAlignment="1">
      <alignment horizontal="center" vertical="center"/>
    </xf>
    <xf numFmtId="10" fontId="55" fillId="8" borderId="70" xfId="0" applyNumberFormat="1" applyFont="1" applyFill="1" applyBorder="1" applyAlignment="1">
      <alignment horizontal="center"/>
    </xf>
    <xf numFmtId="0" fontId="55" fillId="8" borderId="66" xfId="0" applyFont="1" applyFill="1" applyBorder="1" applyAlignment="1">
      <alignment horizontal="center"/>
    </xf>
    <xf numFmtId="4" fontId="55" fillId="8" borderId="66" xfId="0" applyNumberFormat="1" applyFont="1" applyFill="1" applyBorder="1" applyAlignment="1">
      <alignment horizontal="center"/>
    </xf>
    <xf numFmtId="4" fontId="3" fillId="8" borderId="66" xfId="0" applyNumberFormat="1" applyFont="1" applyFill="1" applyBorder="1" applyAlignment="1">
      <alignment horizontal="center"/>
    </xf>
    <xf numFmtId="10" fontId="3" fillId="8" borderId="70" xfId="0" applyNumberFormat="1" applyFont="1" applyFill="1" applyBorder="1" applyAlignment="1">
      <alignment horizontal="center"/>
    </xf>
    <xf numFmtId="0" fontId="3" fillId="8" borderId="66" xfId="0" applyFont="1" applyFill="1" applyBorder="1" applyAlignment="1">
      <alignment horizontal="center"/>
    </xf>
    <xf numFmtId="4" fontId="6" fillId="9" borderId="70" xfId="0" applyNumberFormat="1" applyFont="1" applyFill="1" applyBorder="1" applyAlignment="1">
      <alignment horizontal="center"/>
    </xf>
    <xf numFmtId="4" fontId="6" fillId="10" borderId="70" xfId="0" applyNumberFormat="1" applyFont="1" applyFill="1" applyBorder="1" applyAlignment="1">
      <alignment horizontal="center"/>
    </xf>
    <xf numFmtId="0" fontId="57" fillId="9" borderId="1" xfId="0" applyFont="1" applyFill="1" applyBorder="1" applyAlignment="1">
      <alignment horizontal="center"/>
    </xf>
    <xf numFmtId="0" fontId="57" fillId="10" borderId="1" xfId="0" applyFont="1" applyFill="1" applyBorder="1" applyAlignment="1">
      <alignment horizontal="center"/>
    </xf>
    <xf numFmtId="0" fontId="67" fillId="9" borderId="69" xfId="0" applyFont="1" applyFill="1" applyBorder="1" applyAlignment="1">
      <alignment horizontal="center" vertical="center"/>
    </xf>
    <xf numFmtId="0" fontId="61" fillId="9" borderId="7" xfId="0" applyFont="1" applyFill="1" applyBorder="1" applyAlignment="1">
      <alignment horizontal="center"/>
    </xf>
    <xf numFmtId="4" fontId="61" fillId="9" borderId="50" xfId="0" applyNumberFormat="1" applyFont="1" applyFill="1" applyBorder="1" applyAlignment="1">
      <alignment horizontal="center"/>
    </xf>
    <xf numFmtId="10" fontId="61" fillId="9" borderId="70" xfId="0" applyNumberFormat="1" applyFont="1" applyFill="1" applyBorder="1" applyAlignment="1">
      <alignment horizontal="center"/>
    </xf>
    <xf numFmtId="3" fontId="68" fillId="9" borderId="63" xfId="0" applyNumberFormat="1" applyFont="1" applyFill="1" applyBorder="1" applyAlignment="1">
      <alignment horizontal="center" wrapText="1"/>
    </xf>
    <xf numFmtId="2" fontId="61" fillId="9" borderId="7" xfId="0" applyNumberFormat="1" applyFont="1" applyFill="1" applyBorder="1" applyAlignment="1">
      <alignment horizontal="center"/>
    </xf>
    <xf numFmtId="0" fontId="67" fillId="9" borderId="66" xfId="0" applyFont="1" applyFill="1" applyBorder="1" applyAlignment="1">
      <alignment horizontal="center"/>
    </xf>
    <xf numFmtId="0" fontId="30" fillId="9" borderId="66" xfId="0" applyFont="1" applyFill="1" applyBorder="1" applyAlignment="1">
      <alignment horizontal="center"/>
    </xf>
    <xf numFmtId="0" fontId="61" fillId="10" borderId="7" xfId="0" applyFont="1" applyFill="1" applyBorder="1" applyAlignment="1">
      <alignment horizontal="center"/>
    </xf>
    <xf numFmtId="4" fontId="61" fillId="10" borderId="50" xfId="0" applyNumberFormat="1" applyFont="1" applyFill="1" applyBorder="1" applyAlignment="1">
      <alignment horizontal="center"/>
    </xf>
    <xf numFmtId="0" fontId="7" fillId="0" borderId="2" xfId="0" applyFont="1" applyBorder="1"/>
    <xf numFmtId="4" fontId="57" fillId="9" borderId="50" xfId="0" applyNumberFormat="1" applyFont="1" applyFill="1" applyBorder="1" applyAlignment="1">
      <alignment horizontal="center"/>
    </xf>
    <xf numFmtId="10" fontId="69" fillId="9" borderId="70" xfId="0" applyNumberFormat="1" applyFont="1" applyFill="1" applyBorder="1" applyAlignment="1">
      <alignment horizontal="center"/>
    </xf>
    <xf numFmtId="49" fontId="69" fillId="9" borderId="53" xfId="0" applyNumberFormat="1" applyFont="1" applyFill="1" applyBorder="1" applyAlignment="1">
      <alignment horizontal="center" wrapText="1"/>
    </xf>
    <xf numFmtId="4" fontId="57" fillId="10" borderId="50" xfId="0" applyNumberFormat="1" applyFont="1" applyFill="1" applyBorder="1" applyAlignment="1">
      <alignment horizontal="center"/>
    </xf>
    <xf numFmtId="10" fontId="69" fillId="10" borderId="70" xfId="0" applyNumberFormat="1" applyFont="1" applyFill="1" applyBorder="1" applyAlignment="1">
      <alignment horizontal="center"/>
    </xf>
    <xf numFmtId="49" fontId="69" fillId="10" borderId="53" xfId="0" applyNumberFormat="1" applyFont="1" applyFill="1" applyBorder="1" applyAlignment="1">
      <alignment horizontal="center" wrapText="1"/>
    </xf>
    <xf numFmtId="0" fontId="12" fillId="0" borderId="0" xfId="0" applyFont="1" applyAlignment="1">
      <alignment horizontal="center"/>
    </xf>
    <xf numFmtId="0" fontId="67" fillId="0" borderId="0" xfId="0" applyFont="1" applyAlignment="1">
      <alignment horizontal="center" vertical="center"/>
    </xf>
    <xf numFmtId="0" fontId="12" fillId="0" borderId="0" xfId="0" applyFont="1"/>
    <xf numFmtId="0" fontId="30" fillId="8" borderId="1" xfId="0" applyFont="1" applyFill="1" applyBorder="1" applyAlignment="1">
      <alignment horizontal="center" vertical="center"/>
    </xf>
    <xf numFmtId="0" fontId="1" fillId="8" borderId="1" xfId="0" applyFont="1" applyFill="1" applyBorder="1"/>
    <xf numFmtId="0" fontId="30" fillId="9" borderId="1" xfId="0" applyFont="1" applyFill="1" applyBorder="1" applyAlignment="1">
      <alignment horizontal="center" vertical="center"/>
    </xf>
    <xf numFmtId="4" fontId="30" fillId="8" borderId="1" xfId="0" applyNumberFormat="1" applyFont="1" applyFill="1" applyBorder="1" applyAlignment="1">
      <alignment horizontal="center" vertical="center"/>
    </xf>
    <xf numFmtId="10" fontId="30" fillId="8" borderId="1" xfId="0" applyNumberFormat="1" applyFont="1" applyFill="1" applyBorder="1" applyAlignment="1">
      <alignment horizontal="center" vertical="center"/>
    </xf>
    <xf numFmtId="49" fontId="30" fillId="8" borderId="1" xfId="0" applyNumberFormat="1" applyFont="1" applyFill="1" applyBorder="1" applyAlignment="1">
      <alignment horizontal="center" vertical="center"/>
    </xf>
    <xf numFmtId="3" fontId="30" fillId="8" borderId="1" xfId="0" applyNumberFormat="1" applyFont="1" applyFill="1" applyBorder="1" applyAlignment="1">
      <alignment horizontal="center" vertical="center"/>
    </xf>
    <xf numFmtId="2" fontId="30" fillId="8" borderId="1" xfId="0" applyNumberFormat="1" applyFont="1" applyFill="1" applyBorder="1" applyAlignment="1">
      <alignment horizontal="center" vertical="center"/>
    </xf>
    <xf numFmtId="4" fontId="30" fillId="10" borderId="1" xfId="0" applyNumberFormat="1" applyFont="1" applyFill="1" applyBorder="1" applyAlignment="1">
      <alignment horizontal="center" vertical="center"/>
    </xf>
    <xf numFmtId="10" fontId="30" fillId="10" borderId="1" xfId="0" applyNumberFormat="1" applyFont="1" applyFill="1" applyBorder="1" applyAlignment="1">
      <alignment horizontal="center" vertical="center"/>
    </xf>
    <xf numFmtId="49" fontId="30" fillId="10" borderId="1" xfId="0" applyNumberFormat="1" applyFont="1" applyFill="1" applyBorder="1" applyAlignment="1">
      <alignment horizontal="center" vertical="center"/>
    </xf>
    <xf numFmtId="0" fontId="30" fillId="10" borderId="1" xfId="0" applyFont="1" applyFill="1" applyBorder="1" applyAlignment="1">
      <alignment horizontal="center" vertical="center"/>
    </xf>
    <xf numFmtId="3" fontId="30" fillId="10" borderId="1" xfId="0" applyNumberFormat="1" applyFont="1" applyFill="1" applyBorder="1" applyAlignment="1">
      <alignment horizontal="center" vertical="center"/>
    </xf>
    <xf numFmtId="2" fontId="30" fillId="10" borderId="1" xfId="0" applyNumberFormat="1" applyFont="1" applyFill="1" applyBorder="1" applyAlignment="1">
      <alignment horizontal="center" vertical="center"/>
    </xf>
    <xf numFmtId="0" fontId="67" fillId="8" borderId="1" xfId="0" applyFont="1" applyFill="1" applyBorder="1" applyAlignment="1">
      <alignment horizontal="center" vertical="center"/>
    </xf>
    <xf numFmtId="4" fontId="67" fillId="8" borderId="1" xfId="0" applyNumberFormat="1" applyFont="1" applyFill="1" applyBorder="1" applyAlignment="1">
      <alignment horizontal="center" vertical="center"/>
    </xf>
    <xf numFmtId="10" fontId="67" fillId="8" borderId="1" xfId="0" applyNumberFormat="1" applyFont="1" applyFill="1" applyBorder="1" applyAlignment="1">
      <alignment horizontal="center" vertical="center"/>
    </xf>
    <xf numFmtId="49" fontId="67" fillId="8" borderId="1" xfId="0" applyNumberFormat="1" applyFont="1" applyFill="1" applyBorder="1" applyAlignment="1">
      <alignment horizontal="center" vertical="center"/>
    </xf>
    <xf numFmtId="3" fontId="67" fillId="8" borderId="1" xfId="0" applyNumberFormat="1" applyFont="1" applyFill="1" applyBorder="1" applyAlignment="1">
      <alignment horizontal="center" vertical="center"/>
    </xf>
    <xf numFmtId="2" fontId="67" fillId="8" borderId="1" xfId="0" applyNumberFormat="1" applyFont="1" applyFill="1" applyBorder="1" applyAlignment="1">
      <alignment horizontal="center" vertical="center"/>
    </xf>
    <xf numFmtId="0" fontId="67" fillId="6" borderId="1" xfId="0" applyFont="1" applyFill="1" applyBorder="1" applyAlignment="1">
      <alignment horizontal="center" vertical="center"/>
    </xf>
    <xf numFmtId="0" fontId="39" fillId="6" borderId="1" xfId="0" applyFont="1" applyFill="1" applyBorder="1" applyAlignment="1">
      <alignment horizontal="center" vertical="center"/>
    </xf>
    <xf numFmtId="0" fontId="51" fillId="6" borderId="1" xfId="0" applyFont="1" applyFill="1" applyBorder="1"/>
    <xf numFmtId="0" fontId="39" fillId="8" borderId="1" xfId="0" applyFont="1" applyFill="1" applyBorder="1" applyAlignment="1">
      <alignment horizontal="center" vertical="center"/>
    </xf>
    <xf numFmtId="0" fontId="70" fillId="8" borderId="1" xfId="0" applyFont="1" applyFill="1" applyBorder="1" applyAlignment="1">
      <alignment horizontal="center"/>
    </xf>
    <xf numFmtId="0" fontId="71" fillId="11" borderId="74" xfId="0" applyFont="1" applyFill="1" applyBorder="1" applyAlignment="1">
      <alignment horizontal="left" vertical="center"/>
    </xf>
    <xf numFmtId="0" fontId="1" fillId="11" borderId="73" xfId="0" applyFont="1" applyFill="1" applyBorder="1"/>
    <xf numFmtId="0" fontId="1" fillId="0" borderId="0" xfId="0" applyFont="1" applyAlignment="1">
      <alignment horizontal="center"/>
    </xf>
    <xf numFmtId="0" fontId="1" fillId="0" borderId="0" xfId="0" applyFont="1" applyAlignment="1">
      <alignment textRotation="90"/>
    </xf>
    <xf numFmtId="49" fontId="53" fillId="12" borderId="1" xfId="0" applyNumberFormat="1" applyFont="1" applyFill="1" applyBorder="1"/>
    <xf numFmtId="49" fontId="1" fillId="12" borderId="1" xfId="0" applyNumberFormat="1" applyFont="1" applyFill="1" applyBorder="1"/>
    <xf numFmtId="49" fontId="1" fillId="0" borderId="0" xfId="0" applyNumberFormat="1" applyFont="1"/>
    <xf numFmtId="49" fontId="7" fillId="13" borderId="1" xfId="0" applyNumberFormat="1" applyFont="1" applyFill="1" applyBorder="1"/>
    <xf numFmtId="3" fontId="7" fillId="11" borderId="1" xfId="0" applyNumberFormat="1" applyFont="1" applyFill="1" applyBorder="1" applyAlignment="1">
      <alignment horizontal="center"/>
    </xf>
    <xf numFmtId="49" fontId="72" fillId="0" borderId="0" xfId="0" applyNumberFormat="1" applyFont="1"/>
    <xf numFmtId="0" fontId="30" fillId="14" borderId="72" xfId="0" applyFont="1" applyFill="1" applyBorder="1" applyAlignment="1">
      <alignment horizontal="center" vertical="center"/>
    </xf>
    <xf numFmtId="0" fontId="73" fillId="8" borderId="1" xfId="0" applyFont="1" applyFill="1" applyBorder="1"/>
    <xf numFmtId="0" fontId="74" fillId="0" borderId="0" xfId="0" applyFont="1" applyAlignment="1">
      <alignment horizontal="left" vertical="center"/>
    </xf>
    <xf numFmtId="0" fontId="1" fillId="12" borderId="1" xfId="0" applyFont="1" applyFill="1" applyBorder="1"/>
    <xf numFmtId="0" fontId="7" fillId="13" borderId="1" xfId="0" applyFont="1" applyFill="1" applyBorder="1"/>
    <xf numFmtId="0" fontId="72" fillId="0" borderId="0" xfId="0" applyFont="1"/>
    <xf numFmtId="0" fontId="1" fillId="0" borderId="0" xfId="0" applyFont="1" applyAlignment="1">
      <alignment horizontal="center" vertical="center"/>
    </xf>
    <xf numFmtId="0" fontId="29" fillId="0" borderId="0" xfId="0" applyFont="1" applyAlignment="1">
      <alignment horizontal="center" vertical="center" textRotation="90"/>
    </xf>
    <xf numFmtId="0" fontId="53" fillId="12" borderId="1" xfId="0" applyFont="1" applyFill="1" applyBorder="1"/>
    <xf numFmtId="0" fontId="1" fillId="12" borderId="1" xfId="0" applyFont="1" applyFill="1" applyBorder="1" applyAlignment="1">
      <alignment horizontal="center" vertical="center"/>
    </xf>
    <xf numFmtId="0" fontId="72" fillId="0" borderId="0" xfId="0" applyFont="1" applyAlignment="1">
      <alignment horizontal="center" vertical="center"/>
    </xf>
    <xf numFmtId="0" fontId="30" fillId="0" borderId="0" xfId="0" applyFont="1" applyAlignment="1">
      <alignment horizontal="center" vertical="center" textRotation="90"/>
    </xf>
    <xf numFmtId="0" fontId="75" fillId="7" borderId="1" xfId="0" applyFont="1" applyFill="1" applyBorder="1" applyAlignment="1">
      <alignment horizontal="left" vertical="center"/>
    </xf>
    <xf numFmtId="0" fontId="6" fillId="0" borderId="0" xfId="0" applyFont="1" applyAlignment="1">
      <alignment horizontal="center" vertical="center"/>
    </xf>
    <xf numFmtId="0" fontId="6" fillId="12" borderId="1" xfId="0" applyFont="1" applyFill="1" applyBorder="1" applyAlignment="1">
      <alignment horizontal="center" vertical="center"/>
    </xf>
    <xf numFmtId="0" fontId="54" fillId="0" borderId="0" xfId="0" applyFont="1" applyAlignment="1">
      <alignment horizontal="center" vertical="center"/>
    </xf>
    <xf numFmtId="0" fontId="6" fillId="10" borderId="1" xfId="0" applyFont="1" applyFill="1" applyBorder="1" applyAlignment="1">
      <alignment horizontal="center" vertical="center"/>
    </xf>
    <xf numFmtId="0" fontId="1" fillId="10" borderId="1" xfId="0" applyFont="1" applyFill="1" applyBorder="1" applyAlignment="1">
      <alignment horizontal="center" vertical="center"/>
    </xf>
    <xf numFmtId="0" fontId="7" fillId="0" borderId="0" xfId="0" applyFont="1" applyAlignment="1">
      <alignment vertical="center"/>
    </xf>
    <xf numFmtId="0" fontId="76" fillId="12" borderId="1" xfId="0" applyFont="1" applyFill="1" applyBorder="1"/>
    <xf numFmtId="0" fontId="77" fillId="13" borderId="1" xfId="0" applyFont="1" applyFill="1" applyBorder="1"/>
    <xf numFmtId="0" fontId="7" fillId="11" borderId="1" xfId="0" applyFont="1" applyFill="1" applyBorder="1" applyAlignment="1">
      <alignment horizontal="center"/>
    </xf>
    <xf numFmtId="49" fontId="76" fillId="0" borderId="0" xfId="0" applyNumberFormat="1" applyFont="1"/>
    <xf numFmtId="0" fontId="61" fillId="14" borderId="1" xfId="0" applyFont="1" applyFill="1" applyBorder="1" applyAlignment="1">
      <alignment horizontal="center"/>
    </xf>
    <xf numFmtId="0" fontId="78" fillId="0" borderId="0" xfId="0" applyFont="1" applyAlignment="1">
      <alignment vertical="center"/>
    </xf>
    <xf numFmtId="0" fontId="78" fillId="0" borderId="0" xfId="0" applyFont="1" applyAlignment="1">
      <alignment horizontal="center" vertical="center"/>
    </xf>
    <xf numFmtId="0" fontId="79" fillId="0" borderId="0" xfId="0" applyFont="1" applyAlignment="1">
      <alignment vertical="center"/>
    </xf>
    <xf numFmtId="0" fontId="80" fillId="0" borderId="0" xfId="0" applyFont="1" applyAlignment="1">
      <alignment vertical="center"/>
    </xf>
    <xf numFmtId="0" fontId="78" fillId="0" borderId="2" xfId="0" applyFont="1" applyBorder="1" applyAlignment="1">
      <alignment horizontal="left" vertical="center" wrapText="1"/>
    </xf>
    <xf numFmtId="0" fontId="78" fillId="0" borderId="3" xfId="0" applyFont="1" applyBorder="1" applyAlignment="1">
      <alignment horizontal="left" vertical="center"/>
    </xf>
    <xf numFmtId="0" fontId="78" fillId="0" borderId="2" xfId="0" applyFont="1" applyBorder="1" applyAlignment="1">
      <alignment horizontal="left" vertical="center"/>
    </xf>
    <xf numFmtId="0" fontId="80" fillId="0" borderId="0" xfId="0" applyFont="1" applyAlignment="1">
      <alignment horizontal="center" vertical="top"/>
    </xf>
    <xf numFmtId="0" fontId="80" fillId="0" borderId="2" xfId="0" applyFont="1" applyBorder="1" applyAlignment="1">
      <alignment horizontal="center" vertical="center"/>
    </xf>
    <xf numFmtId="0" fontId="84" fillId="16" borderId="73" xfId="0" applyFont="1" applyFill="1" applyBorder="1" applyAlignment="1">
      <alignment horizontal="left" vertical="top"/>
    </xf>
    <xf numFmtId="0" fontId="81" fillId="0" borderId="0" xfId="0" applyFont="1" applyAlignment="1">
      <alignment horizontal="center" vertical="top"/>
    </xf>
    <xf numFmtId="22" fontId="83" fillId="17" borderId="74" xfId="0" applyNumberFormat="1" applyFont="1" applyFill="1" applyBorder="1" applyAlignment="1">
      <alignment horizontal="left" vertical="center"/>
    </xf>
    <xf numFmtId="0" fontId="83" fillId="17" borderId="66" xfId="0" applyFont="1" applyFill="1" applyBorder="1" applyAlignment="1">
      <alignment horizontal="left" vertical="center"/>
    </xf>
    <xf numFmtId="22" fontId="83" fillId="17" borderId="66" xfId="0" applyNumberFormat="1" applyFont="1" applyFill="1" applyBorder="1" applyAlignment="1">
      <alignment horizontal="left" vertical="center"/>
    </xf>
    <xf numFmtId="0" fontId="78" fillId="0" borderId="8" xfId="0" applyFont="1" applyBorder="1" applyAlignment="1">
      <alignment horizontal="left" vertical="center"/>
    </xf>
    <xf numFmtId="22" fontId="83" fillId="17" borderId="73" xfId="0" applyNumberFormat="1" applyFont="1" applyFill="1" applyBorder="1" applyAlignment="1">
      <alignment horizontal="left" vertical="center"/>
    </xf>
    <xf numFmtId="0" fontId="78" fillId="17" borderId="1" xfId="0" applyFont="1" applyFill="1" applyBorder="1" applyAlignment="1">
      <alignment horizontal="center" vertical="center"/>
    </xf>
    <xf numFmtId="0" fontId="86" fillId="8" borderId="1" xfId="0" applyFont="1" applyFill="1" applyBorder="1" applyAlignment="1">
      <alignment horizontal="center" vertical="center"/>
    </xf>
    <xf numFmtId="0" fontId="78" fillId="8" borderId="1" xfId="0" applyFont="1" applyFill="1" applyBorder="1" applyAlignment="1">
      <alignment vertical="center"/>
    </xf>
    <xf numFmtId="0" fontId="78" fillId="0" borderId="0" xfId="0" applyFont="1"/>
    <xf numFmtId="0" fontId="78" fillId="0" borderId="0" xfId="0" applyFont="1" applyAlignment="1">
      <alignment horizontal="center"/>
    </xf>
    <xf numFmtId="0" fontId="89" fillId="0" borderId="0" xfId="0" applyFont="1" applyAlignment="1">
      <alignment horizontal="center"/>
    </xf>
    <xf numFmtId="0" fontId="81" fillId="8" borderId="1" xfId="0" applyFont="1" applyFill="1" applyBorder="1"/>
    <xf numFmtId="0" fontId="78" fillId="8" borderId="1" xfId="0" applyFont="1" applyFill="1" applyBorder="1"/>
    <xf numFmtId="0" fontId="81" fillId="0" borderId="0" xfId="0" applyFont="1" applyAlignment="1">
      <alignment horizontal="center"/>
    </xf>
    <xf numFmtId="0" fontId="78" fillId="0" borderId="0" xfId="0" applyFont="1" applyAlignment="1">
      <alignment horizontal="right" vertical="center"/>
    </xf>
    <xf numFmtId="165" fontId="78" fillId="0" borderId="0" xfId="0" applyNumberFormat="1" applyFont="1" applyAlignment="1">
      <alignment horizontal="center" vertical="center"/>
    </xf>
    <xf numFmtId="0" fontId="12" fillId="2" borderId="1" xfId="0" applyFont="1" applyFill="1" applyBorder="1"/>
    <xf numFmtId="0" fontId="12" fillId="8" borderId="1" xfId="0" applyFont="1" applyFill="1" applyBorder="1"/>
    <xf numFmtId="0" fontId="81" fillId="0" borderId="0" xfId="0" applyFont="1" applyAlignment="1">
      <alignment horizontal="center" vertical="center"/>
    </xf>
    <xf numFmtId="0" fontId="91" fillId="0" borderId="0" xfId="0" applyFont="1" applyAlignment="1">
      <alignment horizontal="center" vertical="center" wrapText="1"/>
    </xf>
    <xf numFmtId="0" fontId="92" fillId="8" borderId="1" xfId="0" applyFont="1" applyFill="1" applyBorder="1" applyAlignment="1">
      <alignment horizontal="center" vertical="center" wrapText="1"/>
    </xf>
    <xf numFmtId="0" fontId="93" fillId="8" borderId="1" xfId="0" applyFont="1" applyFill="1" applyBorder="1" applyAlignment="1">
      <alignment horizontal="center" vertical="center" wrapText="1"/>
    </xf>
    <xf numFmtId="0" fontId="94" fillId="0" borderId="0" xfId="0" applyFont="1" applyAlignment="1">
      <alignment vertical="center"/>
    </xf>
    <xf numFmtId="0" fontId="95" fillId="0" borderId="0" xfId="0" applyFont="1" applyAlignment="1">
      <alignment horizontal="center" vertical="center" wrapText="1"/>
    </xf>
    <xf numFmtId="0" fontId="96" fillId="8" borderId="1" xfId="0" applyFont="1" applyFill="1" applyBorder="1" applyAlignment="1">
      <alignment horizontal="center" vertical="center" wrapText="1"/>
    </xf>
    <xf numFmtId="0" fontId="97" fillId="0" borderId="79" xfId="0" applyFont="1" applyBorder="1" applyAlignment="1">
      <alignment horizontal="center" vertical="center"/>
    </xf>
    <xf numFmtId="0" fontId="98" fillId="8" borderId="80" xfId="0" applyFont="1" applyFill="1" applyBorder="1" applyAlignment="1">
      <alignment horizontal="center" vertical="center"/>
    </xf>
    <xf numFmtId="0" fontId="99" fillId="8" borderId="1" xfId="0" applyFont="1" applyFill="1" applyBorder="1" applyAlignment="1">
      <alignment horizontal="center" vertical="center"/>
    </xf>
    <xf numFmtId="49" fontId="100" fillId="8" borderId="1" xfId="0" applyNumberFormat="1" applyFont="1" applyFill="1" applyBorder="1" applyAlignment="1">
      <alignment horizontal="center" vertical="center"/>
    </xf>
    <xf numFmtId="165" fontId="94" fillId="8" borderId="1" xfId="0" applyNumberFormat="1" applyFont="1" applyFill="1" applyBorder="1" applyAlignment="1">
      <alignment horizontal="center" vertical="center"/>
    </xf>
    <xf numFmtId="166" fontId="101" fillId="0" borderId="79" xfId="0" applyNumberFormat="1" applyFont="1" applyBorder="1" applyAlignment="1">
      <alignment horizontal="center" vertical="center"/>
    </xf>
    <xf numFmtId="166" fontId="102" fillId="8" borderId="80" xfId="0" applyNumberFormat="1" applyFont="1" applyFill="1" applyBorder="1" applyAlignment="1">
      <alignment horizontal="center" vertical="center"/>
    </xf>
    <xf numFmtId="166" fontId="103" fillId="8" borderId="1" xfId="0" applyNumberFormat="1" applyFont="1" applyFill="1" applyBorder="1" applyAlignment="1">
      <alignment horizontal="center" vertical="center"/>
    </xf>
    <xf numFmtId="10" fontId="97" fillId="0" borderId="0" xfId="0" applyNumberFormat="1" applyFont="1" applyAlignment="1">
      <alignment horizontal="center" vertical="center"/>
    </xf>
    <xf numFmtId="10" fontId="98" fillId="8" borderId="1" xfId="0" applyNumberFormat="1" applyFont="1" applyFill="1" applyBorder="1" applyAlignment="1">
      <alignment horizontal="center" vertical="center"/>
    </xf>
    <xf numFmtId="10" fontId="99" fillId="8" borderId="1" xfId="0" applyNumberFormat="1" applyFont="1" applyFill="1" applyBorder="1" applyAlignment="1">
      <alignment horizontal="center" vertical="center"/>
    </xf>
    <xf numFmtId="10" fontId="101" fillId="0" borderId="79" xfId="0" applyNumberFormat="1" applyFont="1" applyBorder="1" applyAlignment="1">
      <alignment horizontal="center" vertical="center"/>
    </xf>
    <xf numFmtId="10" fontId="102" fillId="8" borderId="80" xfId="0" applyNumberFormat="1" applyFont="1" applyFill="1" applyBorder="1" applyAlignment="1">
      <alignment horizontal="center" vertical="center"/>
    </xf>
    <xf numFmtId="10" fontId="103" fillId="8" borderId="1" xfId="0" applyNumberFormat="1" applyFont="1" applyFill="1" applyBorder="1" applyAlignment="1">
      <alignment horizontal="center" vertical="center"/>
    </xf>
    <xf numFmtId="0" fontId="89" fillId="0" borderId="0" xfId="0" applyFont="1" applyAlignment="1">
      <alignment vertical="center"/>
    </xf>
    <xf numFmtId="0" fontId="89" fillId="0" borderId="0" xfId="0" applyFont="1" applyAlignment="1">
      <alignment horizontal="right" vertical="center"/>
    </xf>
    <xf numFmtId="166" fontId="101" fillId="8" borderId="80" xfId="0" applyNumberFormat="1" applyFont="1" applyFill="1" applyBorder="1" applyAlignment="1">
      <alignment horizontal="center" vertical="center"/>
    </xf>
    <xf numFmtId="0" fontId="104" fillId="0" borderId="0" xfId="0" applyFont="1" applyAlignment="1">
      <alignment vertical="center"/>
    </xf>
    <xf numFmtId="10" fontId="101" fillId="0" borderId="0" xfId="0" applyNumberFormat="1" applyFont="1" applyAlignment="1">
      <alignment horizontal="center" vertical="center"/>
    </xf>
    <xf numFmtId="166" fontId="99" fillId="8" borderId="1" xfId="0" applyNumberFormat="1" applyFont="1" applyFill="1" applyBorder="1" applyAlignment="1">
      <alignment horizontal="center" vertical="center"/>
    </xf>
    <xf numFmtId="10" fontId="101" fillId="18" borderId="1" xfId="0" applyNumberFormat="1" applyFont="1" applyFill="1" applyBorder="1" applyAlignment="1">
      <alignment horizontal="center" vertical="center"/>
    </xf>
    <xf numFmtId="10" fontId="102" fillId="8" borderId="1" xfId="0" applyNumberFormat="1" applyFont="1" applyFill="1" applyBorder="1" applyAlignment="1">
      <alignment horizontal="center" vertical="center"/>
    </xf>
    <xf numFmtId="167" fontId="78" fillId="0" borderId="0" xfId="0" applyNumberFormat="1" applyFont="1" applyAlignment="1">
      <alignment horizontal="center" vertical="center"/>
    </xf>
    <xf numFmtId="10" fontId="105" fillId="8" borderId="1" xfId="0" applyNumberFormat="1" applyFont="1" applyFill="1" applyBorder="1" applyAlignment="1">
      <alignment horizontal="center" vertical="center"/>
    </xf>
    <xf numFmtId="10" fontId="94" fillId="8" borderId="1" xfId="0" applyNumberFormat="1" applyFont="1" applyFill="1" applyBorder="1" applyAlignment="1">
      <alignment horizontal="center" vertical="center"/>
    </xf>
    <xf numFmtId="0" fontId="94" fillId="8" borderId="1" xfId="0" applyFont="1" applyFill="1" applyBorder="1" applyAlignment="1">
      <alignment vertical="center"/>
    </xf>
    <xf numFmtId="0" fontId="81" fillId="0" borderId="81" xfId="0" applyFont="1" applyBorder="1" applyAlignment="1">
      <alignment horizontal="center" vertical="center" wrapText="1"/>
    </xf>
    <xf numFmtId="0" fontId="100" fillId="8" borderId="82" xfId="0" applyFont="1" applyFill="1" applyBorder="1" applyAlignment="1">
      <alignment horizontal="center" vertical="center" wrapText="1"/>
    </xf>
    <xf numFmtId="0" fontId="106" fillId="8" borderId="1" xfId="0" applyFont="1" applyFill="1" applyBorder="1" applyAlignment="1">
      <alignment horizontal="center" vertical="center" wrapText="1"/>
    </xf>
    <xf numFmtId="0" fontId="78" fillId="17" borderId="1" xfId="0" applyFont="1" applyFill="1" applyBorder="1" applyAlignment="1">
      <alignment horizontal="right" vertical="center"/>
    </xf>
    <xf numFmtId="4" fontId="107" fillId="0" borderId="0" xfId="0" applyNumberFormat="1" applyFont="1" applyAlignment="1">
      <alignment horizontal="center" vertical="center"/>
    </xf>
    <xf numFmtId="4" fontId="108" fillId="8" borderId="1" xfId="0" applyNumberFormat="1" applyFont="1" applyFill="1" applyBorder="1" applyAlignment="1">
      <alignment horizontal="center" vertical="center"/>
    </xf>
    <xf numFmtId="4" fontId="109" fillId="8" borderId="1" xfId="0" applyNumberFormat="1" applyFont="1" applyFill="1" applyBorder="1" applyAlignment="1">
      <alignment horizontal="center" vertical="center"/>
    </xf>
    <xf numFmtId="3" fontId="108" fillId="8" borderId="1" xfId="0" applyNumberFormat="1" applyFont="1" applyFill="1" applyBorder="1" applyAlignment="1">
      <alignment horizontal="center" vertical="center"/>
    </xf>
    <xf numFmtId="0" fontId="110" fillId="0" borderId="0" xfId="0" applyFont="1" applyAlignment="1">
      <alignment vertical="center"/>
    </xf>
    <xf numFmtId="0" fontId="111" fillId="17" borderId="1" xfId="0" applyFont="1" applyFill="1" applyBorder="1" applyAlignment="1">
      <alignment horizontal="right" vertical="center"/>
    </xf>
    <xf numFmtId="3" fontId="111" fillId="8" borderId="83" xfId="0" applyNumberFormat="1" applyFont="1" applyFill="1" applyBorder="1" applyAlignment="1">
      <alignment horizontal="center" vertical="center"/>
    </xf>
    <xf numFmtId="3" fontId="112" fillId="8" borderId="1" xfId="0" applyNumberFormat="1" applyFont="1" applyFill="1" applyBorder="1" applyAlignment="1">
      <alignment horizontal="center" vertical="center"/>
    </xf>
    <xf numFmtId="0" fontId="113" fillId="0" borderId="0" xfId="0" applyFont="1" applyAlignment="1">
      <alignment vertical="center"/>
    </xf>
    <xf numFmtId="3" fontId="97" fillId="0" borderId="0" xfId="0" applyNumberFormat="1" applyFont="1" applyAlignment="1">
      <alignment horizontal="center" vertical="center"/>
    </xf>
    <xf numFmtId="3" fontId="98" fillId="8" borderId="1" xfId="0" applyNumberFormat="1" applyFont="1" applyFill="1" applyBorder="1" applyAlignment="1">
      <alignment horizontal="center" vertical="center"/>
    </xf>
    <xf numFmtId="3" fontId="99" fillId="8" borderId="1" xfId="0" applyNumberFormat="1" applyFont="1" applyFill="1" applyBorder="1" applyAlignment="1">
      <alignment horizontal="center" vertical="center"/>
    </xf>
    <xf numFmtId="0" fontId="86" fillId="0" borderId="0" xfId="0" applyFont="1" applyAlignment="1">
      <alignment horizontal="center" vertical="center"/>
    </xf>
    <xf numFmtId="0" fontId="114" fillId="0" borderId="0" xfId="0" applyFont="1"/>
    <xf numFmtId="0" fontId="114" fillId="8" borderId="1" xfId="0" applyFont="1" applyFill="1" applyBorder="1"/>
    <xf numFmtId="0" fontId="115" fillId="8" borderId="1" xfId="0" applyFont="1" applyFill="1" applyBorder="1"/>
    <xf numFmtId="167" fontId="97" fillId="18" borderId="84" xfId="0" applyNumberFormat="1" applyFont="1" applyFill="1" applyBorder="1" applyAlignment="1">
      <alignment horizontal="center" vertical="center"/>
    </xf>
    <xf numFmtId="167" fontId="98" fillId="8" borderId="84" xfId="0" applyNumberFormat="1" applyFont="1" applyFill="1" applyBorder="1" applyAlignment="1">
      <alignment horizontal="center" vertical="center"/>
    </xf>
    <xf numFmtId="167" fontId="99" fillId="8" borderId="1" xfId="0" applyNumberFormat="1" applyFont="1" applyFill="1" applyBorder="1" applyAlignment="1">
      <alignment horizontal="center" vertical="center"/>
    </xf>
    <xf numFmtId="2" fontId="97" fillId="18" borderId="84" xfId="0" applyNumberFormat="1" applyFont="1" applyFill="1" applyBorder="1" applyAlignment="1">
      <alignment horizontal="center" vertical="center"/>
    </xf>
    <xf numFmtId="2" fontId="98" fillId="8" borderId="84" xfId="0" applyNumberFormat="1" applyFont="1" applyFill="1" applyBorder="1" applyAlignment="1">
      <alignment horizontal="center" vertical="center"/>
    </xf>
    <xf numFmtId="2" fontId="99" fillId="8" borderId="1" xfId="0" applyNumberFormat="1" applyFont="1" applyFill="1" applyBorder="1" applyAlignment="1">
      <alignment horizontal="center" vertical="center"/>
    </xf>
    <xf numFmtId="168" fontId="97" fillId="0" borderId="85" xfId="0" applyNumberFormat="1" applyFont="1" applyBorder="1" applyAlignment="1">
      <alignment horizontal="center" vertical="center"/>
    </xf>
    <xf numFmtId="168" fontId="98" fillId="8" borderId="86" xfId="0" applyNumberFormat="1" applyFont="1" applyFill="1" applyBorder="1" applyAlignment="1">
      <alignment horizontal="center" vertical="center"/>
    </xf>
    <xf numFmtId="168" fontId="99" fillId="8" borderId="1" xfId="0" applyNumberFormat="1" applyFont="1" applyFill="1" applyBorder="1" applyAlignment="1">
      <alignment horizontal="center" vertical="center"/>
    </xf>
    <xf numFmtId="166" fontId="97" fillId="0" borderId="87" xfId="0" applyNumberFormat="1" applyFont="1" applyBorder="1" applyAlignment="1">
      <alignment horizontal="center" vertical="center"/>
    </xf>
    <xf numFmtId="166" fontId="98" fillId="8" borderId="84" xfId="0" applyNumberFormat="1" applyFont="1" applyFill="1" applyBorder="1" applyAlignment="1">
      <alignment horizontal="center" vertical="center"/>
    </xf>
    <xf numFmtId="167" fontId="97" fillId="0" borderId="87" xfId="0" applyNumberFormat="1" applyFont="1" applyBorder="1" applyAlignment="1">
      <alignment horizontal="center" vertical="center"/>
    </xf>
    <xf numFmtId="3" fontId="97" fillId="0" borderId="87" xfId="0" applyNumberFormat="1" applyFont="1" applyBorder="1" applyAlignment="1">
      <alignment horizontal="center" vertical="center"/>
    </xf>
    <xf numFmtId="3" fontId="98" fillId="8" borderId="84" xfId="0" applyNumberFormat="1" applyFont="1" applyFill="1" applyBorder="1" applyAlignment="1">
      <alignment horizontal="center" vertical="center"/>
    </xf>
    <xf numFmtId="0" fontId="78" fillId="17" borderId="7" xfId="0" applyFont="1" applyFill="1" applyBorder="1" applyAlignment="1">
      <alignment horizontal="right" vertical="center"/>
    </xf>
    <xf numFmtId="166" fontId="98" fillId="0" borderId="68" xfId="0" applyNumberFormat="1" applyFont="1" applyBorder="1" applyAlignment="1">
      <alignment horizontal="center" vertical="center"/>
    </xf>
    <xf numFmtId="166" fontId="97" fillId="0" borderId="68" xfId="0" applyNumberFormat="1" applyFont="1" applyBorder="1" applyAlignment="1">
      <alignment horizontal="center" vertical="center"/>
    </xf>
    <xf numFmtId="166" fontId="98" fillId="8" borderId="7" xfId="0" applyNumberFormat="1" applyFont="1" applyFill="1" applyBorder="1" applyAlignment="1">
      <alignment horizontal="center" vertical="center"/>
    </xf>
    <xf numFmtId="0" fontId="81" fillId="17" borderId="1" xfId="0" applyFont="1" applyFill="1" applyBorder="1" applyAlignment="1">
      <alignment horizontal="right" vertical="center"/>
    </xf>
    <xf numFmtId="4" fontId="98" fillId="8" borderId="1" xfId="0" applyNumberFormat="1" applyFont="1" applyFill="1" applyBorder="1" applyAlignment="1">
      <alignment horizontal="center" vertical="center"/>
    </xf>
    <xf numFmtId="4" fontId="99" fillId="8" borderId="1" xfId="0" applyNumberFormat="1" applyFont="1" applyFill="1" applyBorder="1" applyAlignment="1">
      <alignment horizontal="center" vertical="center"/>
    </xf>
    <xf numFmtId="3" fontId="98" fillId="8" borderId="84" xfId="0" applyNumberFormat="1" applyFont="1" applyFill="1" applyBorder="1" applyAlignment="1">
      <alignment horizontal="center"/>
    </xf>
    <xf numFmtId="3" fontId="99" fillId="8" borderId="1" xfId="0" applyNumberFormat="1" applyFont="1" applyFill="1" applyBorder="1" applyAlignment="1">
      <alignment horizontal="center"/>
    </xf>
    <xf numFmtId="166" fontId="107" fillId="0" borderId="68" xfId="0" applyNumberFormat="1" applyFont="1" applyBorder="1" applyAlignment="1">
      <alignment horizontal="center" vertical="center"/>
    </xf>
    <xf numFmtId="3" fontId="98" fillId="8" borderId="7" xfId="0" applyNumberFormat="1" applyFont="1" applyFill="1" applyBorder="1" applyAlignment="1">
      <alignment horizontal="center" vertical="center"/>
    </xf>
    <xf numFmtId="4" fontId="98" fillId="8" borderId="88" xfId="0" applyNumberFormat="1" applyFont="1" applyFill="1" applyBorder="1" applyAlignment="1">
      <alignment horizontal="center" vertical="center"/>
    </xf>
    <xf numFmtId="4" fontId="98" fillId="8" borderId="89" xfId="0" applyNumberFormat="1" applyFont="1" applyFill="1" applyBorder="1" applyAlignment="1">
      <alignment horizontal="center" vertical="center"/>
    </xf>
    <xf numFmtId="166" fontId="97" fillId="0" borderId="90" xfId="0" applyNumberFormat="1" applyFont="1" applyBorder="1" applyAlignment="1">
      <alignment horizontal="center" vertical="center"/>
    </xf>
    <xf numFmtId="166" fontId="98" fillId="8" borderId="91" xfId="0" applyNumberFormat="1" applyFont="1" applyFill="1" applyBorder="1" applyAlignment="1">
      <alignment horizontal="center" vertical="center"/>
    </xf>
    <xf numFmtId="3" fontId="97" fillId="0" borderId="68" xfId="0" applyNumberFormat="1" applyFont="1" applyBorder="1" applyAlignment="1">
      <alignment horizontal="center" vertical="center"/>
    </xf>
    <xf numFmtId="0" fontId="78" fillId="19" borderId="1" xfId="0" applyFont="1" applyFill="1" applyBorder="1" applyAlignment="1">
      <alignment vertical="center"/>
    </xf>
    <xf numFmtId="4" fontId="103" fillId="8" borderId="1" xfId="0" applyNumberFormat="1" applyFont="1" applyFill="1" applyBorder="1" applyAlignment="1">
      <alignment horizontal="center" vertical="center" wrapText="1"/>
    </xf>
    <xf numFmtId="3" fontId="97" fillId="18" borderId="84" xfId="0" applyNumberFormat="1" applyFont="1" applyFill="1" applyBorder="1" applyAlignment="1">
      <alignment horizontal="center" vertical="center"/>
    </xf>
    <xf numFmtId="3" fontId="97" fillId="8" borderId="84" xfId="0" applyNumberFormat="1" applyFont="1" applyFill="1" applyBorder="1" applyAlignment="1">
      <alignment horizontal="center" vertical="center"/>
    </xf>
    <xf numFmtId="166" fontId="98" fillId="0" borderId="87" xfId="0" applyNumberFormat="1" applyFont="1" applyBorder="1" applyAlignment="1">
      <alignment horizontal="center" vertical="center"/>
    </xf>
    <xf numFmtId="0" fontId="12" fillId="0" borderId="0" xfId="0" applyFont="1" applyAlignment="1">
      <alignment horizontal="right"/>
    </xf>
    <xf numFmtId="10" fontId="97" fillId="18" borderId="92" xfId="0" applyNumberFormat="1" applyFont="1" applyFill="1" applyBorder="1" applyAlignment="1">
      <alignment horizontal="center" vertical="center"/>
    </xf>
    <xf numFmtId="10" fontId="98" fillId="8" borderId="93" xfId="0" applyNumberFormat="1" applyFont="1" applyFill="1" applyBorder="1" applyAlignment="1">
      <alignment horizontal="center" vertical="center"/>
    </xf>
    <xf numFmtId="10" fontId="116" fillId="18" borderId="66" xfId="0" applyNumberFormat="1" applyFont="1" applyFill="1" applyBorder="1" applyAlignment="1">
      <alignment horizontal="center" vertical="center"/>
    </xf>
    <xf numFmtId="10" fontId="98" fillId="8" borderId="66" xfId="0" applyNumberFormat="1" applyFont="1" applyFill="1" applyBorder="1" applyAlignment="1">
      <alignment horizontal="center" vertical="center"/>
    </xf>
    <xf numFmtId="10" fontId="117" fillId="0" borderId="12" xfId="0" applyNumberFormat="1" applyFont="1" applyBorder="1" applyAlignment="1">
      <alignment horizontal="center" vertical="center"/>
    </xf>
    <xf numFmtId="10" fontId="98" fillId="8" borderId="94" xfId="0" applyNumberFormat="1" applyFont="1" applyFill="1" applyBorder="1" applyAlignment="1">
      <alignment horizontal="center" vertical="center"/>
    </xf>
    <xf numFmtId="0" fontId="105" fillId="8" borderId="1" xfId="0" applyFont="1" applyFill="1" applyBorder="1" applyAlignment="1">
      <alignment vertical="center"/>
    </xf>
    <xf numFmtId="0" fontId="118" fillId="8" borderId="1" xfId="0" applyFont="1" applyFill="1" applyBorder="1" applyAlignment="1">
      <alignment horizontal="center" vertical="center"/>
    </xf>
    <xf numFmtId="1" fontId="84" fillId="18" borderId="92" xfId="0" applyNumberFormat="1" applyFont="1" applyFill="1" applyBorder="1" applyAlignment="1">
      <alignment horizontal="center" vertical="center"/>
    </xf>
    <xf numFmtId="1" fontId="102" fillId="8" borderId="92" xfId="0" applyNumberFormat="1" applyFont="1" applyFill="1" applyBorder="1" applyAlignment="1">
      <alignment horizontal="center" vertical="center"/>
    </xf>
    <xf numFmtId="1" fontId="103" fillId="8" borderId="1" xfId="0" applyNumberFormat="1" applyFont="1" applyFill="1" applyBorder="1" applyAlignment="1">
      <alignment horizontal="center" vertical="center"/>
    </xf>
    <xf numFmtId="1" fontId="101" fillId="0" borderId="95" xfId="0" applyNumberFormat="1" applyFont="1" applyBorder="1" applyAlignment="1">
      <alignment horizontal="center" vertical="center"/>
    </xf>
    <xf numFmtId="1" fontId="101" fillId="0" borderId="95" xfId="0" applyNumberFormat="1" applyFont="1" applyBorder="1" applyAlignment="1">
      <alignment horizontal="center" vertical="center"/>
    </xf>
    <xf numFmtId="1" fontId="98" fillId="8" borderId="92" xfId="0" applyNumberFormat="1" applyFont="1" applyFill="1" applyBorder="1" applyAlignment="1">
      <alignment horizontal="center" vertical="center"/>
    </xf>
    <xf numFmtId="1" fontId="99" fillId="8" borderId="1" xfId="0" applyNumberFormat="1" applyFont="1" applyFill="1" applyBorder="1" applyAlignment="1">
      <alignment horizontal="center" vertical="center"/>
    </xf>
    <xf numFmtId="0" fontId="78" fillId="0" borderId="68" xfId="0" applyFont="1" applyBorder="1" applyAlignment="1">
      <alignment horizontal="right" vertical="center"/>
    </xf>
    <xf numFmtId="1" fontId="97" fillId="0" borderId="95" xfId="0" applyNumberFormat="1" applyFont="1" applyBorder="1" applyAlignment="1">
      <alignment horizontal="center" vertical="center"/>
    </xf>
    <xf numFmtId="0" fontId="119" fillId="0" borderId="0" xfId="0" applyFont="1" applyAlignment="1">
      <alignment wrapText="1"/>
    </xf>
    <xf numFmtId="3" fontId="120" fillId="8" borderId="1" xfId="0" applyNumberFormat="1" applyFont="1" applyFill="1" applyBorder="1" applyAlignment="1">
      <alignment horizontal="center" vertical="center" wrapText="1"/>
    </xf>
    <xf numFmtId="0" fontId="121" fillId="0" borderId="0" xfId="0" applyFont="1" applyAlignment="1">
      <alignment horizontal="center" wrapText="1"/>
    </xf>
    <xf numFmtId="0" fontId="121" fillId="0" borderId="0" xfId="0" applyFont="1" applyAlignment="1">
      <alignment wrapText="1"/>
    </xf>
    <xf numFmtId="0" fontId="83" fillId="0" borderId="0" xfId="0" applyFont="1" applyAlignment="1">
      <alignment wrapText="1"/>
    </xf>
    <xf numFmtId="0" fontId="122" fillId="0" borderId="0" xfId="0" applyFont="1" applyAlignment="1">
      <alignment horizontal="center" vertical="center" wrapText="1"/>
    </xf>
    <xf numFmtId="0" fontId="123" fillId="0" borderId="0" xfId="0" applyFont="1" applyAlignment="1">
      <alignment horizontal="left" wrapText="1"/>
    </xf>
    <xf numFmtId="0" fontId="124" fillId="0" borderId="0" xfId="0" applyFont="1" applyAlignment="1">
      <alignment horizontal="left" wrapText="1"/>
    </xf>
    <xf numFmtId="0" fontId="121" fillId="0" borderId="96" xfId="0" applyFont="1" applyBorder="1" applyAlignment="1">
      <alignment horizontal="left" wrapText="1"/>
    </xf>
    <xf numFmtId="0" fontId="122" fillId="0" borderId="10" xfId="0" applyFont="1" applyBorder="1" applyAlignment="1">
      <alignment horizontal="right" wrapText="1"/>
    </xf>
    <xf numFmtId="0" fontId="121" fillId="0" borderId="0" xfId="0" applyFont="1" applyAlignment="1">
      <alignment horizontal="left" wrapText="1"/>
    </xf>
    <xf numFmtId="0" fontId="121" fillId="0" borderId="19" xfId="0" applyFont="1" applyBorder="1" applyAlignment="1">
      <alignment wrapText="1"/>
    </xf>
    <xf numFmtId="0" fontId="122" fillId="20" borderId="2" xfId="0" applyFont="1" applyFill="1" applyBorder="1" applyAlignment="1">
      <alignment horizontal="center" vertical="center" wrapText="1"/>
    </xf>
    <xf numFmtId="0" fontId="120" fillId="20" borderId="2" xfId="0" applyFont="1" applyFill="1" applyBorder="1" applyAlignment="1">
      <alignment horizontal="center" vertical="center" wrapText="1"/>
    </xf>
    <xf numFmtId="0" fontId="121" fillId="20" borderId="2" xfId="0" applyFont="1" applyFill="1" applyBorder="1" applyAlignment="1">
      <alignment horizontal="center" vertical="center" wrapText="1"/>
    </xf>
    <xf numFmtId="0" fontId="126" fillId="20" borderId="2" xfId="0" applyFont="1" applyFill="1" applyBorder="1" applyAlignment="1">
      <alignment horizontal="center" vertical="center" wrapText="1"/>
    </xf>
    <xf numFmtId="0" fontId="127" fillId="20" borderId="2" xfId="0" applyFont="1" applyFill="1" applyBorder="1" applyAlignment="1">
      <alignment horizontal="center" vertical="center" wrapText="1"/>
    </xf>
    <xf numFmtId="0" fontId="121" fillId="0" borderId="2" xfId="0" applyFont="1" applyBorder="1" applyAlignment="1">
      <alignment horizontal="right" vertical="center" wrapText="1"/>
    </xf>
    <xf numFmtId="3" fontId="120" fillId="0" borderId="2" xfId="0" applyNumberFormat="1" applyFont="1" applyBorder="1" applyAlignment="1">
      <alignment horizontal="center" vertical="center" wrapText="1"/>
    </xf>
    <xf numFmtId="1" fontId="121" fillId="0" borderId="2" xfId="0" applyNumberFormat="1" applyFont="1" applyBorder="1" applyAlignment="1">
      <alignment horizontal="center" vertical="center" wrapText="1"/>
    </xf>
    <xf numFmtId="169" fontId="121" fillId="0" borderId="2" xfId="0" applyNumberFormat="1" applyFont="1" applyBorder="1" applyAlignment="1">
      <alignment horizontal="center" vertical="center" wrapText="1"/>
    </xf>
    <xf numFmtId="170" fontId="121" fillId="0" borderId="2" xfId="0" applyNumberFormat="1" applyFont="1" applyBorder="1" applyAlignment="1">
      <alignment horizontal="center" vertical="center" wrapText="1"/>
    </xf>
    <xf numFmtId="3" fontId="122" fillId="0" borderId="2" xfId="0" applyNumberFormat="1" applyFont="1" applyBorder="1" applyAlignment="1">
      <alignment horizontal="center" vertical="center" wrapText="1"/>
    </xf>
    <xf numFmtId="166" fontId="121" fillId="0" borderId="0" xfId="0" applyNumberFormat="1" applyFont="1" applyAlignment="1">
      <alignment horizontal="center" vertical="center" wrapText="1"/>
    </xf>
    <xf numFmtId="3" fontId="120" fillId="0" borderId="19" xfId="0" applyNumberFormat="1" applyFont="1" applyBorder="1" applyAlignment="1">
      <alignment horizontal="center" vertical="center" wrapText="1"/>
    </xf>
    <xf numFmtId="169" fontId="121" fillId="0" borderId="19" xfId="0" applyNumberFormat="1" applyFont="1" applyBorder="1" applyAlignment="1">
      <alignment horizontal="center" vertical="center" wrapText="1"/>
    </xf>
    <xf numFmtId="0" fontId="121" fillId="0" borderId="19" xfId="0" applyFont="1" applyBorder="1" applyAlignment="1">
      <alignment horizontal="right" vertical="center" wrapText="1"/>
    </xf>
    <xf numFmtId="1" fontId="121" fillId="0" borderId="19" xfId="0" applyNumberFormat="1" applyFont="1" applyBorder="1" applyAlignment="1">
      <alignment horizontal="center" vertical="center" wrapText="1"/>
    </xf>
    <xf numFmtId="3" fontId="121" fillId="0" borderId="19" xfId="0" applyNumberFormat="1" applyFont="1" applyBorder="1" applyAlignment="1">
      <alignment horizontal="center" vertical="center" wrapText="1"/>
    </xf>
    <xf numFmtId="0" fontId="126" fillId="20" borderId="2" xfId="0" applyFont="1" applyFill="1" applyBorder="1" applyAlignment="1">
      <alignment horizontal="right" vertical="center" wrapText="1"/>
    </xf>
    <xf numFmtId="1" fontId="126" fillId="20" borderId="2" xfId="0" applyNumberFormat="1" applyFont="1" applyFill="1" applyBorder="1" applyAlignment="1">
      <alignment horizontal="center" vertical="center" wrapText="1"/>
    </xf>
    <xf numFmtId="1" fontId="126" fillId="0" borderId="19" xfId="0" applyNumberFormat="1" applyFont="1" applyBorder="1" applyAlignment="1">
      <alignment horizontal="center" vertical="center" wrapText="1"/>
    </xf>
    <xf numFmtId="4" fontId="126" fillId="20" borderId="2" xfId="0" applyNumberFormat="1" applyFont="1" applyFill="1" applyBorder="1" applyAlignment="1">
      <alignment horizontal="center" vertical="center" wrapText="1"/>
    </xf>
    <xf numFmtId="169" fontId="126" fillId="20" borderId="2" xfId="0" applyNumberFormat="1" applyFont="1" applyFill="1" applyBorder="1" applyAlignment="1">
      <alignment horizontal="center" vertical="center" wrapText="1"/>
    </xf>
    <xf numFmtId="1" fontId="126" fillId="0" borderId="98" xfId="0" applyNumberFormat="1" applyFont="1" applyBorder="1" applyAlignment="1">
      <alignment horizontal="center" vertical="center" wrapText="1"/>
    </xf>
    <xf numFmtId="1" fontId="126" fillId="0" borderId="0" xfId="0" applyNumberFormat="1" applyFont="1" applyAlignment="1">
      <alignment horizontal="center" vertical="center" wrapText="1"/>
    </xf>
    <xf numFmtId="0" fontId="121" fillId="0" borderId="0" xfId="0" applyFont="1" applyAlignment="1">
      <alignment vertical="center" wrapText="1"/>
    </xf>
    <xf numFmtId="0" fontId="128" fillId="0" borderId="0" xfId="0" applyFont="1" applyAlignment="1">
      <alignment horizontal="right" wrapText="1"/>
    </xf>
    <xf numFmtId="0" fontId="128" fillId="0" borderId="0" xfId="0" applyFont="1" applyAlignment="1">
      <alignment horizontal="center" vertical="center" wrapText="1"/>
    </xf>
    <xf numFmtId="4" fontId="128" fillId="0" borderId="0" xfId="0" applyNumberFormat="1" applyFont="1" applyAlignment="1">
      <alignment horizontal="center" wrapText="1"/>
    </xf>
    <xf numFmtId="0" fontId="129" fillId="0" borderId="99" xfId="0" applyFont="1" applyBorder="1" applyAlignment="1">
      <alignment wrapText="1"/>
    </xf>
    <xf numFmtId="0" fontId="79" fillId="0" borderId="0" xfId="0" applyFont="1" applyAlignment="1">
      <alignment horizontal="center" wrapText="1"/>
    </xf>
    <xf numFmtId="0" fontId="130" fillId="0" borderId="0" xfId="0" applyFont="1" applyAlignment="1">
      <alignment horizontal="center" wrapText="1"/>
    </xf>
    <xf numFmtId="0" fontId="131" fillId="22" borderId="2" xfId="0" applyFont="1" applyFill="1" applyBorder="1" applyAlignment="1">
      <alignment vertical="center"/>
    </xf>
    <xf numFmtId="0" fontId="81" fillId="22" borderId="2" xfId="0" applyFont="1" applyFill="1" applyBorder="1" applyAlignment="1">
      <alignment horizontal="center" vertical="center" wrapText="1"/>
    </xf>
    <xf numFmtId="0" fontId="78" fillId="8" borderId="2" xfId="0" applyFont="1" applyFill="1" applyBorder="1" applyAlignment="1">
      <alignment horizontal="right" wrapText="1"/>
    </xf>
    <xf numFmtId="0" fontId="78" fillId="8" borderId="2" xfId="0" applyFont="1" applyFill="1" applyBorder="1" applyAlignment="1">
      <alignment wrapText="1"/>
    </xf>
    <xf numFmtId="0" fontId="78" fillId="8" borderId="2" xfId="0" applyFont="1" applyFill="1" applyBorder="1" applyAlignment="1">
      <alignment horizontal="center" wrapText="1"/>
    </xf>
    <xf numFmtId="171" fontId="132" fillId="8" borderId="2" xfId="0" applyNumberFormat="1" applyFont="1" applyFill="1" applyBorder="1" applyAlignment="1">
      <alignment horizontal="center" wrapText="1"/>
    </xf>
    <xf numFmtId="4" fontId="78" fillId="8" borderId="2" xfId="0" applyNumberFormat="1" applyFont="1" applyFill="1" applyBorder="1" applyAlignment="1">
      <alignment horizontal="center" wrapText="1"/>
    </xf>
    <xf numFmtId="171" fontId="78" fillId="8" borderId="2" xfId="0" applyNumberFormat="1" applyFont="1" applyFill="1" applyBorder="1" applyAlignment="1">
      <alignment horizontal="center" wrapText="1"/>
    </xf>
    <xf numFmtId="3" fontId="78" fillId="8" borderId="2" xfId="0" applyNumberFormat="1" applyFont="1" applyFill="1" applyBorder="1" applyAlignment="1">
      <alignment horizontal="center"/>
    </xf>
    <xf numFmtId="0" fontId="78" fillId="16" borderId="2" xfId="0" applyFont="1" applyFill="1" applyBorder="1" applyAlignment="1">
      <alignment horizontal="right" wrapText="1"/>
    </xf>
    <xf numFmtId="0" fontId="78" fillId="16" borderId="2" xfId="0" applyFont="1" applyFill="1" applyBorder="1" applyAlignment="1">
      <alignment wrapText="1"/>
    </xf>
    <xf numFmtId="0" fontId="78" fillId="16" borderId="2" xfId="0" applyFont="1" applyFill="1" applyBorder="1" applyAlignment="1">
      <alignment horizontal="center" wrapText="1"/>
    </xf>
    <xf numFmtId="171" fontId="132" fillId="16" borderId="2" xfId="0" applyNumberFormat="1" applyFont="1" applyFill="1" applyBorder="1" applyAlignment="1">
      <alignment horizontal="center" wrapText="1"/>
    </xf>
    <xf numFmtId="4" fontId="78" fillId="16" borderId="2" xfId="0" applyNumberFormat="1" applyFont="1" applyFill="1" applyBorder="1" applyAlignment="1">
      <alignment horizontal="center" wrapText="1"/>
    </xf>
    <xf numFmtId="171" fontId="78" fillId="16" borderId="2" xfId="0" applyNumberFormat="1" applyFont="1" applyFill="1" applyBorder="1" applyAlignment="1">
      <alignment horizontal="center" wrapText="1"/>
    </xf>
    <xf numFmtId="3" fontId="78" fillId="16" borderId="2" xfId="0" applyNumberFormat="1" applyFont="1" applyFill="1" applyBorder="1" applyAlignment="1">
      <alignment horizontal="center"/>
    </xf>
    <xf numFmtId="0" fontId="131" fillId="22" borderId="2" xfId="0" applyFont="1" applyFill="1" applyBorder="1" applyAlignment="1">
      <alignment vertical="center" wrapText="1"/>
    </xf>
    <xf numFmtId="3" fontId="78" fillId="8" borderId="2" xfId="0" applyNumberFormat="1" applyFont="1" applyFill="1" applyBorder="1" applyAlignment="1">
      <alignment horizontal="center" wrapText="1"/>
    </xf>
    <xf numFmtId="3" fontId="78" fillId="16" borderId="2" xfId="0" applyNumberFormat="1" applyFont="1" applyFill="1" applyBorder="1" applyAlignment="1">
      <alignment horizontal="center" wrapText="1"/>
    </xf>
    <xf numFmtId="0" fontId="78" fillId="22" borderId="2" xfId="0" applyFont="1" applyFill="1" applyBorder="1" applyAlignment="1">
      <alignment wrapText="1"/>
    </xf>
    <xf numFmtId="2" fontId="78" fillId="8" borderId="2" xfId="0" applyNumberFormat="1" applyFont="1" applyFill="1" applyBorder="1" applyAlignment="1">
      <alignment wrapText="1"/>
    </xf>
    <xf numFmtId="4" fontId="78" fillId="8" borderId="2" xfId="0" applyNumberFormat="1" applyFont="1" applyFill="1" applyBorder="1" applyAlignment="1">
      <alignment wrapText="1"/>
    </xf>
    <xf numFmtId="171" fontId="78" fillId="8" borderId="2" xfId="0" applyNumberFormat="1" applyFont="1" applyFill="1" applyBorder="1" applyAlignment="1">
      <alignment wrapText="1"/>
    </xf>
    <xf numFmtId="3" fontId="78" fillId="8" borderId="2" xfId="0" applyNumberFormat="1" applyFont="1" applyFill="1" applyBorder="1" applyAlignment="1">
      <alignment wrapText="1"/>
    </xf>
    <xf numFmtId="2" fontId="78" fillId="16" borderId="2" xfId="0" applyNumberFormat="1" applyFont="1" applyFill="1" applyBorder="1" applyAlignment="1">
      <alignment wrapText="1"/>
    </xf>
    <xf numFmtId="4" fontId="78" fillId="16" borderId="2" xfId="0" applyNumberFormat="1" applyFont="1" applyFill="1" applyBorder="1" applyAlignment="1">
      <alignment wrapText="1"/>
    </xf>
    <xf numFmtId="171" fontId="78" fillId="16" borderId="2" xfId="0" applyNumberFormat="1" applyFont="1" applyFill="1" applyBorder="1" applyAlignment="1">
      <alignment wrapText="1"/>
    </xf>
    <xf numFmtId="3" fontId="78" fillId="16" borderId="2" xfId="0" applyNumberFormat="1" applyFont="1" applyFill="1" applyBorder="1" applyAlignment="1">
      <alignment wrapText="1"/>
    </xf>
    <xf numFmtId="0" fontId="101" fillId="0" borderId="0" xfId="0" applyFont="1" applyAlignment="1">
      <alignment horizontal="center" wrapText="1"/>
    </xf>
    <xf numFmtId="0" fontId="107" fillId="0" borderId="101" xfId="0" applyFont="1" applyBorder="1" applyAlignment="1">
      <alignment horizontal="center" wrapText="1"/>
    </xf>
    <xf numFmtId="0" fontId="107" fillId="0" borderId="68" xfId="0" applyFont="1" applyBorder="1" applyAlignment="1">
      <alignment horizontal="center" wrapText="1"/>
    </xf>
    <xf numFmtId="0" fontId="107" fillId="0" borderId="0" xfId="0" applyFont="1" applyAlignment="1">
      <alignment horizontal="center" wrapText="1"/>
    </xf>
    <xf numFmtId="0" fontId="97" fillId="22" borderId="102" xfId="0" applyFont="1" applyFill="1" applyBorder="1" applyAlignment="1">
      <alignment horizontal="center" wrapText="1"/>
    </xf>
    <xf numFmtId="0" fontId="97" fillId="22" borderId="67" xfId="0" applyFont="1" applyFill="1" applyBorder="1" applyAlignment="1">
      <alignment horizontal="center" wrapText="1"/>
    </xf>
    <xf numFmtId="0" fontId="97" fillId="22" borderId="1" xfId="0" applyFont="1" applyFill="1" applyBorder="1" applyAlignment="1">
      <alignment horizontal="center" wrapText="1"/>
    </xf>
    <xf numFmtId="0" fontId="107" fillId="8" borderId="102" xfId="0" applyFont="1" applyFill="1" applyBorder="1" applyAlignment="1">
      <alignment horizontal="center" wrapText="1"/>
    </xf>
    <xf numFmtId="0" fontId="107" fillId="8" borderId="67" xfId="0" applyFont="1" applyFill="1" applyBorder="1" applyAlignment="1">
      <alignment wrapText="1"/>
    </xf>
    <xf numFmtId="0" fontId="107" fillId="8" borderId="67" xfId="0" applyFont="1" applyFill="1" applyBorder="1" applyAlignment="1">
      <alignment horizontal="center" wrapText="1"/>
    </xf>
    <xf numFmtId="0" fontId="107" fillId="8" borderId="1" xfId="0" applyFont="1" applyFill="1" applyBorder="1" applyAlignment="1">
      <alignment horizontal="center" wrapText="1"/>
    </xf>
    <xf numFmtId="0" fontId="107" fillId="16" borderId="102" xfId="0" applyFont="1" applyFill="1" applyBorder="1" applyAlignment="1">
      <alignment horizontal="center" wrapText="1"/>
    </xf>
    <xf numFmtId="0" fontId="107" fillId="16" borderId="67" xfId="0" applyFont="1" applyFill="1" applyBorder="1" applyAlignment="1">
      <alignment wrapText="1"/>
    </xf>
    <xf numFmtId="0" fontId="107" fillId="16" borderId="67" xfId="0" applyFont="1" applyFill="1" applyBorder="1" applyAlignment="1">
      <alignment horizontal="center" wrapText="1"/>
    </xf>
    <xf numFmtId="0" fontId="83" fillId="8" borderId="67" xfId="0" applyFont="1" applyFill="1" applyBorder="1"/>
    <xf numFmtId="0" fontId="83" fillId="16" borderId="67" xfId="0" applyFont="1" applyFill="1" applyBorder="1"/>
    <xf numFmtId="0" fontId="83" fillId="16" borderId="1" xfId="0" applyFont="1" applyFill="1" applyBorder="1"/>
    <xf numFmtId="0" fontId="107" fillId="16" borderId="1" xfId="0" applyFont="1" applyFill="1" applyBorder="1" applyAlignment="1">
      <alignment horizontal="center" wrapText="1"/>
    </xf>
    <xf numFmtId="0" fontId="83" fillId="8" borderId="1" xfId="0" applyFont="1" applyFill="1" applyBorder="1"/>
    <xf numFmtId="0" fontId="12" fillId="16" borderId="67" xfId="0" applyFont="1" applyFill="1" applyBorder="1"/>
    <xf numFmtId="0" fontId="83" fillId="0" borderId="68" xfId="0" applyFont="1" applyBorder="1"/>
    <xf numFmtId="0" fontId="83" fillId="0" borderId="0" xfId="0" applyFont="1"/>
    <xf numFmtId="0" fontId="133" fillId="8" borderId="1" xfId="0" applyFont="1" applyFill="1" applyBorder="1"/>
    <xf numFmtId="2" fontId="107" fillId="8" borderId="67" xfId="0" applyNumberFormat="1" applyFont="1" applyFill="1" applyBorder="1" applyAlignment="1">
      <alignment horizontal="center" wrapText="1"/>
    </xf>
    <xf numFmtId="0" fontId="107" fillId="8" borderId="2" xfId="0" applyFont="1" applyFill="1" applyBorder="1" applyAlignment="1">
      <alignment horizontal="center" wrapText="1"/>
    </xf>
    <xf numFmtId="4" fontId="12" fillId="0" borderId="0" xfId="0" applyNumberFormat="1" applyFont="1"/>
    <xf numFmtId="2" fontId="107" fillId="16" borderId="67" xfId="0" applyNumberFormat="1" applyFont="1" applyFill="1" applyBorder="1" applyAlignment="1">
      <alignment horizontal="center" wrapText="1"/>
    </xf>
    <xf numFmtId="0" fontId="107" fillId="16" borderId="2" xfId="0" applyFont="1" applyFill="1" applyBorder="1" applyAlignment="1">
      <alignment horizontal="center" wrapText="1"/>
    </xf>
    <xf numFmtId="0" fontId="107" fillId="8" borderId="73" xfId="0" applyFont="1" applyFill="1" applyBorder="1" applyAlignment="1">
      <alignment wrapText="1"/>
    </xf>
    <xf numFmtId="0" fontId="107" fillId="8" borderId="73" xfId="0" applyFont="1" applyFill="1" applyBorder="1" applyAlignment="1">
      <alignment horizontal="center" wrapText="1"/>
    </xf>
    <xf numFmtId="2" fontId="107" fillId="8" borderId="73" xfId="0" applyNumberFormat="1" applyFont="1" applyFill="1" applyBorder="1" applyAlignment="1">
      <alignment horizontal="center" wrapText="1"/>
    </xf>
    <xf numFmtId="0" fontId="107" fillId="8" borderId="2" xfId="0" applyFont="1" applyFill="1" applyBorder="1" applyAlignment="1">
      <alignment horizontal="center" wrapText="1"/>
    </xf>
    <xf numFmtId="0" fontId="107" fillId="8" borderId="2" xfId="0" applyFont="1" applyFill="1" applyBorder="1" applyAlignment="1">
      <alignment wrapText="1"/>
    </xf>
    <xf numFmtId="2" fontId="12" fillId="0" borderId="2" xfId="0" applyNumberFormat="1" applyFont="1" applyBorder="1"/>
    <xf numFmtId="0" fontId="12" fillId="0" borderId="2" xfId="0" applyFont="1" applyBorder="1"/>
    <xf numFmtId="0" fontId="107" fillId="16" borderId="2" xfId="0" applyFont="1" applyFill="1" applyBorder="1" applyAlignment="1">
      <alignment horizontal="center" wrapText="1"/>
    </xf>
    <xf numFmtId="0" fontId="107" fillId="16" borderId="2" xfId="0" applyFont="1" applyFill="1" applyBorder="1" applyAlignment="1">
      <alignment wrapText="1"/>
    </xf>
    <xf numFmtId="0" fontId="134" fillId="0" borderId="0" xfId="0" applyFont="1"/>
    <xf numFmtId="0" fontId="135"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6" fillId="0" borderId="0" xfId="0" applyFont="1" applyAlignment="1">
      <alignment horizontal="left" vertical="center" wrapText="1"/>
    </xf>
    <xf numFmtId="0" fontId="126" fillId="0" borderId="2" xfId="0" applyFont="1" applyBorder="1" applyAlignment="1">
      <alignment horizontal="center" vertical="center" wrapText="1"/>
    </xf>
    <xf numFmtId="14" fontId="127" fillId="0" borderId="0" xfId="0" applyNumberFormat="1" applyFont="1" applyAlignment="1">
      <alignment horizontal="center" vertical="center" wrapText="1"/>
    </xf>
    <xf numFmtId="0" fontId="126" fillId="0" borderId="8" xfId="0" applyFont="1" applyBorder="1" applyAlignment="1">
      <alignment horizontal="center" vertical="center" wrapText="1"/>
    </xf>
    <xf numFmtId="1" fontId="136" fillId="0" borderId="0" xfId="0" applyNumberFormat="1" applyFont="1" applyAlignment="1">
      <alignment horizontal="center" vertical="center" wrapText="1"/>
    </xf>
    <xf numFmtId="1" fontId="127" fillId="0" borderId="0" xfId="0" applyNumberFormat="1" applyFont="1" applyAlignment="1">
      <alignment horizontal="center" vertical="center" wrapText="1"/>
    </xf>
    <xf numFmtId="0" fontId="83" fillId="0" borderId="0" xfId="0" applyFont="1" applyAlignment="1">
      <alignment horizontal="left" vertical="center" wrapText="1"/>
    </xf>
    <xf numFmtId="0" fontId="126" fillId="0" borderId="0" xfId="0" applyFont="1" applyAlignment="1">
      <alignment horizontal="center" vertical="center"/>
    </xf>
    <xf numFmtId="0" fontId="126" fillId="0" borderId="0" xfId="0" applyFont="1" applyAlignment="1">
      <alignment horizontal="left" wrapText="1"/>
    </xf>
    <xf numFmtId="172" fontId="127" fillId="0" borderId="0" xfId="0" applyNumberFormat="1" applyFont="1" applyAlignment="1">
      <alignment horizontal="center" vertical="center" wrapText="1"/>
    </xf>
    <xf numFmtId="0" fontId="122" fillId="0" borderId="2" xfId="0" applyFont="1" applyBorder="1" applyAlignment="1">
      <alignment horizontal="center" vertical="center" wrapText="1"/>
    </xf>
    <xf numFmtId="0" fontId="137" fillId="0" borderId="21" xfId="0" applyFont="1" applyBorder="1" applyAlignment="1">
      <alignment horizontal="center" vertical="center" wrapText="1"/>
    </xf>
    <xf numFmtId="4" fontId="6" fillId="0" borderId="21" xfId="0" applyNumberFormat="1" applyFont="1" applyBorder="1" applyAlignment="1">
      <alignment horizontal="left" vertical="center" wrapText="1"/>
    </xf>
    <xf numFmtId="0" fontId="138" fillId="0" borderId="106" xfId="0" applyFont="1" applyBorder="1" applyAlignment="1">
      <alignment horizontal="left" vertical="center" wrapText="1"/>
    </xf>
    <xf numFmtId="3" fontId="138" fillId="0" borderId="107" xfId="0" applyNumberFormat="1" applyFont="1" applyBorder="1" applyAlignment="1">
      <alignment horizontal="center" vertical="center" wrapText="1"/>
    </xf>
    <xf numFmtId="172" fontId="139" fillId="0" borderId="0" xfId="0" applyNumberFormat="1" applyFont="1" applyAlignment="1">
      <alignment horizontal="right" vertical="center"/>
    </xf>
    <xf numFmtId="14" fontId="139" fillId="0" borderId="0" xfId="0" applyNumberFormat="1" applyFont="1" applyAlignment="1">
      <alignment horizontal="right" vertical="center" wrapText="1"/>
    </xf>
    <xf numFmtId="0" fontId="126" fillId="0" borderId="2" xfId="0" applyFont="1" applyBorder="1" applyAlignment="1">
      <alignment horizontal="center"/>
    </xf>
    <xf numFmtId="4" fontId="139" fillId="0" borderId="0" xfId="0" applyNumberFormat="1" applyFont="1" applyAlignment="1">
      <alignment horizontal="right" vertical="center" wrapText="1"/>
    </xf>
    <xf numFmtId="4" fontId="139" fillId="0" borderId="0" xfId="0" applyNumberFormat="1" applyFont="1" applyAlignment="1">
      <alignment horizontal="right" vertical="center"/>
    </xf>
    <xf numFmtId="0" fontId="126" fillId="0" borderId="19" xfId="0" applyFont="1" applyBorder="1" applyAlignment="1">
      <alignment horizontal="center"/>
    </xf>
    <xf numFmtId="0" fontId="120" fillId="0" borderId="108" xfId="0" applyFont="1" applyBorder="1" applyAlignment="1">
      <alignment horizontal="center"/>
    </xf>
    <xf numFmtId="3" fontId="127" fillId="0" borderId="0" xfId="0" applyNumberFormat="1" applyFont="1" applyAlignment="1">
      <alignment horizontal="center" wrapText="1"/>
    </xf>
    <xf numFmtId="0" fontId="126" fillId="0" borderId="3" xfId="0" applyFont="1" applyBorder="1" applyAlignment="1">
      <alignment horizontal="center"/>
    </xf>
    <xf numFmtId="4" fontId="127" fillId="0" borderId="0" xfId="0" applyNumberFormat="1" applyFont="1" applyAlignment="1">
      <alignment horizontal="right" vertical="center" wrapText="1"/>
    </xf>
    <xf numFmtId="0" fontId="121" fillId="0" borderId="0" xfId="0" applyFont="1" applyAlignment="1">
      <alignment horizontal="left" vertical="center" wrapText="1"/>
    </xf>
    <xf numFmtId="0" fontId="126" fillId="0" borderId="0" xfId="0" applyFont="1" applyAlignment="1">
      <alignment vertical="center" wrapText="1"/>
    </xf>
    <xf numFmtId="0" fontId="83" fillId="0" borderId="0" xfId="0" applyFont="1" applyAlignment="1">
      <alignment horizontal="left"/>
    </xf>
    <xf numFmtId="0" fontId="126" fillId="24" borderId="102" xfId="0" applyFont="1" applyFill="1" applyBorder="1" applyAlignment="1">
      <alignment horizontal="center" vertical="center" wrapText="1"/>
    </xf>
    <xf numFmtId="0" fontId="126" fillId="0" borderId="2" xfId="0" applyFont="1" applyBorder="1" applyAlignment="1">
      <alignment horizontal="left" vertical="center" wrapText="1"/>
    </xf>
    <xf numFmtId="3" fontId="126" fillId="0" borderId="2" xfId="0" applyNumberFormat="1" applyFont="1" applyBorder="1" applyAlignment="1">
      <alignment horizontal="left" vertical="center" wrapText="1"/>
    </xf>
    <xf numFmtId="4" fontId="126" fillId="0" borderId="2" xfId="0" applyNumberFormat="1" applyFont="1" applyBorder="1" applyAlignment="1">
      <alignment vertical="center"/>
    </xf>
    <xf numFmtId="4" fontId="126" fillId="0" borderId="0" xfId="0" applyNumberFormat="1" applyFont="1" applyAlignment="1">
      <alignment vertical="center"/>
    </xf>
    <xf numFmtId="10" fontId="126" fillId="0" borderId="2" xfId="0" applyNumberFormat="1" applyFont="1" applyBorder="1" applyAlignment="1">
      <alignment horizontal="center" vertical="center" wrapText="1"/>
    </xf>
    <xf numFmtId="10" fontId="126" fillId="0" borderId="2" xfId="0" applyNumberFormat="1" applyFont="1" applyBorder="1" applyAlignment="1">
      <alignment horizontal="center" vertical="center"/>
    </xf>
    <xf numFmtId="10" fontId="126" fillId="0" borderId="10" xfId="0" applyNumberFormat="1" applyFont="1" applyBorder="1" applyAlignment="1">
      <alignment horizontal="center" vertical="center"/>
    </xf>
    <xf numFmtId="4" fontId="126" fillId="0" borderId="9" xfId="0" applyNumberFormat="1" applyFont="1" applyBorder="1" applyAlignment="1">
      <alignment vertical="center" wrapText="1"/>
    </xf>
    <xf numFmtId="4" fontId="126" fillId="11" borderId="73" xfId="0" applyNumberFormat="1" applyFont="1" applyFill="1" applyBorder="1" applyAlignment="1">
      <alignment horizontal="center" vertical="center" wrapText="1"/>
    </xf>
    <xf numFmtId="4" fontId="126" fillId="0" borderId="10" xfId="0" applyNumberFormat="1" applyFont="1" applyBorder="1" applyAlignment="1">
      <alignment vertical="center" wrapText="1"/>
    </xf>
    <xf numFmtId="4" fontId="126" fillId="0" borderId="10" xfId="0" applyNumberFormat="1" applyFont="1" applyBorder="1" applyAlignment="1">
      <alignment horizontal="right" wrapText="1"/>
    </xf>
    <xf numFmtId="4" fontId="126" fillId="0" borderId="9" xfId="0" applyNumberFormat="1" applyFont="1" applyBorder="1" applyAlignment="1">
      <alignment wrapText="1"/>
    </xf>
    <xf numFmtId="4" fontId="126" fillId="11" borderId="73" xfId="0" applyNumberFormat="1" applyFont="1" applyFill="1" applyBorder="1" applyAlignment="1">
      <alignment horizontal="center" wrapText="1"/>
    </xf>
    <xf numFmtId="4" fontId="126" fillId="0" borderId="10" xfId="0" applyNumberFormat="1" applyFont="1" applyBorder="1" applyAlignment="1">
      <alignment wrapText="1"/>
    </xf>
    <xf numFmtId="4" fontId="126" fillId="0" borderId="101" xfId="0" applyNumberFormat="1" applyFont="1" applyBorder="1" applyAlignment="1">
      <alignment horizontal="right" wrapText="1"/>
    </xf>
    <xf numFmtId="4" fontId="126" fillId="0" borderId="2" xfId="0" applyNumberFormat="1" applyFont="1" applyBorder="1" applyAlignment="1">
      <alignment horizontal="center" vertical="center"/>
    </xf>
    <xf numFmtId="4" fontId="126" fillId="0" borderId="0" xfId="0" applyNumberFormat="1" applyFont="1" applyAlignment="1">
      <alignment horizontal="center" vertical="center"/>
    </xf>
    <xf numFmtId="4" fontId="126" fillId="24" borderId="2" xfId="0" applyNumberFormat="1" applyFont="1" applyFill="1" applyBorder="1" applyAlignment="1">
      <alignment vertical="center"/>
    </xf>
    <xf numFmtId="0" fontId="126" fillId="25" borderId="2" xfId="0" applyFont="1" applyFill="1" applyBorder="1" applyAlignment="1">
      <alignment horizontal="right" vertical="center" wrapText="1"/>
    </xf>
    <xf numFmtId="4" fontId="126" fillId="25" borderId="2" xfId="0" applyNumberFormat="1" applyFont="1" applyFill="1" applyBorder="1" applyAlignment="1">
      <alignment vertical="center"/>
    </xf>
    <xf numFmtId="4" fontId="126" fillId="24" borderId="2" xfId="0" applyNumberFormat="1" applyFont="1" applyFill="1" applyBorder="1" applyAlignment="1">
      <alignment horizontal="right" vertical="center" wrapText="1"/>
    </xf>
    <xf numFmtId="4" fontId="126" fillId="0" borderId="0" xfId="0" applyNumberFormat="1" applyFont="1" applyAlignment="1">
      <alignment horizontal="right" vertical="center" wrapText="1"/>
    </xf>
    <xf numFmtId="0" fontId="126" fillId="0" borderId="0" xfId="0" applyFont="1" applyAlignment="1">
      <alignment horizontal="right" vertical="center" wrapText="1"/>
    </xf>
    <xf numFmtId="0" fontId="122" fillId="0" borderId="0" xfId="0" applyFont="1" applyAlignment="1">
      <alignment horizontal="left" vertical="center"/>
    </xf>
    <xf numFmtId="0" fontId="122" fillId="0" borderId="2" xfId="0" applyFont="1" applyBorder="1" applyAlignment="1">
      <alignment horizontal="center" vertical="center"/>
    </xf>
    <xf numFmtId="10" fontId="122" fillId="0" borderId="2" xfId="0" applyNumberFormat="1" applyFont="1" applyBorder="1" applyAlignment="1">
      <alignment horizontal="center" vertical="center"/>
    </xf>
    <xf numFmtId="2" fontId="122" fillId="0" borderId="2" xfId="0" applyNumberFormat="1" applyFont="1" applyBorder="1" applyAlignment="1">
      <alignment horizontal="right" vertical="center" wrapText="1"/>
    </xf>
    <xf numFmtId="2" fontId="122" fillId="0" borderId="0" xfId="0" applyNumberFormat="1" applyFont="1" applyAlignment="1">
      <alignment horizontal="right" vertical="center" wrapText="1"/>
    </xf>
    <xf numFmtId="174" fontId="122" fillId="0" borderId="2" xfId="0" applyNumberFormat="1" applyFont="1" applyBorder="1" applyAlignment="1">
      <alignment horizontal="center" vertical="center"/>
    </xf>
    <xf numFmtId="4" fontId="126" fillId="24" borderId="2" xfId="0" applyNumberFormat="1" applyFont="1" applyFill="1" applyBorder="1" applyAlignment="1">
      <alignment horizontal="right" vertical="center"/>
    </xf>
    <xf numFmtId="4" fontId="126" fillId="0" borderId="0" xfId="0" applyNumberFormat="1" applyFont="1" applyAlignment="1">
      <alignment horizontal="right" vertical="center"/>
    </xf>
    <xf numFmtId="0" fontId="122" fillId="0" borderId="0" xfId="0" applyFont="1" applyAlignment="1">
      <alignment horizontal="right" vertical="center"/>
    </xf>
    <xf numFmtId="0" fontId="122" fillId="0" borderId="0" xfId="0" applyFont="1" applyAlignment="1">
      <alignment horizontal="left" vertical="center" wrapText="1"/>
    </xf>
    <xf numFmtId="0" fontId="122" fillId="24" borderId="74" xfId="0" applyFont="1" applyFill="1" applyBorder="1" applyAlignment="1">
      <alignment horizontal="center" vertical="center"/>
    </xf>
    <xf numFmtId="0" fontId="122" fillId="24" borderId="2" xfId="0" applyFont="1" applyFill="1" applyBorder="1" applyAlignment="1">
      <alignment horizontal="center" vertical="center" wrapText="1"/>
    </xf>
    <xf numFmtId="0" fontId="126" fillId="0" borderId="8" xfId="0" applyFont="1" applyBorder="1" applyAlignment="1">
      <alignment horizontal="center" vertical="center"/>
    </xf>
    <xf numFmtId="10" fontId="126" fillId="0" borderId="2" xfId="0" applyNumberFormat="1" applyFont="1" applyBorder="1" applyAlignment="1">
      <alignment horizontal="right" vertical="center"/>
    </xf>
    <xf numFmtId="4" fontId="126" fillId="0" borderId="2" xfId="0" applyNumberFormat="1" applyFont="1" applyBorder="1" applyAlignment="1">
      <alignment horizontal="right" vertical="center"/>
    </xf>
    <xf numFmtId="9" fontId="126" fillId="0" borderId="10" xfId="0" applyNumberFormat="1" applyFont="1" applyBorder="1" applyAlignment="1">
      <alignment horizontal="center" vertical="center" wrapText="1"/>
    </xf>
    <xf numFmtId="175" fontId="126" fillId="0" borderId="10" xfId="0" applyNumberFormat="1" applyFont="1" applyBorder="1" applyAlignment="1">
      <alignment horizontal="center" vertical="center" wrapText="1"/>
    </xf>
    <xf numFmtId="176" fontId="126" fillId="0" borderId="2" xfId="0" applyNumberFormat="1" applyFont="1" applyBorder="1" applyAlignment="1">
      <alignment horizontal="right" vertical="center"/>
    </xf>
    <xf numFmtId="176" fontId="126" fillId="24" borderId="2" xfId="0" applyNumberFormat="1" applyFont="1" applyFill="1" applyBorder="1" applyAlignment="1">
      <alignment horizontal="right" vertical="center"/>
    </xf>
    <xf numFmtId="0" fontId="126" fillId="25" borderId="74" xfId="0" applyFont="1" applyFill="1" applyBorder="1" applyAlignment="1">
      <alignment horizontal="right" vertical="center"/>
    </xf>
    <xf numFmtId="0" fontId="1" fillId="25" borderId="66" xfId="0" applyFont="1" applyFill="1" applyBorder="1" applyAlignment="1">
      <alignment horizontal="right" vertical="center"/>
    </xf>
    <xf numFmtId="10" fontId="126" fillId="25" borderId="66" xfId="0" applyNumberFormat="1" applyFont="1" applyFill="1" applyBorder="1" applyAlignment="1">
      <alignment horizontal="right" vertical="center"/>
    </xf>
    <xf numFmtId="4" fontId="126" fillId="25" borderId="73" xfId="0" applyNumberFormat="1" applyFont="1" applyFill="1" applyBorder="1" applyAlignment="1">
      <alignment horizontal="right" vertical="center"/>
    </xf>
    <xf numFmtId="0" fontId="126" fillId="24" borderId="2" xfId="0" applyFont="1" applyFill="1" applyBorder="1" applyAlignment="1">
      <alignment horizontal="center" vertical="center"/>
    </xf>
    <xf numFmtId="0" fontId="126" fillId="24" borderId="2" xfId="0" applyFont="1" applyFill="1" applyBorder="1" applyAlignment="1">
      <alignment horizontal="center" vertical="center" wrapText="1"/>
    </xf>
    <xf numFmtId="0" fontId="126" fillId="0" borderId="2" xfId="0" applyFont="1" applyBorder="1" applyAlignment="1">
      <alignment horizontal="center" vertical="center"/>
    </xf>
    <xf numFmtId="4" fontId="126" fillId="0" borderId="8" xfId="0" applyNumberFormat="1" applyFont="1" applyBorder="1" applyAlignment="1">
      <alignment horizontal="left" vertical="center" wrapText="1"/>
    </xf>
    <xf numFmtId="4" fontId="126" fillId="0" borderId="19" xfId="0" applyNumberFormat="1" applyFont="1" applyBorder="1" applyAlignment="1">
      <alignment horizontal="right" vertical="center"/>
    </xf>
    <xf numFmtId="172" fontId="127" fillId="0" borderId="2" xfId="0" applyNumberFormat="1" applyFont="1" applyBorder="1" applyAlignment="1">
      <alignment vertical="center"/>
    </xf>
    <xf numFmtId="4" fontId="141" fillId="0" borderId="23" xfId="0" applyNumberFormat="1" applyFont="1" applyBorder="1" applyAlignment="1">
      <alignment horizontal="center" vertical="center"/>
    </xf>
    <xf numFmtId="3" fontId="127" fillId="0" borderId="2" xfId="0" applyNumberFormat="1" applyFont="1" applyBorder="1" applyAlignment="1">
      <alignment horizontal="center" vertical="center"/>
    </xf>
    <xf numFmtId="9" fontId="127" fillId="0" borderId="10" xfId="0" applyNumberFormat="1" applyFont="1" applyBorder="1" applyAlignment="1">
      <alignment horizontal="center" vertical="center" wrapText="1"/>
    </xf>
    <xf numFmtId="172" fontId="127" fillId="0" borderId="2" xfId="0" applyNumberFormat="1" applyFont="1" applyBorder="1" applyAlignment="1">
      <alignment horizontal="left" vertical="center"/>
    </xf>
    <xf numFmtId="4" fontId="141" fillId="0" borderId="3" xfId="0" applyNumberFormat="1" applyFont="1" applyBorder="1" applyAlignment="1">
      <alignment horizontal="center" vertical="center"/>
    </xf>
    <xf numFmtId="172" fontId="127" fillId="0" borderId="8" xfId="0" applyNumberFormat="1" applyFont="1" applyBorder="1" applyAlignment="1">
      <alignment vertical="center"/>
    </xf>
    <xf numFmtId="4" fontId="126" fillId="0" borderId="23" xfId="0" applyNumberFormat="1" applyFont="1" applyBorder="1" applyAlignment="1">
      <alignment horizontal="center" vertical="center"/>
    </xf>
    <xf numFmtId="3" fontId="127" fillId="0" borderId="8" xfId="0" applyNumberFormat="1" applyFont="1" applyBorder="1" applyAlignment="1">
      <alignment vertical="center"/>
    </xf>
    <xf numFmtId="10" fontId="127" fillId="0" borderId="8" xfId="0" applyNumberFormat="1" applyFont="1" applyBorder="1" applyAlignment="1">
      <alignment vertical="center"/>
    </xf>
    <xf numFmtId="4" fontId="126" fillId="0" borderId="3" xfId="0" applyNumberFormat="1" applyFont="1" applyBorder="1" applyAlignment="1">
      <alignment horizontal="center" vertical="center"/>
    </xf>
    <xf numFmtId="4" fontId="126" fillId="0" borderId="3" xfId="0" applyNumberFormat="1" applyFont="1" applyBorder="1" applyAlignment="1">
      <alignment horizontal="right" vertical="center"/>
    </xf>
    <xf numFmtId="4" fontId="126" fillId="0" borderId="2" xfId="0" applyNumberFormat="1" applyFont="1" applyBorder="1" applyAlignment="1">
      <alignment horizontal="right" vertical="center" wrapText="1"/>
    </xf>
    <xf numFmtId="4" fontId="122" fillId="0" borderId="2" xfId="0" applyNumberFormat="1" applyFont="1" applyBorder="1" applyAlignment="1">
      <alignment horizontal="right" vertical="center" wrapText="1"/>
    </xf>
    <xf numFmtId="4" fontId="122" fillId="0" borderId="0" xfId="0" applyNumberFormat="1" applyFont="1" applyAlignment="1">
      <alignment horizontal="right" vertical="center" wrapText="1"/>
    </xf>
    <xf numFmtId="4" fontId="122" fillId="24" borderId="2" xfId="0" applyNumberFormat="1" applyFont="1" applyFill="1" applyBorder="1" applyAlignment="1">
      <alignment horizontal="right" vertical="center" wrapText="1"/>
    </xf>
    <xf numFmtId="0" fontId="142" fillId="0" borderId="0" xfId="0" applyFont="1" applyAlignment="1">
      <alignment horizontal="center" vertical="center" wrapText="1"/>
    </xf>
    <xf numFmtId="0" fontId="126" fillId="0" borderId="0" xfId="0" applyFont="1" applyAlignment="1">
      <alignment horizontal="left" vertical="center"/>
    </xf>
    <xf numFmtId="10" fontId="139" fillId="0" borderId="2" xfId="0" applyNumberFormat="1" applyFont="1" applyBorder="1" applyAlignment="1">
      <alignment horizontal="right" vertical="center"/>
    </xf>
    <xf numFmtId="0" fontId="126" fillId="0" borderId="0" xfId="0" applyFont="1" applyAlignment="1">
      <alignment horizontal="right" vertical="center"/>
    </xf>
    <xf numFmtId="0" fontId="139" fillId="0" borderId="2" xfId="0" applyFont="1" applyBorder="1" applyAlignment="1">
      <alignment horizontal="right" vertical="center" wrapText="1"/>
    </xf>
    <xf numFmtId="4" fontId="143" fillId="0" borderId="2" xfId="0" applyNumberFormat="1" applyFont="1" applyBorder="1" applyAlignment="1">
      <alignment horizontal="center" vertical="center" wrapText="1"/>
    </xf>
    <xf numFmtId="0" fontId="139" fillId="2" borderId="2" xfId="0" applyFont="1" applyFill="1" applyBorder="1" applyAlignment="1">
      <alignment horizontal="center" vertical="center" wrapText="1"/>
    </xf>
    <xf numFmtId="0" fontId="144" fillId="0" borderId="0" xfId="0" applyFont="1" applyAlignment="1">
      <alignment horizontal="left" vertical="center" wrapText="1"/>
    </xf>
    <xf numFmtId="0" fontId="1" fillId="0" borderId="0" xfId="0" applyFont="1" applyAlignment="1">
      <alignment horizontal="left" vertical="center" wrapText="1"/>
    </xf>
    <xf numFmtId="0" fontId="126" fillId="24" borderId="2" xfId="0" applyFont="1" applyFill="1" applyBorder="1" applyAlignment="1">
      <alignment horizontal="center"/>
    </xf>
    <xf numFmtId="0" fontId="126" fillId="0" borderId="0" xfId="0" applyFont="1" applyAlignment="1">
      <alignment horizontal="center"/>
    </xf>
    <xf numFmtId="174" fontId="126" fillId="0" borderId="2" xfId="0" applyNumberFormat="1" applyFont="1" applyBorder="1" applyAlignment="1">
      <alignment horizontal="center" vertical="center" wrapText="1"/>
    </xf>
    <xf numFmtId="10" fontId="122" fillId="0" borderId="2" xfId="0" applyNumberFormat="1" applyFont="1" applyBorder="1" applyAlignment="1">
      <alignment horizontal="center" vertical="center" wrapText="1"/>
    </xf>
    <xf numFmtId="0" fontId="126" fillId="17" borderId="2" xfId="0" applyFont="1" applyFill="1" applyBorder="1" applyAlignment="1">
      <alignment horizontal="center" vertical="center"/>
    </xf>
    <xf numFmtId="4" fontId="126" fillId="17" borderId="2" xfId="0" applyNumberFormat="1" applyFont="1" applyFill="1" applyBorder="1" applyAlignment="1">
      <alignment horizontal="right" vertical="center"/>
    </xf>
    <xf numFmtId="0" fontId="122" fillId="24" borderId="2" xfId="0" applyFont="1" applyFill="1" applyBorder="1" applyAlignment="1">
      <alignment horizontal="center" vertical="center"/>
    </xf>
    <xf numFmtId="4" fontId="122" fillId="24" borderId="2" xfId="0" applyNumberFormat="1" applyFont="1" applyFill="1" applyBorder="1" applyAlignment="1">
      <alignment horizontal="center" vertical="center"/>
    </xf>
    <xf numFmtId="4" fontId="122" fillId="0" borderId="0" xfId="0" applyNumberFormat="1" applyFont="1" applyAlignment="1">
      <alignment horizontal="center" vertical="center"/>
    </xf>
    <xf numFmtId="4" fontId="122" fillId="0" borderId="2" xfId="0" applyNumberFormat="1" applyFont="1" applyBorder="1" applyAlignment="1">
      <alignment horizontal="right" vertical="center"/>
    </xf>
    <xf numFmtId="4" fontId="122" fillId="0" borderId="0" xfId="0" applyNumberFormat="1" applyFont="1" applyAlignment="1">
      <alignment horizontal="right" vertical="center"/>
    </xf>
    <xf numFmtId="4" fontId="122" fillId="24" borderId="2" xfId="0" applyNumberFormat="1" applyFont="1" applyFill="1" applyBorder="1" applyAlignment="1">
      <alignment horizontal="right" vertical="center"/>
    </xf>
    <xf numFmtId="4" fontId="83" fillId="0" borderId="2" xfId="0" applyNumberFormat="1" applyFont="1" applyBorder="1" applyAlignment="1">
      <alignment horizontal="right" vertical="center"/>
    </xf>
    <xf numFmtId="0" fontId="83" fillId="0" borderId="0" xfId="0" applyFont="1" applyAlignment="1">
      <alignment horizontal="left" vertical="center"/>
    </xf>
    <xf numFmtId="0" fontId="126" fillId="25" borderId="74" xfId="0" applyFont="1" applyFill="1" applyBorder="1" applyAlignment="1">
      <alignment horizontal="center" vertical="center"/>
    </xf>
    <xf numFmtId="0" fontId="1" fillId="25" borderId="66" xfId="0" applyFont="1" applyFill="1" applyBorder="1" applyAlignment="1">
      <alignment horizontal="center" vertical="center"/>
    </xf>
    <xf numFmtId="0" fontId="1" fillId="25" borderId="73" xfId="0" applyFont="1" applyFill="1" applyBorder="1" applyAlignment="1">
      <alignment horizontal="center" vertical="center"/>
    </xf>
    <xf numFmtId="4" fontId="126" fillId="24" borderId="2" xfId="0" applyNumberFormat="1" applyFont="1" applyFill="1" applyBorder="1" applyAlignment="1">
      <alignment horizontal="center" vertical="center" wrapText="1"/>
    </xf>
    <xf numFmtId="4" fontId="126" fillId="0" borderId="0" xfId="0" applyNumberFormat="1" applyFont="1" applyAlignment="1">
      <alignment horizontal="center" vertical="center" wrapText="1"/>
    </xf>
    <xf numFmtId="0" fontId="127" fillId="0" borderId="2" xfId="0" applyFont="1" applyBorder="1" applyAlignment="1">
      <alignment horizontal="center" vertical="center"/>
    </xf>
    <xf numFmtId="4" fontId="127" fillId="0" borderId="2" xfId="0" applyNumberFormat="1" applyFont="1" applyBorder="1" applyAlignment="1">
      <alignment horizontal="right" vertical="center"/>
    </xf>
    <xf numFmtId="4" fontId="127" fillId="0" borderId="0" xfId="0" applyNumberFormat="1" applyFont="1" applyAlignment="1">
      <alignment horizontal="right" vertical="center"/>
    </xf>
    <xf numFmtId="10" fontId="127" fillId="0" borderId="2" xfId="0" applyNumberFormat="1" applyFont="1" applyBorder="1" applyAlignment="1">
      <alignment horizontal="center" vertical="center"/>
    </xf>
    <xf numFmtId="4" fontId="126" fillId="0" borderId="2" xfId="0" applyNumberFormat="1" applyFont="1" applyBorder="1"/>
    <xf numFmtId="4" fontId="126" fillId="0" borderId="0" xfId="0" applyNumberFormat="1" applyFont="1"/>
    <xf numFmtId="10" fontId="126" fillId="0" borderId="2" xfId="0" applyNumberFormat="1" applyFont="1" applyBorder="1" applyAlignment="1">
      <alignment horizontal="center" wrapText="1"/>
    </xf>
    <xf numFmtId="4" fontId="126" fillId="0" borderId="2" xfId="0" applyNumberFormat="1" applyFont="1" applyBorder="1" applyAlignment="1">
      <alignment horizontal="center"/>
    </xf>
    <xf numFmtId="4" fontId="126" fillId="0" borderId="0" xfId="0" applyNumberFormat="1" applyFont="1" applyAlignment="1">
      <alignment horizontal="center"/>
    </xf>
    <xf numFmtId="10" fontId="126" fillId="0" borderId="2" xfId="0" applyNumberFormat="1" applyFont="1" applyBorder="1" applyAlignment="1">
      <alignment horizontal="right" vertical="center" wrapText="1"/>
    </xf>
    <xf numFmtId="10" fontId="127" fillId="0" borderId="2" xfId="0" applyNumberFormat="1" applyFont="1" applyBorder="1" applyAlignment="1">
      <alignment horizontal="right" vertical="center"/>
    </xf>
    <xf numFmtId="0" fontId="127" fillId="0" borderId="0" xfId="0" applyFont="1" applyAlignment="1">
      <alignment horizontal="left" vertical="center"/>
    </xf>
    <xf numFmtId="0" fontId="127" fillId="0" borderId="0" xfId="0" applyFont="1" applyAlignment="1">
      <alignment horizontal="center" vertical="center"/>
    </xf>
    <xf numFmtId="0" fontId="145" fillId="0" borderId="0" xfId="0" applyFont="1" applyAlignment="1">
      <alignment vertical="center"/>
    </xf>
    <xf numFmtId="49" fontId="126" fillId="0" borderId="2" xfId="0" applyNumberFormat="1" applyFont="1" applyBorder="1" applyAlignment="1">
      <alignment horizontal="center" vertical="center" wrapText="1"/>
    </xf>
    <xf numFmtId="49" fontId="126" fillId="0" borderId="8" xfId="0" applyNumberFormat="1" applyFont="1" applyBorder="1" applyAlignment="1">
      <alignment horizontal="center" vertical="center" wrapText="1"/>
    </xf>
    <xf numFmtId="4" fontId="120" fillId="24" borderId="2" xfId="0" applyNumberFormat="1" applyFont="1" applyFill="1" applyBorder="1" applyAlignment="1">
      <alignment horizontal="right" vertical="center" wrapText="1"/>
    </xf>
    <xf numFmtId="49" fontId="139" fillId="0" borderId="0" xfId="0" applyNumberFormat="1" applyFont="1" applyAlignment="1">
      <alignment horizontal="left" vertical="center" wrapText="1"/>
    </xf>
    <xf numFmtId="49" fontId="126" fillId="0" borderId="0" xfId="0" applyNumberFormat="1" applyFont="1" applyAlignment="1">
      <alignment horizontal="left" vertical="center" wrapText="1"/>
    </xf>
    <xf numFmtId="0" fontId="126" fillId="0" borderId="97" xfId="0" applyFont="1" applyBorder="1" applyAlignment="1">
      <alignment horizontal="left" vertical="center" wrapText="1"/>
    </xf>
    <xf numFmtId="177" fontId="127" fillId="0" borderId="0" xfId="0" applyNumberFormat="1" applyFont="1" applyAlignment="1">
      <alignment horizontal="left"/>
    </xf>
    <xf numFmtId="177" fontId="127" fillId="8" borderId="112" xfId="0" applyNumberFormat="1" applyFont="1" applyFill="1" applyBorder="1" applyAlignment="1">
      <alignment horizontal="left"/>
    </xf>
    <xf numFmtId="0" fontId="126" fillId="24" borderId="74" xfId="0" applyFont="1" applyFill="1" applyBorder="1" applyAlignment="1">
      <alignment horizontal="center" vertical="center" wrapText="1"/>
    </xf>
    <xf numFmtId="0" fontId="126" fillId="24" borderId="73" xfId="0" applyFont="1" applyFill="1" applyBorder="1" applyAlignment="1">
      <alignment horizontal="center" vertical="center" wrapText="1"/>
    </xf>
    <xf numFmtId="3" fontId="126" fillId="0" borderId="2" xfId="0" applyNumberFormat="1" applyFont="1" applyBorder="1" applyAlignment="1">
      <alignment horizontal="center" vertical="center" wrapText="1"/>
    </xf>
    <xf numFmtId="4" fontId="126" fillId="0" borderId="9" xfId="0" applyNumberFormat="1" applyFont="1" applyBorder="1" applyAlignment="1">
      <alignment horizontal="center" vertical="center" wrapText="1"/>
    </xf>
    <xf numFmtId="3" fontId="127" fillId="24" borderId="2" xfId="0" applyNumberFormat="1" applyFont="1" applyFill="1" applyBorder="1" applyAlignment="1">
      <alignment horizontal="center" vertical="center" wrapText="1"/>
    </xf>
    <xf numFmtId="4" fontId="127" fillId="0" borderId="0" xfId="0" applyNumberFormat="1" applyFont="1" applyAlignment="1">
      <alignment horizontal="center" vertical="center"/>
    </xf>
    <xf numFmtId="0" fontId="126" fillId="0" borderId="0" xfId="0" applyFont="1" applyAlignment="1">
      <alignment horizontal="left"/>
    </xf>
    <xf numFmtId="172" fontId="127" fillId="0" borderId="0" xfId="0" applyNumberFormat="1" applyFont="1" applyAlignment="1">
      <alignment horizontal="center" vertical="center"/>
    </xf>
    <xf numFmtId="0" fontId="6" fillId="0" borderId="21" xfId="0" applyFont="1" applyBorder="1" applyAlignment="1">
      <alignment horizontal="center" vertical="center" wrapText="1"/>
    </xf>
    <xf numFmtId="0" fontId="126" fillId="0" borderId="8" xfId="0" applyFont="1" applyBorder="1" applyAlignment="1">
      <alignment horizontal="center"/>
    </xf>
    <xf numFmtId="0" fontId="139" fillId="0" borderId="9" xfId="0" applyFont="1" applyBorder="1" applyAlignment="1">
      <alignment horizontal="left" vertical="center" wrapText="1"/>
    </xf>
    <xf numFmtId="10" fontId="126" fillId="0" borderId="2" xfId="0" applyNumberFormat="1" applyFont="1" applyBorder="1" applyAlignment="1">
      <alignment horizontal="left" vertical="center" wrapText="1"/>
    </xf>
    <xf numFmtId="4" fontId="83" fillId="0" borderId="2" xfId="0" applyNumberFormat="1" applyFont="1" applyBorder="1" applyAlignment="1">
      <alignment vertical="center"/>
    </xf>
    <xf numFmtId="3" fontId="127" fillId="0" borderId="2" xfId="0" applyNumberFormat="1" applyFont="1" applyBorder="1" applyAlignment="1">
      <alignment vertical="center"/>
    </xf>
    <xf numFmtId="0" fontId="146" fillId="0" borderId="0" xfId="0" applyFont="1"/>
    <xf numFmtId="0" fontId="146" fillId="8" borderId="1" xfId="0" applyFont="1" applyFill="1" applyBorder="1"/>
    <xf numFmtId="0" fontId="147" fillId="0" borderId="0" xfId="0" applyFont="1" applyAlignment="1">
      <alignment horizontal="center" vertical="center" wrapText="1"/>
    </xf>
    <xf numFmtId="0" fontId="88" fillId="0" borderId="0" xfId="0" applyFont="1" applyAlignment="1">
      <alignment horizontal="center" vertical="center" wrapText="1"/>
    </xf>
    <xf numFmtId="0" fontId="80" fillId="0" borderId="0" xfId="0" applyFont="1" applyAlignment="1">
      <alignment horizontal="center" vertical="center" wrapText="1"/>
    </xf>
    <xf numFmtId="0" fontId="81" fillId="0" borderId="8" xfId="0" applyFont="1" applyBorder="1" applyAlignment="1">
      <alignment horizontal="left" vertical="center" wrapText="1"/>
    </xf>
    <xf numFmtId="0" fontId="81" fillId="0" borderId="0" xfId="0" applyFont="1" applyAlignment="1">
      <alignment horizontal="left" vertical="center" wrapText="1"/>
    </xf>
    <xf numFmtId="0" fontId="81" fillId="0" borderId="2" xfId="0" applyFont="1" applyBorder="1" applyAlignment="1">
      <alignment horizontal="center" vertical="center" wrapText="1"/>
    </xf>
    <xf numFmtId="14" fontId="80" fillId="0" borderId="0" xfId="0" applyNumberFormat="1" applyFont="1" applyAlignment="1">
      <alignment horizontal="center" vertical="center" wrapText="1"/>
    </xf>
    <xf numFmtId="0" fontId="81" fillId="0" borderId="0" xfId="0" applyFont="1" applyAlignment="1">
      <alignment horizontal="center" vertical="center" wrapText="1"/>
    </xf>
    <xf numFmtId="1" fontId="148" fillId="0" borderId="0" xfId="0" applyNumberFormat="1" applyFont="1" applyAlignment="1">
      <alignment horizontal="center" vertical="center" wrapText="1"/>
    </xf>
    <xf numFmtId="1" fontId="80" fillId="0" borderId="0" xfId="0" applyNumberFormat="1" applyFont="1" applyAlignment="1">
      <alignment horizontal="center" vertical="center" wrapText="1"/>
    </xf>
    <xf numFmtId="0" fontId="146" fillId="0" borderId="0" xfId="0" applyFont="1" applyAlignment="1">
      <alignment horizontal="left" vertical="center" wrapText="1"/>
    </xf>
    <xf numFmtId="0" fontId="149" fillId="0" borderId="0" xfId="0" applyFont="1" applyAlignment="1">
      <alignment horizontal="left" wrapText="1"/>
    </xf>
    <xf numFmtId="172" fontId="80" fillId="0" borderId="0" xfId="0" applyNumberFormat="1" applyFont="1" applyAlignment="1">
      <alignment horizontal="center" vertical="center" wrapText="1"/>
    </xf>
    <xf numFmtId="0" fontId="79" fillId="0" borderId="2" xfId="0" applyFont="1" applyBorder="1" applyAlignment="1">
      <alignment horizontal="center" vertical="center" wrapText="1"/>
    </xf>
    <xf numFmtId="172" fontId="150" fillId="0" borderId="0" xfId="0" applyNumberFormat="1" applyFont="1" applyAlignment="1">
      <alignment horizontal="center" vertical="center" wrapText="1"/>
    </xf>
    <xf numFmtId="0" fontId="151" fillId="0" borderId="106" xfId="0" applyFont="1" applyBorder="1" applyAlignment="1">
      <alignment horizontal="left" vertical="center" wrapText="1"/>
    </xf>
    <xf numFmtId="3" fontId="152" fillId="0" borderId="107" xfId="0" applyNumberFormat="1" applyFont="1" applyBorder="1" applyAlignment="1">
      <alignment horizontal="center" vertical="center" wrapText="1"/>
    </xf>
    <xf numFmtId="172" fontId="153" fillId="0" borderId="0" xfId="0" applyNumberFormat="1" applyFont="1" applyAlignment="1">
      <alignment horizontal="right" vertical="center"/>
    </xf>
    <xf numFmtId="14" fontId="150" fillId="0" borderId="0" xfId="0" applyNumberFormat="1" applyFont="1" applyAlignment="1">
      <alignment horizontal="center" vertical="center" wrapText="1"/>
    </xf>
    <xf numFmtId="14" fontId="154" fillId="0" borderId="0" xfId="0" applyNumberFormat="1" applyFont="1" applyAlignment="1">
      <alignment horizontal="right" vertical="center" wrapText="1"/>
    </xf>
    <xf numFmtId="0" fontId="81" fillId="0" borderId="2" xfId="0" applyFont="1" applyBorder="1" applyAlignment="1">
      <alignment horizontal="center"/>
    </xf>
    <xf numFmtId="4" fontId="153" fillId="0" borderId="0" xfId="0" applyNumberFormat="1" applyFont="1" applyAlignment="1">
      <alignment horizontal="right" vertical="center" wrapText="1"/>
    </xf>
    <xf numFmtId="4" fontId="153" fillId="0" borderId="0" xfId="0" applyNumberFormat="1" applyFont="1" applyAlignment="1">
      <alignment horizontal="right" vertical="center"/>
    </xf>
    <xf numFmtId="0" fontId="81" fillId="0" borderId="8" xfId="0" applyFont="1" applyBorder="1" applyAlignment="1">
      <alignment horizontal="center"/>
    </xf>
    <xf numFmtId="3" fontId="80" fillId="0" borderId="0" xfId="0" applyNumberFormat="1" applyFont="1" applyAlignment="1">
      <alignment horizontal="center" wrapText="1"/>
    </xf>
    <xf numFmtId="4" fontId="80" fillId="0" borderId="0" xfId="0" applyNumberFormat="1" applyFont="1" applyAlignment="1">
      <alignment horizontal="right" vertical="center" wrapText="1"/>
    </xf>
    <xf numFmtId="0" fontId="157" fillId="0" borderId="0" xfId="0" applyFont="1" applyAlignment="1">
      <alignment horizontal="left" vertical="center" wrapText="1"/>
    </xf>
    <xf numFmtId="0" fontId="81" fillId="0" borderId="0" xfId="0" applyFont="1" applyAlignment="1">
      <alignment horizontal="left" wrapText="1"/>
    </xf>
    <xf numFmtId="0" fontId="97" fillId="0" borderId="0" xfId="0" applyFont="1" applyAlignment="1">
      <alignment vertical="center" wrapText="1"/>
    </xf>
    <xf numFmtId="0" fontId="146" fillId="0" borderId="0" xfId="0" applyFont="1" applyAlignment="1">
      <alignment horizontal="left"/>
    </xf>
    <xf numFmtId="0" fontId="81" fillId="24" borderId="102" xfId="0" applyFont="1" applyFill="1" applyBorder="1" applyAlignment="1">
      <alignment horizontal="center" vertical="center" wrapText="1"/>
    </xf>
    <xf numFmtId="0" fontId="81" fillId="0" borderId="2" xfId="0" applyFont="1" applyBorder="1" applyAlignment="1">
      <alignment horizontal="left" vertical="center" wrapText="1"/>
    </xf>
    <xf numFmtId="3" fontId="81" fillId="0" borderId="2" xfId="0" applyNumberFormat="1" applyFont="1" applyBorder="1" applyAlignment="1">
      <alignment horizontal="left" vertical="center" wrapText="1"/>
    </xf>
    <xf numFmtId="4" fontId="81" fillId="0" borderId="2" xfId="0" applyNumberFormat="1" applyFont="1" applyBorder="1" applyAlignment="1">
      <alignment vertical="center"/>
    </xf>
    <xf numFmtId="4" fontId="81" fillId="0" borderId="0" xfId="0" applyNumberFormat="1" applyFont="1" applyAlignment="1">
      <alignment vertical="center"/>
    </xf>
    <xf numFmtId="10" fontId="81" fillId="0" borderId="2" xfId="0" applyNumberFormat="1" applyFont="1" applyBorder="1" applyAlignment="1">
      <alignment horizontal="left" vertical="center" wrapText="1"/>
    </xf>
    <xf numFmtId="10" fontId="81" fillId="0" borderId="2" xfId="0" applyNumberFormat="1" applyFont="1" applyBorder="1" applyAlignment="1">
      <alignment horizontal="center" vertical="center"/>
    </xf>
    <xf numFmtId="10" fontId="81" fillId="0" borderId="105" xfId="0" applyNumberFormat="1" applyFont="1" applyBorder="1" applyAlignment="1">
      <alignment horizontal="center" vertical="center"/>
    </xf>
    <xf numFmtId="4" fontId="81" fillId="0" borderId="8" xfId="0" applyNumberFormat="1" applyFont="1" applyBorder="1" applyAlignment="1">
      <alignment horizontal="left" vertical="center" wrapText="1"/>
    </xf>
    <xf numFmtId="4" fontId="88" fillId="11" borderId="73" xfId="0" applyNumberFormat="1" applyFont="1" applyFill="1" applyBorder="1" applyAlignment="1">
      <alignment horizontal="center" vertical="center" wrapText="1"/>
    </xf>
    <xf numFmtId="4" fontId="81" fillId="0" borderId="10" xfId="0" applyNumberFormat="1" applyFont="1" applyBorder="1" applyAlignment="1">
      <alignment horizontal="left" vertical="center" wrapText="1"/>
    </xf>
    <xf numFmtId="4" fontId="81" fillId="0" borderId="10" xfId="0" applyNumberFormat="1" applyFont="1" applyBorder="1" applyAlignment="1">
      <alignment vertical="center"/>
    </xf>
    <xf numFmtId="4" fontId="81" fillId="0" borderId="2" xfId="0" applyNumberFormat="1" applyFont="1" applyBorder="1" applyAlignment="1">
      <alignment horizontal="center" vertical="center"/>
    </xf>
    <xf numFmtId="4" fontId="81" fillId="0" borderId="0" xfId="0" applyNumberFormat="1" applyFont="1" applyAlignment="1">
      <alignment horizontal="center" vertical="center"/>
    </xf>
    <xf numFmtId="0" fontId="81" fillId="25" borderId="2" xfId="0" applyFont="1" applyFill="1" applyBorder="1" applyAlignment="1">
      <alignment horizontal="right" vertical="center" wrapText="1"/>
    </xf>
    <xf numFmtId="4" fontId="101" fillId="24" borderId="2" xfId="0" applyNumberFormat="1" applyFont="1" applyFill="1" applyBorder="1" applyAlignment="1">
      <alignment horizontal="right" vertical="center" wrapText="1"/>
    </xf>
    <xf numFmtId="4" fontId="101" fillId="0" borderId="0" xfId="0" applyNumberFormat="1" applyFont="1" applyAlignment="1">
      <alignment horizontal="right" vertical="center" wrapText="1"/>
    </xf>
    <xf numFmtId="0" fontId="81" fillId="0" borderId="0" xfId="0" applyFont="1" applyAlignment="1">
      <alignment horizontal="right" vertical="center" wrapText="1"/>
    </xf>
    <xf numFmtId="0" fontId="129" fillId="0" borderId="0" xfId="0" applyFont="1" applyAlignment="1">
      <alignment horizontal="left" vertical="center" wrapText="1"/>
    </xf>
    <xf numFmtId="0" fontId="116" fillId="0" borderId="0" xfId="0" applyFont="1" applyAlignment="1">
      <alignment horizontal="left" vertical="center"/>
    </xf>
    <xf numFmtId="2" fontId="79" fillId="0" borderId="2" xfId="0" applyNumberFormat="1" applyFont="1" applyBorder="1" applyAlignment="1">
      <alignment horizontal="right" vertical="center" wrapText="1"/>
    </xf>
    <xf numFmtId="2" fontId="79" fillId="0" borderId="0" xfId="0" applyNumberFormat="1" applyFont="1" applyAlignment="1">
      <alignment horizontal="right" vertical="center" wrapText="1"/>
    </xf>
    <xf numFmtId="4" fontId="81" fillId="24" borderId="2" xfId="0" applyNumberFormat="1" applyFont="1" applyFill="1" applyBorder="1" applyAlignment="1">
      <alignment horizontal="right" vertical="center"/>
    </xf>
    <xf numFmtId="4" fontId="81" fillId="0" borderId="0" xfId="0" applyNumberFormat="1" applyFont="1" applyAlignment="1">
      <alignment horizontal="right" vertical="center"/>
    </xf>
    <xf numFmtId="0" fontId="116" fillId="0" borderId="0" xfId="0" applyFont="1" applyAlignment="1">
      <alignment horizontal="right" vertical="center"/>
    </xf>
    <xf numFmtId="0" fontId="79" fillId="24" borderId="2" xfId="0" applyFont="1" applyFill="1" applyBorder="1" applyAlignment="1">
      <alignment horizontal="center" vertical="center" wrapText="1"/>
    </xf>
    <xf numFmtId="0" fontId="81" fillId="0" borderId="8" xfId="0" applyFont="1" applyBorder="1" applyAlignment="1">
      <alignment horizontal="center" vertical="center"/>
    </xf>
    <xf numFmtId="10" fontId="81" fillId="0" borderId="2" xfId="0" applyNumberFormat="1" applyFont="1" applyBorder="1" applyAlignment="1">
      <alignment horizontal="right" vertical="center"/>
    </xf>
    <xf numFmtId="4" fontId="81" fillId="0" borderId="2" xfId="0" applyNumberFormat="1" applyFont="1" applyBorder="1" applyAlignment="1">
      <alignment horizontal="right" vertical="center"/>
    </xf>
    <xf numFmtId="0" fontId="81" fillId="0" borderId="8" xfId="0" applyFont="1" applyBorder="1" applyAlignment="1">
      <alignment horizontal="right" vertical="center" wrapText="1"/>
    </xf>
    <xf numFmtId="9" fontId="81" fillId="0" borderId="10" xfId="0" applyNumberFormat="1" applyFont="1" applyBorder="1" applyAlignment="1">
      <alignment horizontal="left" vertical="center" wrapText="1"/>
    </xf>
    <xf numFmtId="175" fontId="81" fillId="0" borderId="10" xfId="0" applyNumberFormat="1" applyFont="1" applyBorder="1" applyAlignment="1">
      <alignment horizontal="left" vertical="center" wrapText="1"/>
    </xf>
    <xf numFmtId="176" fontId="81" fillId="0" borderId="2" xfId="0" applyNumberFormat="1" applyFont="1" applyBorder="1" applyAlignment="1">
      <alignment horizontal="right" vertical="center"/>
    </xf>
    <xf numFmtId="176" fontId="81" fillId="24" borderId="2" xfId="0" applyNumberFormat="1" applyFont="1" applyFill="1" applyBorder="1" applyAlignment="1">
      <alignment horizontal="right" vertical="center"/>
    </xf>
    <xf numFmtId="0" fontId="81" fillId="25" borderId="74" xfId="0" applyFont="1" applyFill="1" applyBorder="1" applyAlignment="1">
      <alignment horizontal="right" vertical="center"/>
    </xf>
    <xf numFmtId="10" fontId="81" fillId="25" borderId="66" xfId="0" applyNumberFormat="1" applyFont="1" applyFill="1" applyBorder="1" applyAlignment="1">
      <alignment horizontal="right" vertical="center"/>
    </xf>
    <xf numFmtId="4" fontId="81" fillId="25" borderId="73" xfId="0" applyNumberFormat="1" applyFont="1" applyFill="1" applyBorder="1" applyAlignment="1">
      <alignment horizontal="right" vertical="center"/>
    </xf>
    <xf numFmtId="0" fontId="81" fillId="0" borderId="2" xfId="0" applyFont="1" applyBorder="1" applyAlignment="1">
      <alignment horizontal="center" vertical="center"/>
    </xf>
    <xf numFmtId="4" fontId="81" fillId="0" borderId="19" xfId="0" applyNumberFormat="1" applyFont="1" applyBorder="1" applyAlignment="1">
      <alignment horizontal="right" vertical="center"/>
    </xf>
    <xf numFmtId="172" fontId="80" fillId="0" borderId="2" xfId="0" applyNumberFormat="1" applyFont="1" applyBorder="1" applyAlignment="1">
      <alignment vertical="center"/>
    </xf>
    <xf numFmtId="4" fontId="106" fillId="0" borderId="23" xfId="0" applyNumberFormat="1" applyFont="1" applyBorder="1" applyAlignment="1">
      <alignment horizontal="center" vertical="center"/>
    </xf>
    <xf numFmtId="3" fontId="80" fillId="0" borderId="2" xfId="0" applyNumberFormat="1" applyFont="1" applyBorder="1" applyAlignment="1">
      <alignment vertical="center"/>
    </xf>
    <xf numFmtId="9" fontId="80" fillId="0" borderId="10" xfId="0" applyNumberFormat="1" applyFont="1" applyBorder="1" applyAlignment="1">
      <alignment horizontal="center" vertical="center" wrapText="1"/>
    </xf>
    <xf numFmtId="172" fontId="80" fillId="0" borderId="2" xfId="0" applyNumberFormat="1" applyFont="1" applyBorder="1" applyAlignment="1">
      <alignment horizontal="left" vertical="center"/>
    </xf>
    <xf numFmtId="4" fontId="106" fillId="0" borderId="3" xfId="0" applyNumberFormat="1" applyFont="1" applyBorder="1" applyAlignment="1">
      <alignment horizontal="center" vertical="center"/>
    </xf>
    <xf numFmtId="4" fontId="81" fillId="0" borderId="23" xfId="0" applyNumberFormat="1" applyFont="1" applyBorder="1" applyAlignment="1">
      <alignment horizontal="center" vertical="center"/>
    </xf>
    <xf numFmtId="10" fontId="80" fillId="0" borderId="8" xfId="0" applyNumberFormat="1" applyFont="1" applyBorder="1" applyAlignment="1">
      <alignment vertical="center"/>
    </xf>
    <xf numFmtId="4" fontId="81" fillId="0" borderId="3" xfId="0" applyNumberFormat="1" applyFont="1" applyBorder="1" applyAlignment="1">
      <alignment horizontal="center" vertical="center"/>
    </xf>
    <xf numFmtId="4" fontId="81" fillId="0" borderId="2" xfId="0" applyNumberFormat="1" applyFont="1" applyBorder="1" applyAlignment="1">
      <alignment horizontal="right" vertical="center" wrapText="1"/>
    </xf>
    <xf numFmtId="4" fontId="81" fillId="0" borderId="0" xfId="0" applyNumberFormat="1" applyFont="1" applyAlignment="1">
      <alignment horizontal="right" vertical="center" wrapText="1"/>
    </xf>
    <xf numFmtId="0" fontId="81" fillId="24" borderId="2" xfId="0" applyFont="1" applyFill="1" applyBorder="1" applyAlignment="1">
      <alignment horizontal="center" vertical="center"/>
    </xf>
    <xf numFmtId="0" fontId="116" fillId="0" borderId="0" xfId="0" applyFont="1" applyAlignment="1">
      <alignment horizontal="left" vertical="center" wrapText="1"/>
    </xf>
    <xf numFmtId="4" fontId="79" fillId="0" borderId="2" xfId="0" applyNumberFormat="1" applyFont="1" applyBorder="1" applyAlignment="1">
      <alignment horizontal="right" vertical="center" wrapText="1"/>
    </xf>
    <xf numFmtId="4" fontId="79" fillId="0" borderId="0" xfId="0" applyNumberFormat="1" applyFont="1" applyAlignment="1">
      <alignment horizontal="right" vertical="center" wrapText="1"/>
    </xf>
    <xf numFmtId="4" fontId="79" fillId="24" borderId="2" xfId="0" applyNumberFormat="1" applyFont="1" applyFill="1" applyBorder="1" applyAlignment="1">
      <alignment horizontal="right" vertical="center" wrapText="1"/>
    </xf>
    <xf numFmtId="0" fontId="160" fillId="0" borderId="0" xfId="0" applyFont="1" applyAlignment="1">
      <alignment horizontal="center" vertical="center" wrapText="1"/>
    </xf>
    <xf numFmtId="0" fontId="97" fillId="0" borderId="0" xfId="0" applyFont="1" applyAlignment="1">
      <alignment horizontal="left" vertical="center"/>
    </xf>
    <xf numFmtId="10" fontId="161" fillId="0" borderId="2" xfId="0" applyNumberFormat="1" applyFont="1" applyBorder="1" applyAlignment="1">
      <alignment horizontal="right" vertical="center"/>
    </xf>
    <xf numFmtId="0" fontId="81" fillId="0" borderId="0" xfId="0" applyFont="1" applyAlignment="1">
      <alignment horizontal="right" vertical="center"/>
    </xf>
    <xf numFmtId="0" fontId="97" fillId="0" borderId="0" xfId="0" applyFont="1" applyAlignment="1">
      <alignment horizontal="left" vertical="center" wrapText="1"/>
    </xf>
    <xf numFmtId="0" fontId="161" fillId="2" borderId="2" xfId="0" applyFont="1" applyFill="1" applyBorder="1" applyAlignment="1">
      <alignment horizontal="center" vertical="center" wrapText="1"/>
    </xf>
    <xf numFmtId="4" fontId="97" fillId="0" borderId="2" xfId="0" applyNumberFormat="1" applyFont="1" applyBorder="1" applyAlignment="1">
      <alignment horizontal="right" vertical="center" wrapText="1"/>
    </xf>
    <xf numFmtId="4" fontId="97" fillId="0" borderId="0" xfId="0" applyNumberFormat="1" applyFont="1" applyAlignment="1">
      <alignment horizontal="right" vertical="center" wrapText="1"/>
    </xf>
    <xf numFmtId="0" fontId="162" fillId="0" borderId="0" xfId="0" applyFont="1" applyAlignment="1">
      <alignment horizontal="left" vertical="center" wrapText="1"/>
    </xf>
    <xf numFmtId="0" fontId="81" fillId="17" borderId="2" xfId="0" applyFont="1" applyFill="1" applyBorder="1" applyAlignment="1">
      <alignment horizontal="center" vertical="center"/>
    </xf>
    <xf numFmtId="0" fontId="79" fillId="0" borderId="2" xfId="0" applyFont="1" applyBorder="1" applyAlignment="1">
      <alignment horizontal="center" vertical="center"/>
    </xf>
    <xf numFmtId="4" fontId="79" fillId="0" borderId="2" xfId="0" applyNumberFormat="1" applyFont="1" applyBorder="1" applyAlignment="1">
      <alignment horizontal="right" vertical="center"/>
    </xf>
    <xf numFmtId="4" fontId="79" fillId="0" borderId="0" xfId="0" applyNumberFormat="1" applyFont="1" applyAlignment="1">
      <alignment horizontal="right" vertical="center"/>
    </xf>
    <xf numFmtId="4" fontId="79" fillId="24" borderId="2" xfId="0" applyNumberFormat="1" applyFont="1" applyFill="1" applyBorder="1" applyAlignment="1">
      <alignment horizontal="right" vertical="center"/>
    </xf>
    <xf numFmtId="0" fontId="79" fillId="0" borderId="0" xfId="0" applyFont="1" applyAlignment="1">
      <alignment horizontal="right" vertical="center"/>
    </xf>
    <xf numFmtId="4" fontId="78" fillId="0" borderId="2" xfId="0" applyNumberFormat="1" applyFont="1" applyBorder="1" applyAlignment="1">
      <alignment horizontal="right" vertical="center"/>
    </xf>
    <xf numFmtId="4" fontId="81" fillId="24" borderId="2" xfId="0" applyNumberFormat="1" applyFont="1" applyFill="1" applyBorder="1" applyAlignment="1">
      <alignment horizontal="right" vertical="center" wrapText="1"/>
    </xf>
    <xf numFmtId="0" fontId="101" fillId="0" borderId="0" xfId="0" applyFont="1" applyAlignment="1">
      <alignment horizontal="center" vertical="center"/>
    </xf>
    <xf numFmtId="0" fontId="146" fillId="0" borderId="0" xfId="0" applyFont="1" applyAlignment="1">
      <alignment horizontal="left" vertical="center"/>
    </xf>
    <xf numFmtId="0" fontId="101" fillId="25" borderId="74" xfId="0" applyFont="1" applyFill="1" applyBorder="1" applyAlignment="1">
      <alignment horizontal="center" vertical="center"/>
    </xf>
    <xf numFmtId="0" fontId="81" fillId="24" borderId="2" xfId="0" applyFont="1" applyFill="1" applyBorder="1" applyAlignment="1">
      <alignment horizontal="center" vertical="center" wrapText="1"/>
    </xf>
    <xf numFmtId="4" fontId="80" fillId="0" borderId="2" xfId="0" applyNumberFormat="1" applyFont="1" applyBorder="1" applyAlignment="1">
      <alignment horizontal="right" vertical="center"/>
    </xf>
    <xf numFmtId="4" fontId="80" fillId="0" borderId="0" xfId="0" applyNumberFormat="1" applyFont="1" applyAlignment="1">
      <alignment horizontal="right" vertical="center"/>
    </xf>
    <xf numFmtId="10" fontId="80" fillId="0" borderId="2" xfId="0" applyNumberFormat="1" applyFont="1" applyBorder="1" applyAlignment="1">
      <alignment horizontal="center" vertical="center"/>
    </xf>
    <xf numFmtId="0" fontId="97" fillId="0" borderId="2" xfId="0" applyFont="1" applyBorder="1" applyAlignment="1">
      <alignment horizontal="center" vertical="center"/>
    </xf>
    <xf numFmtId="10" fontId="97" fillId="0" borderId="2" xfId="0" applyNumberFormat="1" applyFont="1" applyBorder="1" applyAlignment="1">
      <alignment horizontal="center" vertical="center" wrapText="1"/>
    </xf>
    <xf numFmtId="4" fontId="81" fillId="0" borderId="2" xfId="0" applyNumberFormat="1" applyFont="1" applyBorder="1"/>
    <xf numFmtId="4" fontId="81" fillId="0" borderId="0" xfId="0" applyNumberFormat="1" applyFont="1"/>
    <xf numFmtId="10" fontId="81" fillId="0" borderId="2" xfId="0" applyNumberFormat="1" applyFont="1" applyBorder="1" applyAlignment="1">
      <alignment horizontal="center" vertical="center" wrapText="1"/>
    </xf>
    <xf numFmtId="10" fontId="81" fillId="0" borderId="2" xfId="0" applyNumberFormat="1" applyFont="1" applyBorder="1" applyAlignment="1">
      <alignment horizontal="center" wrapText="1"/>
    </xf>
    <xf numFmtId="4" fontId="81" fillId="0" borderId="2" xfId="0" applyNumberFormat="1" applyFont="1" applyBorder="1" applyAlignment="1">
      <alignment horizontal="center"/>
    </xf>
    <xf numFmtId="4" fontId="81" fillId="0" borderId="0" xfId="0" applyNumberFormat="1" applyFont="1" applyAlignment="1">
      <alignment horizontal="center"/>
    </xf>
    <xf numFmtId="10" fontId="81" fillId="0" borderId="2" xfId="0" applyNumberFormat="1" applyFont="1" applyBorder="1" applyAlignment="1">
      <alignment horizontal="right" vertical="center" wrapText="1"/>
    </xf>
    <xf numFmtId="10" fontId="80" fillId="0" borderId="2" xfId="0" applyNumberFormat="1" applyFont="1" applyBorder="1" applyAlignment="1">
      <alignment horizontal="right" vertical="center"/>
    </xf>
    <xf numFmtId="0" fontId="159" fillId="0" borderId="0" xfId="0" applyFont="1" applyAlignment="1">
      <alignment horizontal="left" vertical="center"/>
    </xf>
    <xf numFmtId="0" fontId="159" fillId="0" borderId="0" xfId="0" applyFont="1" applyAlignment="1">
      <alignment horizontal="center" vertical="center"/>
    </xf>
    <xf numFmtId="0" fontId="163" fillId="0" borderId="0" xfId="0" applyFont="1" applyAlignment="1">
      <alignment vertical="center"/>
    </xf>
    <xf numFmtId="49" fontId="81" fillId="0" borderId="2" xfId="0" applyNumberFormat="1" applyFont="1" applyBorder="1" applyAlignment="1">
      <alignment horizontal="center" vertical="center" wrapText="1"/>
    </xf>
    <xf numFmtId="49" fontId="81" fillId="0" borderId="8" xfId="0" applyNumberFormat="1" applyFont="1" applyBorder="1" applyAlignment="1">
      <alignment horizontal="center" vertical="center" wrapText="1"/>
    </xf>
    <xf numFmtId="49" fontId="164" fillId="0" borderId="0" xfId="0" applyNumberFormat="1" applyFont="1" applyAlignment="1">
      <alignment horizontal="left" vertical="center" wrapText="1"/>
    </xf>
    <xf numFmtId="49" fontId="81" fillId="0" borderId="0" xfId="0" applyNumberFormat="1" applyFont="1" applyAlignment="1">
      <alignment horizontal="left" vertical="center" wrapText="1"/>
    </xf>
    <xf numFmtId="0" fontId="81" fillId="0" borderId="97" xfId="0" applyFont="1" applyBorder="1" applyAlignment="1">
      <alignment horizontal="left" vertical="center" wrapText="1"/>
    </xf>
    <xf numFmtId="177" fontId="80" fillId="0" borderId="0" xfId="0" applyNumberFormat="1" applyFont="1" applyAlignment="1">
      <alignment horizontal="left"/>
    </xf>
    <xf numFmtId="177" fontId="80" fillId="8" borderId="112" xfId="0" applyNumberFormat="1" applyFont="1" applyFill="1" applyBorder="1" applyAlignment="1">
      <alignment horizontal="left"/>
    </xf>
    <xf numFmtId="3" fontId="81" fillId="0" borderId="2" xfId="0" applyNumberFormat="1" applyFont="1" applyBorder="1" applyAlignment="1">
      <alignment horizontal="center" vertical="center" wrapText="1"/>
    </xf>
    <xf numFmtId="4" fontId="81" fillId="0" borderId="0" xfId="0" applyNumberFormat="1" applyFont="1" applyAlignment="1">
      <alignment horizontal="center" vertical="center" wrapText="1"/>
    </xf>
    <xf numFmtId="3" fontId="150" fillId="24" borderId="2" xfId="0" applyNumberFormat="1" applyFont="1" applyFill="1" applyBorder="1" applyAlignment="1">
      <alignment horizontal="center" vertical="center" wrapText="1"/>
    </xf>
    <xf numFmtId="4" fontId="150" fillId="0" borderId="0" xfId="0" applyNumberFormat="1" applyFont="1" applyAlignment="1">
      <alignment horizontal="center" vertical="center"/>
    </xf>
    <xf numFmtId="0" fontId="81" fillId="0" borderId="0" xfId="0" applyFont="1" applyAlignment="1">
      <alignment horizontal="left"/>
    </xf>
    <xf numFmtId="172" fontId="117" fillId="0" borderId="0" xfId="0" applyNumberFormat="1" applyFont="1" applyAlignment="1">
      <alignment horizontal="center" vertical="center" wrapText="1"/>
    </xf>
    <xf numFmtId="0" fontId="101" fillId="0" borderId="0" xfId="0" applyFont="1" applyAlignment="1">
      <alignment horizontal="center"/>
    </xf>
    <xf numFmtId="0" fontId="117" fillId="0" borderId="0" xfId="0" applyFont="1" applyAlignment="1">
      <alignment horizontal="center" vertical="center" wrapText="1"/>
    </xf>
    <xf numFmtId="0" fontId="101" fillId="0" borderId="0" xfId="0" applyFont="1" applyAlignment="1">
      <alignment horizontal="left" vertical="center" wrapText="1"/>
    </xf>
    <xf numFmtId="172" fontId="117" fillId="0" borderId="0" xfId="0" applyNumberFormat="1" applyFont="1" applyAlignment="1">
      <alignment horizontal="center" vertical="center"/>
    </xf>
    <xf numFmtId="3" fontId="81" fillId="0" borderId="10" xfId="0" applyNumberFormat="1" applyFont="1" applyBorder="1" applyAlignment="1">
      <alignment horizontal="center" vertical="center" wrapText="1"/>
    </xf>
    <xf numFmtId="10" fontId="81" fillId="0" borderId="10" xfId="0" applyNumberFormat="1" applyFont="1" applyBorder="1" applyAlignment="1">
      <alignment horizontal="center" vertical="center"/>
    </xf>
    <xf numFmtId="0" fontId="69" fillId="0" borderId="0" xfId="0" applyFont="1"/>
    <xf numFmtId="0" fontId="67" fillId="0" borderId="0" xfId="0" applyFont="1"/>
    <xf numFmtId="0" fontId="122" fillId="0" borderId="0" xfId="0" applyFont="1" applyAlignment="1">
      <alignment horizontal="center" vertical="center"/>
    </xf>
    <xf numFmtId="0" fontId="121" fillId="0" borderId="0" xfId="0" applyFont="1"/>
    <xf numFmtId="0" fontId="166" fillId="0" borderId="0" xfId="0" applyFont="1"/>
    <xf numFmtId="1" fontId="121" fillId="0" borderId="9" xfId="0" applyNumberFormat="1" applyFont="1" applyBorder="1" applyAlignment="1">
      <alignment horizontal="center" vertical="center"/>
    </xf>
    <xf numFmtId="0" fontId="12" fillId="0" borderId="9" xfId="0" applyFont="1" applyBorder="1"/>
    <xf numFmtId="0" fontId="12" fillId="0" borderId="10" xfId="0" applyFont="1" applyBorder="1"/>
    <xf numFmtId="0" fontId="122" fillId="20" borderId="102" xfId="0" applyFont="1" applyFill="1" applyBorder="1" applyAlignment="1">
      <alignment horizontal="center" vertical="center"/>
    </xf>
    <xf numFmtId="0" fontId="122" fillId="26" borderId="102" xfId="0" applyFont="1" applyFill="1" applyBorder="1" applyAlignment="1">
      <alignment horizontal="center" vertical="center" wrapText="1"/>
    </xf>
    <xf numFmtId="0" fontId="168" fillId="20" borderId="102" xfId="0" applyFont="1" applyFill="1" applyBorder="1" applyAlignment="1">
      <alignment horizontal="center" vertical="center" wrapText="1"/>
    </xf>
    <xf numFmtId="0" fontId="82" fillId="20" borderId="102" xfId="0" applyFont="1" applyFill="1" applyBorder="1" applyAlignment="1">
      <alignment horizontal="center" vertical="center" wrapText="1"/>
    </xf>
    <xf numFmtId="1" fontId="121" fillId="0" borderId="2" xfId="0" applyNumberFormat="1" applyFont="1" applyBorder="1" applyAlignment="1">
      <alignment horizontal="center" vertical="center"/>
    </xf>
    <xf numFmtId="169" fontId="83" fillId="0" borderId="2" xfId="0" applyNumberFormat="1" applyFont="1" applyBorder="1" applyAlignment="1">
      <alignment horizontal="center"/>
    </xf>
    <xf numFmtId="170" fontId="168" fillId="0" borderId="2" xfId="0" applyNumberFormat="1" applyFont="1" applyBorder="1" applyAlignment="1">
      <alignment horizontal="center" vertical="center"/>
    </xf>
    <xf numFmtId="169" fontId="168" fillId="0" borderId="2" xfId="0" applyNumberFormat="1" applyFont="1" applyBorder="1" applyAlignment="1">
      <alignment horizontal="center" vertical="center"/>
    </xf>
    <xf numFmtId="169" fontId="83" fillId="0" borderId="3" xfId="0" applyNumberFormat="1" applyFont="1" applyBorder="1" applyAlignment="1">
      <alignment horizontal="center"/>
    </xf>
    <xf numFmtId="1" fontId="121" fillId="0" borderId="19" xfId="0" applyNumberFormat="1" applyFont="1" applyBorder="1" applyAlignment="1">
      <alignment horizontal="center" vertical="center"/>
    </xf>
    <xf numFmtId="169" fontId="121" fillId="0" borderId="19" xfId="0" applyNumberFormat="1" applyFont="1" applyBorder="1" applyAlignment="1">
      <alignment horizontal="center" vertical="center"/>
    </xf>
    <xf numFmtId="0" fontId="169" fillId="20" borderId="2" xfId="0" applyFont="1" applyFill="1" applyBorder="1" applyAlignment="1">
      <alignment horizontal="right" vertical="center"/>
    </xf>
    <xf numFmtId="1" fontId="169" fillId="20" borderId="2" xfId="0" applyNumberFormat="1" applyFont="1" applyFill="1" applyBorder="1" applyAlignment="1">
      <alignment horizontal="center" vertical="center"/>
    </xf>
    <xf numFmtId="1" fontId="169" fillId="0" borderId="19" xfId="0" applyNumberFormat="1" applyFont="1" applyBorder="1" applyAlignment="1">
      <alignment horizontal="center" vertical="center"/>
    </xf>
    <xf numFmtId="4" fontId="169" fillId="20" borderId="2" xfId="0" applyNumberFormat="1" applyFont="1" applyFill="1" applyBorder="1" applyAlignment="1">
      <alignment horizontal="center" vertical="center"/>
    </xf>
    <xf numFmtId="169" fontId="83" fillId="0" borderId="0" xfId="0" applyNumberFormat="1" applyFont="1" applyAlignment="1">
      <alignment horizontal="center"/>
    </xf>
    <xf numFmtId="1" fontId="83" fillId="0" borderId="10" xfId="0" applyNumberFormat="1" applyFont="1" applyBorder="1" applyAlignment="1">
      <alignment horizontal="center"/>
    </xf>
    <xf numFmtId="1" fontId="83" fillId="0" borderId="101" xfId="0" applyNumberFormat="1" applyFont="1" applyBorder="1" applyAlignment="1">
      <alignment horizontal="center"/>
    </xf>
    <xf numFmtId="169" fontId="121" fillId="0" borderId="2" xfId="0" applyNumberFormat="1" applyFont="1" applyBorder="1" applyAlignment="1">
      <alignment horizontal="center" vertical="center"/>
    </xf>
    <xf numFmtId="0" fontId="88" fillId="20" borderId="74" xfId="0" applyFont="1" applyFill="1" applyBorder="1" applyAlignment="1">
      <alignment horizontal="right" vertical="center"/>
    </xf>
    <xf numFmtId="0" fontId="88" fillId="20" borderId="66" xfId="0" applyFont="1" applyFill="1" applyBorder="1" applyAlignment="1">
      <alignment horizontal="right" vertical="center"/>
    </xf>
    <xf numFmtId="1" fontId="88" fillId="20" borderId="2" xfId="0" applyNumberFormat="1" applyFont="1" applyFill="1" applyBorder="1" applyAlignment="1">
      <alignment horizontal="center" vertical="center"/>
    </xf>
    <xf numFmtId="4" fontId="161" fillId="0" borderId="2" xfId="0" applyNumberFormat="1" applyFont="1" applyBorder="1" applyAlignment="1">
      <alignment vertical="center"/>
    </xf>
    <xf numFmtId="4" fontId="88" fillId="11" borderId="73" xfId="0" applyNumberFormat="1" applyFont="1" applyFill="1" applyBorder="1" applyAlignment="1">
      <alignment horizontal="center" wrapText="1"/>
    </xf>
    <xf numFmtId="0" fontId="126" fillId="24" borderId="118" xfId="0" applyFont="1" applyFill="1" applyBorder="1" applyAlignment="1">
      <alignment horizontal="center" vertical="center" wrapText="1"/>
    </xf>
    <xf numFmtId="172" fontId="80" fillId="0" borderId="8" xfId="0" applyNumberFormat="1" applyFont="1" applyBorder="1" applyAlignment="1">
      <alignment vertical="center"/>
    </xf>
    <xf numFmtId="3" fontId="80" fillId="0" borderId="8" xfId="0" applyNumberFormat="1" applyFont="1" applyBorder="1" applyAlignment="1">
      <alignment vertical="center"/>
    </xf>
    <xf numFmtId="4" fontId="81" fillId="0" borderId="23" xfId="0" applyNumberFormat="1" applyFont="1" applyBorder="1" applyAlignment="1">
      <alignment horizontal="right" vertical="center"/>
    </xf>
    <xf numFmtId="0" fontId="146" fillId="0" borderId="0" xfId="0" quotePrefix="1" applyFont="1"/>
    <xf numFmtId="4" fontId="79" fillId="0" borderId="10" xfId="0" applyNumberFormat="1" applyFont="1" applyBorder="1" applyAlignment="1">
      <alignment horizontal="center" vertical="center" wrapText="1"/>
    </xf>
    <xf numFmtId="49" fontId="1" fillId="9" borderId="28" xfId="0" applyNumberFormat="1" applyFont="1" applyFill="1" applyBorder="1" applyAlignment="1">
      <alignment horizontal="center" wrapText="1"/>
    </xf>
    <xf numFmtId="0" fontId="26" fillId="0" borderId="29" xfId="0" applyFont="1" applyBorder="1"/>
    <xf numFmtId="0" fontId="46" fillId="10" borderId="30" xfId="0" applyFont="1" applyFill="1" applyBorder="1" applyAlignment="1">
      <alignment horizontal="center" vertical="center" wrapText="1"/>
    </xf>
    <xf numFmtId="0" fontId="26" fillId="0" borderId="44" xfId="0" applyFont="1" applyBorder="1"/>
    <xf numFmtId="0" fontId="26" fillId="0" borderId="54" xfId="0" applyFont="1" applyBorder="1"/>
    <xf numFmtId="49" fontId="64" fillId="9" borderId="28" xfId="0" applyNumberFormat="1" applyFont="1" applyFill="1" applyBorder="1" applyAlignment="1">
      <alignment horizontal="center" wrapText="1"/>
    </xf>
    <xf numFmtId="49" fontId="6" fillId="9" borderId="28" xfId="0" applyNumberFormat="1" applyFont="1" applyFill="1" applyBorder="1" applyAlignment="1">
      <alignment horizontal="center" wrapText="1"/>
    </xf>
    <xf numFmtId="0" fontId="35" fillId="0" borderId="19" xfId="0" applyFont="1" applyBorder="1" applyAlignment="1">
      <alignment horizontal="center" vertical="center"/>
    </xf>
    <xf numFmtId="0" fontId="26" fillId="0" borderId="23" xfId="0" applyFont="1" applyBorder="1"/>
    <xf numFmtId="0" fontId="26" fillId="0" borderId="48" xfId="0" applyFont="1" applyBorder="1"/>
    <xf numFmtId="0" fontId="36" fillId="0" borderId="19" xfId="0" applyFont="1" applyBorder="1" applyAlignment="1">
      <alignment horizontal="center" vertical="center" textRotation="90" wrapText="1"/>
    </xf>
    <xf numFmtId="0" fontId="36" fillId="0" borderId="19" xfId="0" applyFont="1" applyBorder="1" applyAlignment="1">
      <alignment horizontal="center" vertical="center" wrapText="1"/>
    </xf>
    <xf numFmtId="0" fontId="37" fillId="9" borderId="20" xfId="0" applyFont="1" applyFill="1" applyBorder="1" applyAlignment="1">
      <alignment horizontal="center" vertical="center"/>
    </xf>
    <xf numFmtId="0" fontId="26" fillId="0" borderId="21" xfId="0" applyFont="1" applyBorder="1"/>
    <xf numFmtId="0" fontId="26" fillId="0" borderId="22" xfId="0" applyFont="1" applyBorder="1"/>
    <xf numFmtId="0" fontId="30" fillId="10" borderId="20" xfId="0" applyFont="1" applyFill="1" applyBorder="1" applyAlignment="1">
      <alignment horizontal="center" vertical="center"/>
    </xf>
    <xf numFmtId="0" fontId="42" fillId="9" borderId="30" xfId="0" applyFont="1" applyFill="1" applyBorder="1" applyAlignment="1">
      <alignment horizontal="center" vertical="center" wrapText="1"/>
    </xf>
    <xf numFmtId="0" fontId="44" fillId="9" borderId="30" xfId="0" applyFont="1" applyFill="1" applyBorder="1" applyAlignment="1">
      <alignment horizontal="center" vertical="center" wrapText="1"/>
    </xf>
    <xf numFmtId="49" fontId="61" fillId="9" borderId="28" xfId="0" applyNumberFormat="1" applyFont="1" applyFill="1" applyBorder="1" applyAlignment="1">
      <alignment horizontal="center" wrapText="1"/>
    </xf>
    <xf numFmtId="49" fontId="6" fillId="10" borderId="28" xfId="0" applyNumberFormat="1" applyFont="1" applyFill="1" applyBorder="1" applyAlignment="1">
      <alignment horizontal="center" wrapText="1"/>
    </xf>
    <xf numFmtId="49" fontId="3" fillId="8" borderId="28" xfId="0" applyNumberFormat="1" applyFont="1" applyFill="1" applyBorder="1" applyAlignment="1">
      <alignment horizontal="center" wrapText="1"/>
    </xf>
    <xf numFmtId="0" fontId="50" fillId="8" borderId="30" xfId="0" applyFont="1" applyFill="1" applyBorder="1" applyAlignment="1">
      <alignment horizontal="center" vertical="center" wrapText="1"/>
    </xf>
    <xf numFmtId="0" fontId="49" fillId="8" borderId="31" xfId="0" applyFont="1" applyFill="1" applyBorder="1" applyAlignment="1">
      <alignment horizontal="center" vertical="center" textRotation="90" wrapText="1"/>
    </xf>
    <xf numFmtId="0" fontId="26" fillId="0" borderId="46" xfId="0" applyFont="1" applyBorder="1"/>
    <xf numFmtId="0" fontId="26" fillId="0" borderId="55" xfId="0" applyFont="1" applyBorder="1"/>
    <xf numFmtId="0" fontId="50" fillId="8" borderId="26" xfId="0" applyFont="1" applyFill="1" applyBorder="1" applyAlignment="1">
      <alignment horizontal="center" vertical="center" textRotation="90" wrapText="1"/>
    </xf>
    <xf numFmtId="0" fontId="26" fillId="0" borderId="40" xfId="0" applyFont="1" applyBorder="1"/>
    <xf numFmtId="0" fontId="26" fillId="0" borderId="51" xfId="0" applyFont="1" applyBorder="1"/>
    <xf numFmtId="0" fontId="50" fillId="8" borderId="36" xfId="0" applyFont="1" applyFill="1" applyBorder="1" applyAlignment="1">
      <alignment horizontal="center" vertical="center" wrapText="1"/>
    </xf>
    <xf numFmtId="0" fontId="26" fillId="0" borderId="58" xfId="0" applyFont="1" applyBorder="1"/>
    <xf numFmtId="0" fontId="50" fillId="8" borderId="33" xfId="0" applyFont="1" applyFill="1" applyBorder="1" applyAlignment="1">
      <alignment horizontal="center" vertical="center" wrapText="1"/>
    </xf>
    <xf numFmtId="0" fontId="26" fillId="0" borderId="34" xfId="0" applyFont="1" applyBorder="1"/>
    <xf numFmtId="0" fontId="26" fillId="0" borderId="35" xfId="0" applyFont="1" applyBorder="1"/>
    <xf numFmtId="49" fontId="55" fillId="8" borderId="28" xfId="0" applyNumberFormat="1" applyFont="1" applyFill="1" applyBorder="1" applyAlignment="1">
      <alignment horizontal="center" wrapText="1"/>
    </xf>
    <xf numFmtId="0" fontId="47" fillId="8" borderId="31" xfId="0" applyFont="1" applyFill="1" applyBorder="1" applyAlignment="1">
      <alignment horizontal="center" vertical="center" textRotation="90" wrapText="1"/>
    </xf>
    <xf numFmtId="0" fontId="48" fillId="8" borderId="26" xfId="0" applyFont="1" applyFill="1" applyBorder="1" applyAlignment="1">
      <alignment horizontal="center" vertical="center" textRotation="90" wrapText="1"/>
    </xf>
    <xf numFmtId="0" fontId="48" fillId="8" borderId="36" xfId="0" applyFont="1" applyFill="1" applyBorder="1" applyAlignment="1">
      <alignment horizontal="center" vertical="center" wrapText="1"/>
    </xf>
    <xf numFmtId="0" fontId="48" fillId="8" borderId="33" xfId="0" applyFont="1" applyFill="1" applyBorder="1" applyAlignment="1">
      <alignment horizontal="center" vertical="center" wrapText="1"/>
    </xf>
    <xf numFmtId="0" fontId="48" fillId="8" borderId="30" xfId="0" applyFont="1" applyFill="1" applyBorder="1" applyAlignment="1">
      <alignment horizontal="center" vertical="center" wrapText="1"/>
    </xf>
    <xf numFmtId="49" fontId="33" fillId="8" borderId="28" xfId="0" applyNumberFormat="1" applyFont="1" applyFill="1" applyBorder="1" applyAlignment="1">
      <alignment horizontal="center" wrapText="1"/>
    </xf>
    <xf numFmtId="49" fontId="1" fillId="10" borderId="28" xfId="0" applyNumberFormat="1" applyFont="1" applyFill="1" applyBorder="1" applyAlignment="1">
      <alignment horizontal="center" wrapText="1"/>
    </xf>
    <xf numFmtId="0" fontId="41" fillId="9" borderId="28" xfId="0" applyFont="1" applyFill="1" applyBorder="1" applyAlignment="1">
      <alignment horizontal="center" vertical="center" wrapText="1"/>
    </xf>
    <xf numFmtId="0" fontId="26" fillId="0" borderId="5" xfId="0" applyFont="1" applyBorder="1"/>
    <xf numFmtId="0" fontId="45" fillId="9" borderId="31" xfId="0" applyFont="1" applyFill="1" applyBorder="1" applyAlignment="1">
      <alignment horizontal="center" vertical="center" textRotation="90" wrapText="1"/>
    </xf>
    <xf numFmtId="0" fontId="46" fillId="9" borderId="26" xfId="0" applyFont="1" applyFill="1" applyBorder="1" applyAlignment="1">
      <alignment horizontal="center" vertical="center" textRotation="90" wrapText="1"/>
    </xf>
    <xf numFmtId="0" fontId="46" fillId="9" borderId="36" xfId="0" applyFont="1" applyFill="1" applyBorder="1" applyAlignment="1">
      <alignment horizontal="center" vertical="center" wrapText="1"/>
    </xf>
    <xf numFmtId="0" fontId="46" fillId="9" borderId="33" xfId="0" applyFont="1" applyFill="1" applyBorder="1" applyAlignment="1">
      <alignment horizontal="center" vertical="center" wrapText="1"/>
    </xf>
    <xf numFmtId="0" fontId="46" fillId="9" borderId="30" xfId="0" applyFont="1" applyFill="1" applyBorder="1" applyAlignment="1">
      <alignment horizontal="center" vertical="center" wrapText="1"/>
    </xf>
    <xf numFmtId="0" fontId="46" fillId="10" borderId="26" xfId="0" applyFont="1" applyFill="1" applyBorder="1" applyAlignment="1">
      <alignment horizontal="center" vertical="center" textRotation="90" wrapText="1"/>
    </xf>
    <xf numFmtId="0" fontId="46" fillId="10" borderId="32" xfId="0" applyFont="1" applyFill="1" applyBorder="1" applyAlignment="1">
      <alignment horizontal="center" vertical="center" wrapText="1"/>
    </xf>
    <xf numFmtId="0" fontId="26" fillId="0" borderId="41" xfId="0" applyFont="1" applyBorder="1"/>
    <xf numFmtId="0" fontId="26" fillId="0" borderId="56" xfId="0" applyFont="1" applyBorder="1"/>
    <xf numFmtId="0" fontId="45" fillId="10" borderId="31" xfId="0" applyFont="1" applyFill="1" applyBorder="1" applyAlignment="1">
      <alignment horizontal="center" vertical="center" textRotation="90" wrapText="1"/>
    </xf>
    <xf numFmtId="0" fontId="46" fillId="10" borderId="33" xfId="0" applyFont="1" applyFill="1" applyBorder="1" applyAlignment="1">
      <alignment horizontal="center" vertical="center" wrapText="1"/>
    </xf>
    <xf numFmtId="0" fontId="46" fillId="10" borderId="36" xfId="0" applyFont="1" applyFill="1" applyBorder="1" applyAlignment="1">
      <alignment horizontal="center" vertical="center" wrapText="1"/>
    </xf>
    <xf numFmtId="0" fontId="55" fillId="8" borderId="27" xfId="0" applyFont="1" applyFill="1" applyBorder="1" applyAlignment="1">
      <alignment horizontal="center" wrapText="1"/>
    </xf>
    <xf numFmtId="0" fontId="6" fillId="10" borderId="27" xfId="0" applyFont="1" applyFill="1" applyBorder="1" applyAlignment="1">
      <alignment horizontal="center" wrapText="1"/>
    </xf>
    <xf numFmtId="0" fontId="26" fillId="0" borderId="52" xfId="0" applyFont="1" applyBorder="1"/>
    <xf numFmtId="0" fontId="6" fillId="9" borderId="27" xfId="0" applyFont="1" applyFill="1" applyBorder="1" applyAlignment="1">
      <alignment horizontal="center" wrapText="1"/>
    </xf>
    <xf numFmtId="0" fontId="40" fillId="9" borderId="24" xfId="0" applyFont="1" applyFill="1" applyBorder="1" applyAlignment="1">
      <alignment horizontal="center" vertical="center" textRotation="90" wrapText="1"/>
    </xf>
    <xf numFmtId="0" fontId="26" fillId="0" borderId="38" xfId="0" applyFont="1" applyBorder="1"/>
    <xf numFmtId="0" fontId="26" fillId="0" borderId="49" xfId="0" applyFont="1" applyBorder="1"/>
    <xf numFmtId="0" fontId="41" fillId="9" borderId="26" xfId="0" applyFont="1" applyFill="1" applyBorder="1" applyAlignment="1">
      <alignment horizontal="center" vertical="center" textRotation="90" wrapText="1"/>
    </xf>
    <xf numFmtId="0" fontId="30" fillId="9" borderId="20" xfId="0" applyFont="1" applyFill="1" applyBorder="1" applyAlignment="1">
      <alignment horizontal="center" vertical="center"/>
    </xf>
    <xf numFmtId="0" fontId="38" fillId="8" borderId="20" xfId="0" applyFont="1" applyFill="1" applyBorder="1" applyAlignment="1">
      <alignment horizontal="center" vertical="center"/>
    </xf>
    <xf numFmtId="0" fontId="41" fillId="9" borderId="27" xfId="0" applyFont="1" applyFill="1" applyBorder="1" applyAlignment="1">
      <alignment horizontal="center" vertical="center" wrapText="1"/>
    </xf>
    <xf numFmtId="0" fontId="52" fillId="9" borderId="27" xfId="0" applyFont="1" applyFill="1" applyBorder="1" applyAlignment="1">
      <alignment horizontal="center" wrapText="1"/>
    </xf>
    <xf numFmtId="0" fontId="53" fillId="9" borderId="27" xfId="0" applyFont="1" applyFill="1" applyBorder="1" applyAlignment="1">
      <alignment horizontal="center" wrapText="1"/>
    </xf>
    <xf numFmtId="0" fontId="34" fillId="8" borderId="13" xfId="0" applyFont="1" applyFill="1" applyBorder="1" applyAlignment="1">
      <alignment horizontal="left"/>
    </xf>
    <xf numFmtId="0" fontId="26" fillId="0" borderId="14" xfId="0" applyFont="1" applyBorder="1"/>
    <xf numFmtId="0" fontId="26" fillId="0" borderId="15" xfId="0" applyFont="1" applyBorder="1"/>
    <xf numFmtId="0" fontId="25" fillId="4" borderId="4" xfId="0" applyFont="1" applyFill="1" applyBorder="1" applyAlignment="1">
      <alignment horizontal="center" vertical="center"/>
    </xf>
    <xf numFmtId="0" fontId="26" fillId="0" borderId="6" xfId="0" applyFont="1" applyBorder="1"/>
    <xf numFmtId="0" fontId="6" fillId="0" borderId="8" xfId="0" applyFont="1" applyBorder="1" applyAlignment="1">
      <alignment horizontal="center"/>
    </xf>
    <xf numFmtId="0" fontId="26" fillId="0" borderId="9" xfId="0" applyFont="1" applyBorder="1"/>
    <xf numFmtId="0" fontId="26" fillId="0" borderId="10" xfId="0" applyFont="1" applyBorder="1"/>
    <xf numFmtId="0" fontId="34" fillId="5" borderId="13" xfId="0" applyFont="1" applyFill="1" applyBorder="1" applyAlignment="1">
      <alignment horizontal="left"/>
    </xf>
    <xf numFmtId="0" fontId="34" fillId="7" borderId="13" xfId="0" applyFont="1" applyFill="1" applyBorder="1" applyAlignment="1">
      <alignment horizontal="left"/>
    </xf>
    <xf numFmtId="0" fontId="34" fillId="5" borderId="13" xfId="0" applyFont="1" applyFill="1" applyBorder="1" applyAlignment="1">
      <alignment horizontal="center"/>
    </xf>
    <xf numFmtId="0" fontId="34" fillId="5" borderId="16" xfId="0" applyFont="1" applyFill="1" applyBorder="1" applyAlignment="1">
      <alignment horizontal="center"/>
    </xf>
    <xf numFmtId="0" fontId="26" fillId="0" borderId="17" xfId="0" applyFont="1" applyBorder="1"/>
    <xf numFmtId="0" fontId="26" fillId="0" borderId="18" xfId="0" applyFont="1" applyBorder="1"/>
    <xf numFmtId="0" fontId="46" fillId="10" borderId="37" xfId="0" applyFont="1" applyFill="1" applyBorder="1" applyAlignment="1">
      <alignment horizontal="center" vertical="center" wrapText="1"/>
    </xf>
    <xf numFmtId="0" fontId="26" fillId="0" borderId="47" xfId="0" applyFont="1" applyBorder="1"/>
    <xf numFmtId="0" fontId="26" fillId="0" borderId="60" xfId="0" applyFont="1" applyBorder="1"/>
    <xf numFmtId="0" fontId="3" fillId="8" borderId="27" xfId="0" applyFont="1" applyFill="1" applyBorder="1" applyAlignment="1">
      <alignment horizontal="center" wrapText="1"/>
    </xf>
    <xf numFmtId="0" fontId="39" fillId="8" borderId="20" xfId="0" applyFont="1" applyFill="1" applyBorder="1" applyAlignment="1">
      <alignment horizontal="center" vertical="center"/>
    </xf>
    <xf numFmtId="0" fontId="97" fillId="0" borderId="0" xfId="0" applyFont="1" applyAlignment="1">
      <alignment horizontal="center" vertical="center"/>
    </xf>
    <xf numFmtId="0" fontId="0" fillId="0" borderId="0" xfId="0" applyFont="1" applyAlignment="1"/>
    <xf numFmtId="0" fontId="86" fillId="2" borderId="4" xfId="0" applyFont="1" applyFill="1" applyBorder="1" applyAlignment="1">
      <alignment horizontal="center" vertical="center"/>
    </xf>
    <xf numFmtId="0" fontId="88" fillId="18" borderId="30" xfId="0" applyFont="1" applyFill="1" applyBorder="1" applyAlignment="1">
      <alignment horizontal="center" vertical="center"/>
    </xf>
    <xf numFmtId="0" fontId="26" fillId="0" borderId="78" xfId="0" applyFont="1" applyBorder="1"/>
    <xf numFmtId="10" fontId="90" fillId="18" borderId="30" xfId="0" applyNumberFormat="1" applyFont="1" applyFill="1" applyBorder="1" applyAlignment="1">
      <alignment horizontal="center" vertical="center"/>
    </xf>
    <xf numFmtId="0" fontId="26" fillId="0" borderId="77" xfId="0" applyFont="1" applyBorder="1"/>
    <xf numFmtId="0" fontId="83" fillId="15" borderId="8" xfId="0" applyFont="1" applyFill="1" applyBorder="1" applyAlignment="1">
      <alignment horizontal="left" vertical="center"/>
    </xf>
    <xf numFmtId="0" fontId="26" fillId="0" borderId="75" xfId="0" applyFont="1" applyBorder="1"/>
    <xf numFmtId="164" fontId="83" fillId="15" borderId="8" xfId="0" applyNumberFormat="1" applyFont="1" applyFill="1" applyBorder="1" applyAlignment="1">
      <alignment horizontal="left" vertical="center"/>
    </xf>
    <xf numFmtId="0" fontId="87" fillId="2" borderId="30" xfId="0" applyFont="1" applyFill="1" applyBorder="1" applyAlignment="1">
      <alignment horizontal="center" vertical="center"/>
    </xf>
    <xf numFmtId="0" fontId="85" fillId="15" borderId="8" xfId="0" applyFont="1" applyFill="1" applyBorder="1" applyAlignment="1">
      <alignment horizontal="left" vertical="center"/>
    </xf>
    <xf numFmtId="0" fontId="83" fillId="15" borderId="76" xfId="0" applyFont="1" applyFill="1" applyBorder="1" applyAlignment="1">
      <alignment horizontal="left" vertical="center"/>
    </xf>
    <xf numFmtId="0" fontId="81" fillId="2" borderId="4" xfId="0" applyFont="1" applyFill="1" applyBorder="1" applyAlignment="1">
      <alignment horizontal="center" vertical="center"/>
    </xf>
    <xf numFmtId="0" fontId="82" fillId="0" borderId="8" xfId="0" applyFont="1" applyBorder="1" applyAlignment="1">
      <alignment horizontal="center" vertical="center" wrapText="1"/>
    </xf>
    <xf numFmtId="0" fontId="84" fillId="16" borderId="8" xfId="0" applyFont="1" applyFill="1" applyBorder="1" applyAlignment="1">
      <alignment horizontal="center" vertical="top" wrapText="1"/>
    </xf>
    <xf numFmtId="0" fontId="122" fillId="0" borderId="97" xfId="0" applyFont="1" applyBorder="1" applyAlignment="1">
      <alignment horizontal="left" wrapText="1"/>
    </xf>
    <xf numFmtId="0" fontId="121" fillId="0" borderId="0" xfId="0" applyFont="1" applyAlignment="1">
      <alignment wrapText="1"/>
    </xf>
    <xf numFmtId="0" fontId="26" fillId="0" borderId="96" xfId="0" applyFont="1" applyBorder="1"/>
    <xf numFmtId="164" fontId="122" fillId="0" borderId="97" xfId="0" applyNumberFormat="1" applyFont="1" applyBorder="1" applyAlignment="1">
      <alignment horizontal="left" wrapText="1"/>
    </xf>
    <xf numFmtId="0" fontId="122" fillId="0" borderId="8" xfId="0" applyFont="1" applyBorder="1" applyAlignment="1">
      <alignment horizontal="center" vertical="center" wrapText="1"/>
    </xf>
    <xf numFmtId="0" fontId="122" fillId="0" borderId="23" xfId="0" applyFont="1" applyBorder="1" applyAlignment="1">
      <alignment horizontal="center" vertical="center" textRotation="90" wrapText="1"/>
    </xf>
    <xf numFmtId="0" fontId="26" fillId="0" borderId="3" xfId="0" applyFont="1" applyBorder="1"/>
    <xf numFmtId="49" fontId="122" fillId="0" borderId="0" xfId="0" applyNumberFormat="1" applyFont="1" applyAlignment="1">
      <alignment horizontal="left" wrapText="1"/>
    </xf>
    <xf numFmtId="0" fontId="125" fillId="0" borderId="8" xfId="0" applyFont="1" applyBorder="1" applyAlignment="1">
      <alignment horizontal="center" wrapText="1"/>
    </xf>
    <xf numFmtId="0" fontId="120" fillId="8" borderId="4" xfId="0" applyFont="1" applyFill="1" applyBorder="1" applyAlignment="1">
      <alignment horizontal="center" vertical="center" wrapText="1"/>
    </xf>
    <xf numFmtId="0" fontId="122" fillId="20" borderId="4" xfId="0" applyFont="1" applyFill="1" applyBorder="1" applyAlignment="1">
      <alignment horizontal="center" vertical="center" wrapText="1"/>
    </xf>
    <xf numFmtId="0" fontId="123" fillId="0" borderId="0" xfId="0" applyFont="1" applyAlignment="1">
      <alignment wrapText="1"/>
    </xf>
    <xf numFmtId="0" fontId="123" fillId="0" borderId="97" xfId="0" applyFont="1" applyBorder="1" applyAlignment="1">
      <alignment horizontal="left" wrapText="1"/>
    </xf>
    <xf numFmtId="0" fontId="123" fillId="0" borderId="0" xfId="0" applyFont="1" applyAlignment="1">
      <alignment horizontal="center" wrapText="1"/>
    </xf>
    <xf numFmtId="0" fontId="81" fillId="23" borderId="8" xfId="0" applyFont="1" applyFill="1" applyBorder="1" applyAlignment="1">
      <alignment horizontal="right" vertical="center" wrapText="1"/>
    </xf>
    <xf numFmtId="171" fontId="78" fillId="23" borderId="8" xfId="0" applyNumberFormat="1" applyFont="1" applyFill="1" applyBorder="1"/>
    <xf numFmtId="0" fontId="79" fillId="21" borderId="4" xfId="0" applyFont="1" applyFill="1" applyBorder="1" applyAlignment="1">
      <alignment horizontal="center" wrapText="1"/>
    </xf>
    <xf numFmtId="0" fontId="79" fillId="14" borderId="8" xfId="0" applyFont="1" applyFill="1" applyBorder="1" applyAlignment="1">
      <alignment horizontal="center" vertical="center" wrapText="1"/>
    </xf>
    <xf numFmtId="0" fontId="78" fillId="22" borderId="8" xfId="0" applyFont="1" applyFill="1" applyBorder="1" applyAlignment="1">
      <alignment wrapText="1"/>
    </xf>
    <xf numFmtId="0" fontId="81" fillId="22" borderId="8" xfId="0" applyFont="1" applyFill="1" applyBorder="1" applyAlignment="1">
      <alignment horizontal="center" vertical="center" wrapText="1"/>
    </xf>
    <xf numFmtId="0" fontId="79" fillId="0" borderId="0" xfId="0" applyFont="1" applyAlignment="1">
      <alignment horizontal="center" wrapText="1"/>
    </xf>
    <xf numFmtId="0" fontId="101" fillId="0" borderId="68" xfId="0" applyFont="1" applyBorder="1" applyAlignment="1">
      <alignment horizontal="center" wrapText="1"/>
    </xf>
    <xf numFmtId="0" fontId="26" fillId="0" borderId="68" xfId="0" applyFont="1" applyBorder="1"/>
    <xf numFmtId="0" fontId="83" fillId="0" borderId="100" xfId="0" applyFont="1" applyBorder="1" applyAlignment="1">
      <alignment wrapText="1"/>
    </xf>
    <xf numFmtId="0" fontId="26" fillId="0" borderId="101" xfId="0" applyFont="1" applyBorder="1"/>
    <xf numFmtId="0" fontId="107" fillId="0" borderId="8" xfId="0" applyFont="1" applyBorder="1" applyAlignment="1">
      <alignment horizontal="center" wrapText="1"/>
    </xf>
    <xf numFmtId="0" fontId="107" fillId="0" borderId="68" xfId="0" applyFont="1" applyBorder="1" applyAlignment="1">
      <alignment horizontal="center" wrapText="1"/>
    </xf>
    <xf numFmtId="0" fontId="83" fillId="0" borderId="8" xfId="0" applyFont="1" applyBorder="1" applyAlignment="1">
      <alignment wrapText="1"/>
    </xf>
    <xf numFmtId="0" fontId="97" fillId="22" borderId="103" xfId="0" applyFont="1" applyFill="1" applyBorder="1"/>
    <xf numFmtId="0" fontId="26" fillId="0" borderId="104" xfId="0" applyFont="1" applyBorder="1"/>
    <xf numFmtId="0" fontId="126" fillId="25" borderId="8" xfId="0" applyFont="1" applyFill="1" applyBorder="1" applyAlignment="1">
      <alignment horizontal="left" vertical="center" wrapText="1"/>
    </xf>
    <xf numFmtId="0" fontId="126" fillId="0" borderId="8" xfId="0" applyFont="1" applyBorder="1" applyAlignment="1">
      <alignment horizontal="left" vertical="center" wrapText="1"/>
    </xf>
    <xf numFmtId="172" fontId="127" fillId="0" borderId="8" xfId="0" applyNumberFormat="1" applyFont="1" applyBorder="1" applyAlignment="1">
      <alignment horizontal="center" vertical="center"/>
    </xf>
    <xf numFmtId="0" fontId="83" fillId="0" borderId="100" xfId="0" applyFont="1" applyBorder="1" applyAlignment="1">
      <alignment horizontal="left" vertical="center" wrapText="1"/>
    </xf>
    <xf numFmtId="0" fontId="126" fillId="25" borderId="8" xfId="0" applyFont="1" applyFill="1" applyBorder="1" applyAlignment="1">
      <alignment horizontal="left"/>
    </xf>
    <xf numFmtId="172" fontId="127" fillId="0" borderId="8" xfId="0" applyNumberFormat="1" applyFont="1" applyBorder="1" applyAlignment="1">
      <alignment horizontal="center" vertical="center" wrapText="1"/>
    </xf>
    <xf numFmtId="0" fontId="126" fillId="25" borderId="76" xfId="0" applyFont="1" applyFill="1" applyBorder="1" applyAlignment="1">
      <alignment horizontal="center"/>
    </xf>
    <xf numFmtId="0" fontId="26" fillId="0" borderId="115" xfId="0" applyFont="1" applyBorder="1"/>
    <xf numFmtId="1" fontId="127" fillId="0" borderId="8" xfId="0" applyNumberFormat="1" applyFont="1" applyBorder="1" applyAlignment="1">
      <alignment horizontal="center" vertical="center" wrapText="1"/>
    </xf>
    <xf numFmtId="49" fontId="126" fillId="24" borderId="8" xfId="0" applyNumberFormat="1" applyFont="1" applyFill="1" applyBorder="1" applyAlignment="1">
      <alignment horizontal="right" vertical="center" wrapText="1"/>
    </xf>
    <xf numFmtId="0" fontId="126" fillId="0" borderId="9" xfId="0" applyFont="1" applyBorder="1" applyAlignment="1">
      <alignment horizontal="left" vertical="center" wrapText="1"/>
    </xf>
    <xf numFmtId="49" fontId="139" fillId="0" borderId="8" xfId="0" applyNumberFormat="1" applyFont="1" applyBorder="1" applyAlignment="1">
      <alignment horizontal="left" vertical="center" wrapText="1"/>
    </xf>
    <xf numFmtId="49" fontId="126" fillId="2" borderId="8" xfId="0" applyNumberFormat="1" applyFont="1" applyFill="1" applyBorder="1" applyAlignment="1">
      <alignment horizontal="left" vertical="center" wrapText="1"/>
    </xf>
    <xf numFmtId="4" fontId="126" fillId="0" borderId="8" xfId="0" applyNumberFormat="1" applyFont="1" applyBorder="1" applyAlignment="1">
      <alignment horizontal="center" vertical="center" wrapText="1"/>
    </xf>
    <xf numFmtId="0" fontId="126" fillId="0" borderId="97" xfId="0" applyFont="1" applyBorder="1" applyAlignment="1">
      <alignment horizontal="left" vertical="center" wrapText="1"/>
    </xf>
    <xf numFmtId="0" fontId="126" fillId="24" borderId="8" xfId="0" applyFont="1" applyFill="1" applyBorder="1" applyAlignment="1">
      <alignment horizontal="center" vertical="center" wrapText="1"/>
    </xf>
    <xf numFmtId="0" fontId="83" fillId="0" borderId="8" xfId="0" applyFont="1" applyBorder="1" applyAlignment="1">
      <alignment horizontal="left" vertical="center" wrapText="1"/>
    </xf>
    <xf numFmtId="0" fontId="126" fillId="25" borderId="8" xfId="0" applyFont="1" applyFill="1" applyBorder="1" applyAlignment="1">
      <alignment horizontal="right" vertical="center"/>
    </xf>
    <xf numFmtId="0" fontId="126" fillId="24" borderId="8" xfId="0" applyFont="1" applyFill="1" applyBorder="1" applyAlignment="1">
      <alignment horizontal="left" vertical="center" wrapText="1"/>
    </xf>
    <xf numFmtId="4" fontId="126" fillId="0" borderId="9" xfId="0" applyNumberFormat="1" applyFont="1" applyBorder="1" applyAlignment="1">
      <alignment horizontal="center" vertical="center" wrapText="1"/>
    </xf>
    <xf numFmtId="0" fontId="126" fillId="0" borderId="8" xfId="0" applyFont="1" applyBorder="1" applyAlignment="1">
      <alignment wrapText="1"/>
    </xf>
    <xf numFmtId="0" fontId="126" fillId="24" borderId="8" xfId="0" applyFont="1" applyFill="1" applyBorder="1" applyAlignment="1">
      <alignment horizontal="right" vertical="center"/>
    </xf>
    <xf numFmtId="4" fontId="127" fillId="24" borderId="8" xfId="0" applyNumberFormat="1" applyFont="1" applyFill="1" applyBorder="1" applyAlignment="1">
      <alignment horizontal="center" vertical="center"/>
    </xf>
    <xf numFmtId="0" fontId="126" fillId="25" borderId="113" xfId="0" applyFont="1" applyFill="1" applyBorder="1" applyAlignment="1">
      <alignment horizontal="right" vertical="center"/>
    </xf>
    <xf numFmtId="0" fontId="26" fillId="0" borderId="79" xfId="0" applyFont="1" applyBorder="1"/>
    <xf numFmtId="0" fontId="26" fillId="0" borderId="114" xfId="0" applyFont="1" applyBorder="1"/>
    <xf numFmtId="0" fontId="122" fillId="24" borderId="8" xfId="0" applyFont="1" applyFill="1" applyBorder="1" applyAlignment="1">
      <alignment horizontal="right" vertical="center"/>
    </xf>
    <xf numFmtId="0" fontId="122" fillId="25" borderId="8" xfId="0" applyFont="1" applyFill="1" applyBorder="1" applyAlignment="1">
      <alignment horizontal="right" vertical="center"/>
    </xf>
    <xf numFmtId="0" fontId="122" fillId="0" borderId="8" xfId="0" applyFont="1" applyBorder="1" applyAlignment="1">
      <alignment horizontal="left" vertical="center"/>
    </xf>
    <xf numFmtId="0" fontId="122" fillId="24" borderId="8" xfId="0" applyFont="1" applyFill="1" applyBorder="1" applyAlignment="1">
      <alignment horizontal="center" vertical="center"/>
    </xf>
    <xf numFmtId="0" fontId="126" fillId="18" borderId="8" xfId="0" applyFont="1" applyFill="1" applyBorder="1" applyAlignment="1">
      <alignment horizontal="left" vertical="center" wrapText="1"/>
    </xf>
    <xf numFmtId="0" fontId="1" fillId="0" borderId="8" xfId="0" applyFont="1" applyBorder="1" applyAlignment="1">
      <alignment horizontal="left" vertical="center" wrapText="1"/>
    </xf>
    <xf numFmtId="0" fontId="127" fillId="0" borderId="8" xfId="0" applyFont="1" applyBorder="1" applyAlignment="1">
      <alignment horizontal="right" vertical="center" wrapText="1"/>
    </xf>
    <xf numFmtId="0" fontId="127" fillId="0" borderId="97" xfId="0" applyFont="1" applyBorder="1" applyAlignment="1">
      <alignment horizontal="center" vertical="center"/>
    </xf>
    <xf numFmtId="0" fontId="26" fillId="0" borderId="97" xfId="0" applyFont="1" applyBorder="1"/>
    <xf numFmtId="0" fontId="26" fillId="0" borderId="100" xfId="0" applyFont="1" applyBorder="1"/>
    <xf numFmtId="0" fontId="127" fillId="0" borderId="0" xfId="0" applyFont="1" applyAlignment="1">
      <alignment horizontal="left" vertical="center"/>
    </xf>
    <xf numFmtId="0" fontId="127" fillId="0" borderId="0" xfId="0" applyFont="1" applyAlignment="1">
      <alignment horizontal="center" vertical="center"/>
    </xf>
    <xf numFmtId="0" fontId="127" fillId="0" borderId="68" xfId="0" applyFont="1" applyBorder="1" applyAlignment="1">
      <alignment horizontal="left" vertical="center"/>
    </xf>
    <xf numFmtId="0" fontId="145" fillId="25" borderId="8" xfId="0" applyFont="1" applyFill="1" applyBorder="1" applyAlignment="1">
      <alignment vertical="center"/>
    </xf>
    <xf numFmtId="0" fontId="122" fillId="0" borderId="8" xfId="0" applyFont="1" applyBorder="1" applyAlignment="1">
      <alignment horizontal="left" vertical="center" wrapText="1"/>
    </xf>
    <xf numFmtId="0" fontId="126" fillId="0" borderId="8" xfId="0" applyFont="1" applyBorder="1" applyAlignment="1">
      <alignment horizontal="left" vertical="center"/>
    </xf>
    <xf numFmtId="0" fontId="139" fillId="0" borderId="8" xfId="0" applyFont="1" applyBorder="1" applyAlignment="1">
      <alignment horizontal="left" vertical="center" wrapText="1"/>
    </xf>
    <xf numFmtId="0" fontId="121" fillId="0" borderId="8" xfId="0" applyFont="1" applyBorder="1" applyAlignment="1">
      <alignment horizontal="left" vertical="center" wrapText="1"/>
    </xf>
    <xf numFmtId="0" fontId="122" fillId="24" borderId="8" xfId="0" applyFont="1" applyFill="1" applyBorder="1" applyAlignment="1">
      <alignment horizontal="left" vertical="center"/>
    </xf>
    <xf numFmtId="0" fontId="122" fillId="0" borderId="8" xfId="0" applyFont="1" applyBorder="1" applyAlignment="1">
      <alignment horizontal="center" vertical="center"/>
    </xf>
    <xf numFmtId="10" fontId="140" fillId="0" borderId="8" xfId="0" applyNumberFormat="1" applyFont="1" applyBorder="1" applyAlignment="1">
      <alignment horizontal="left" vertical="center" wrapText="1"/>
    </xf>
    <xf numFmtId="0" fontId="121" fillId="25" borderId="8" xfId="0" applyFont="1" applyFill="1" applyBorder="1" applyAlignment="1">
      <alignment horizontal="left" vertical="center" wrapText="1"/>
    </xf>
    <xf numFmtId="0" fontId="126" fillId="25" borderId="8" xfId="0" applyFont="1" applyFill="1" applyBorder="1" applyAlignment="1">
      <alignment horizontal="right" vertical="center" wrapText="1"/>
    </xf>
    <xf numFmtId="0" fontId="126" fillId="25" borderId="8" xfId="0" applyFont="1" applyFill="1" applyBorder="1" applyAlignment="1">
      <alignment horizontal="center" vertical="center" wrapText="1"/>
    </xf>
    <xf numFmtId="10" fontId="83" fillId="0" borderId="9" xfId="0" applyNumberFormat="1" applyFont="1" applyBorder="1" applyAlignment="1">
      <alignment horizontal="left" vertical="center" wrapText="1"/>
    </xf>
    <xf numFmtId="4" fontId="122" fillId="0" borderId="9" xfId="0" applyNumberFormat="1" applyFont="1" applyBorder="1" applyAlignment="1">
      <alignment vertical="center" wrapText="1"/>
    </xf>
    <xf numFmtId="0" fontId="126" fillId="0" borderId="68" xfId="0" applyFont="1" applyBorder="1" applyAlignment="1">
      <alignment wrapText="1"/>
    </xf>
    <xf numFmtId="0" fontId="126" fillId="0" borderId="0" xfId="0" applyFont="1" applyAlignment="1">
      <alignment wrapText="1"/>
    </xf>
    <xf numFmtId="0" fontId="126" fillId="25" borderId="8" xfId="0" applyFont="1" applyFill="1" applyBorder="1" applyAlignment="1">
      <alignment horizontal="center" vertical="center"/>
    </xf>
    <xf numFmtId="0" fontId="126" fillId="25" borderId="8" xfId="0" applyFont="1" applyFill="1" applyBorder="1" applyAlignment="1">
      <alignment horizontal="left" wrapText="1"/>
    </xf>
    <xf numFmtId="0" fontId="126" fillId="0" borderId="8" xfId="0" applyFont="1" applyBorder="1" applyAlignment="1">
      <alignment vertical="center" wrapText="1"/>
    </xf>
    <xf numFmtId="0" fontId="127" fillId="0" borderId="8" xfId="0" applyFont="1" applyBorder="1" applyAlignment="1">
      <alignment horizontal="left" vertical="center" wrapText="1"/>
    </xf>
    <xf numFmtId="4" fontId="139" fillId="0" borderId="8" xfId="0" applyNumberFormat="1" applyFont="1" applyBorder="1" applyAlignment="1">
      <alignment horizontal="right" vertical="center" wrapText="1"/>
    </xf>
    <xf numFmtId="4" fontId="139" fillId="0" borderId="98" xfId="0" applyNumberFormat="1" applyFont="1" applyBorder="1" applyAlignment="1">
      <alignment horizontal="right" vertical="center" wrapText="1"/>
    </xf>
    <xf numFmtId="0" fontId="26" fillId="0" borderId="105" xfId="0" applyFont="1" applyBorder="1"/>
    <xf numFmtId="0" fontId="127" fillId="0" borderId="98" xfId="0" applyFont="1" applyBorder="1" applyAlignment="1">
      <alignment horizontal="left" vertical="center" wrapText="1"/>
    </xf>
    <xf numFmtId="0" fontId="26" fillId="0" borderId="12" xfId="0" applyFont="1" applyBorder="1"/>
    <xf numFmtId="0" fontId="120" fillId="0" borderId="109" xfId="0" applyFont="1" applyBorder="1" applyAlignment="1">
      <alignment horizontal="left" vertical="center"/>
    </xf>
    <xf numFmtId="0" fontId="26" fillId="0" borderId="110" xfId="0" applyFont="1" applyBorder="1"/>
    <xf numFmtId="0" fontId="26" fillId="0" borderId="111" xfId="0" applyFont="1" applyBorder="1"/>
    <xf numFmtId="3" fontId="120" fillId="0" borderId="109" xfId="0" applyNumberFormat="1" applyFont="1" applyBorder="1" applyAlignment="1">
      <alignment horizontal="center" vertical="center" wrapText="1"/>
    </xf>
    <xf numFmtId="0" fontId="26" fillId="0" borderId="107" xfId="0" applyFont="1" applyBorder="1"/>
    <xf numFmtId="0" fontId="127" fillId="0" borderId="100" xfId="0" applyFont="1" applyBorder="1" applyAlignment="1">
      <alignment horizontal="left" vertical="center"/>
    </xf>
    <xf numFmtId="4" fontId="127" fillId="0" borderId="100" xfId="0" applyNumberFormat="1" applyFont="1" applyBorder="1" applyAlignment="1">
      <alignment horizontal="right" vertical="center" wrapText="1"/>
    </xf>
    <xf numFmtId="10" fontId="83" fillId="0" borderId="8" xfId="0" applyNumberFormat="1" applyFont="1" applyBorder="1" applyAlignment="1">
      <alignment horizontal="center" vertical="center" wrapText="1"/>
    </xf>
    <xf numFmtId="4" fontId="122" fillId="0" borderId="8" xfId="0" applyNumberFormat="1" applyFont="1" applyBorder="1" applyAlignment="1">
      <alignment horizontal="right" vertical="center" wrapText="1"/>
    </xf>
    <xf numFmtId="0" fontId="126" fillId="0" borderId="8" xfId="0" applyFont="1" applyBorder="1" applyAlignment="1">
      <alignment horizontal="center" vertical="center" wrapText="1"/>
    </xf>
    <xf numFmtId="0" fontId="136" fillId="14" borderId="8" xfId="0" applyFont="1" applyFill="1" applyBorder="1" applyAlignment="1">
      <alignment horizontal="left" vertical="center" wrapText="1"/>
    </xf>
    <xf numFmtId="0" fontId="136" fillId="14" borderId="8" xfId="0" applyFont="1" applyFill="1" applyBorder="1" applyAlignment="1">
      <alignment horizontal="center" vertical="center" wrapText="1"/>
    </xf>
    <xf numFmtId="1" fontId="136" fillId="14" borderId="8" xfId="0" applyNumberFormat="1" applyFont="1" applyFill="1" applyBorder="1" applyAlignment="1">
      <alignment horizontal="center" vertical="center" wrapText="1"/>
    </xf>
    <xf numFmtId="0" fontId="126" fillId="0" borderId="100" xfId="0" applyFont="1" applyBorder="1" applyAlignment="1">
      <alignment horizontal="left" vertical="center" wrapText="1"/>
    </xf>
    <xf numFmtId="14" fontId="139" fillId="0" borderId="8" xfId="0" applyNumberFormat="1" applyFont="1" applyBorder="1" applyAlignment="1">
      <alignment horizontal="right" vertical="center" wrapText="1"/>
    </xf>
    <xf numFmtId="0" fontId="135" fillId="0" borderId="98" xfId="0" applyFont="1" applyBorder="1" applyAlignment="1">
      <alignment horizontal="center" vertical="center" wrapText="1"/>
    </xf>
    <xf numFmtId="0" fontId="126" fillId="0" borderId="100" xfId="0" applyFont="1" applyBorder="1" applyAlignment="1">
      <alignment horizontal="center" vertical="center" wrapText="1"/>
    </xf>
    <xf numFmtId="0" fontId="127" fillId="0" borderId="100" xfId="0" applyFont="1" applyBorder="1" applyAlignment="1">
      <alignment horizontal="center" vertical="center" wrapText="1"/>
    </xf>
    <xf numFmtId="0" fontId="127" fillId="0" borderId="8" xfId="0" applyFont="1" applyBorder="1" applyAlignment="1">
      <alignment horizontal="center" vertical="center" wrapText="1"/>
    </xf>
    <xf numFmtId="164" fontId="126" fillId="0" borderId="8" xfId="0" applyNumberFormat="1" applyFont="1" applyBorder="1" applyAlignment="1">
      <alignment horizontal="left" vertical="center" wrapText="1"/>
    </xf>
    <xf numFmtId="14" fontId="127" fillId="0" borderId="8" xfId="0" applyNumberFormat="1" applyFont="1" applyBorder="1" applyAlignment="1">
      <alignment horizontal="center" vertical="center" wrapText="1"/>
    </xf>
    <xf numFmtId="1" fontId="127" fillId="24" borderId="8" xfId="0" applyNumberFormat="1" applyFont="1" applyFill="1" applyBorder="1" applyAlignment="1">
      <alignment horizontal="center" vertical="center" wrapText="1"/>
    </xf>
    <xf numFmtId="0" fontId="127" fillId="24" borderId="8" xfId="0" applyFont="1" applyFill="1" applyBorder="1" applyAlignment="1">
      <alignment horizontal="right" vertical="center" wrapText="1"/>
    </xf>
    <xf numFmtId="0" fontId="126" fillId="0" borderId="8" xfId="0" applyFont="1" applyBorder="1" applyAlignment="1">
      <alignment horizontal="left" wrapText="1"/>
    </xf>
    <xf numFmtId="0" fontId="122" fillId="0" borderId="98" xfId="0" applyFont="1" applyBorder="1" applyAlignment="1">
      <alignment horizontal="left" vertical="center" wrapText="1"/>
    </xf>
    <xf numFmtId="173" fontId="127" fillId="11" borderId="8" xfId="0" applyNumberFormat="1" applyFont="1" applyFill="1" applyBorder="1" applyAlignment="1">
      <alignment horizontal="center" vertical="center" wrapText="1"/>
    </xf>
    <xf numFmtId="0" fontId="126" fillId="0" borderId="20" xfId="0" applyFont="1" applyBorder="1" applyAlignment="1">
      <alignment horizontal="left" vertical="center" wrapText="1"/>
    </xf>
    <xf numFmtId="172" fontId="139" fillId="0" borderId="9" xfId="0" applyNumberFormat="1" applyFont="1" applyBorder="1" applyAlignment="1">
      <alignment horizontal="right" vertical="center"/>
    </xf>
    <xf numFmtId="14" fontId="127" fillId="11" borderId="8" xfId="0" applyNumberFormat="1" applyFont="1" applyFill="1" applyBorder="1" applyAlignment="1">
      <alignment horizontal="center" vertical="center" wrapText="1"/>
    </xf>
    <xf numFmtId="0" fontId="122" fillId="24" borderId="8" xfId="0" applyFont="1" applyFill="1" applyBorder="1" applyAlignment="1">
      <alignment horizontal="right" vertical="center" wrapText="1"/>
    </xf>
    <xf numFmtId="0" fontId="142" fillId="25" borderId="8" xfId="0" applyFont="1" applyFill="1" applyBorder="1" applyAlignment="1">
      <alignment horizontal="center" vertical="center" wrapText="1"/>
    </xf>
    <xf numFmtId="0" fontId="126" fillId="24" borderId="8" xfId="0" applyFont="1" applyFill="1" applyBorder="1" applyAlignment="1">
      <alignment horizontal="center" vertical="center"/>
    </xf>
    <xf numFmtId="0" fontId="144" fillId="25" borderId="8" xfId="0" applyFont="1" applyFill="1" applyBorder="1" applyAlignment="1">
      <alignment horizontal="left" vertical="center" wrapText="1"/>
    </xf>
    <xf numFmtId="0" fontId="126" fillId="17" borderId="8" xfId="0" applyFont="1" applyFill="1" applyBorder="1" applyAlignment="1">
      <alignment horizontal="left" vertical="center" wrapText="1"/>
    </xf>
    <xf numFmtId="0" fontId="122" fillId="24" borderId="8" xfId="0" applyFont="1" applyFill="1" applyBorder="1" applyAlignment="1">
      <alignment horizontal="center" vertical="center" wrapText="1"/>
    </xf>
    <xf numFmtId="0" fontId="83" fillId="0" borderId="8" xfId="0" applyFont="1" applyBorder="1" applyAlignment="1">
      <alignment horizontal="left" vertical="center"/>
    </xf>
    <xf numFmtId="0" fontId="127" fillId="0" borderId="9" xfId="0" applyFont="1" applyBorder="1" applyAlignment="1">
      <alignment horizontal="left" vertical="center" wrapText="1"/>
    </xf>
    <xf numFmtId="4" fontId="139" fillId="0" borderId="9" xfId="0" applyNumberFormat="1" applyFont="1" applyBorder="1" applyAlignment="1">
      <alignment horizontal="right" vertical="center" wrapText="1"/>
    </xf>
    <xf numFmtId="0" fontId="127" fillId="0" borderId="100" xfId="0" applyFont="1" applyBorder="1" applyAlignment="1">
      <alignment horizontal="left" vertical="center" wrapText="1"/>
    </xf>
    <xf numFmtId="3" fontId="126" fillId="0" borderId="8" xfId="0" applyNumberFormat="1" applyFont="1" applyBorder="1" applyAlignment="1">
      <alignment horizontal="center" vertical="center" wrapText="1"/>
    </xf>
    <xf numFmtId="0" fontId="127" fillId="0" borderId="8" xfId="0" applyFont="1" applyBorder="1" applyAlignment="1">
      <alignment horizontal="left" vertical="center"/>
    </xf>
    <xf numFmtId="4" fontId="127" fillId="0" borderId="8" xfId="0" applyNumberFormat="1" applyFont="1" applyBorder="1" applyAlignment="1">
      <alignment horizontal="right" vertical="center" wrapText="1"/>
    </xf>
    <xf numFmtId="172" fontId="139" fillId="0" borderId="8" xfId="0" applyNumberFormat="1" applyFont="1" applyBorder="1" applyAlignment="1">
      <alignment horizontal="right" vertical="center"/>
    </xf>
    <xf numFmtId="0" fontId="126" fillId="2" borderId="113" xfId="0" applyFont="1" applyFill="1" applyBorder="1" applyAlignment="1">
      <alignment horizontal="right" vertical="center"/>
    </xf>
    <xf numFmtId="49" fontId="126" fillId="25" borderId="8" xfId="0" applyNumberFormat="1" applyFont="1" applyFill="1" applyBorder="1" applyAlignment="1">
      <alignment horizontal="left" vertical="center" wrapText="1"/>
    </xf>
    <xf numFmtId="4" fontId="81" fillId="0" borderId="8" xfId="0" applyNumberFormat="1" applyFont="1" applyBorder="1" applyAlignment="1">
      <alignment horizontal="center" vertical="center" wrapText="1"/>
    </xf>
    <xf numFmtId="4" fontId="150" fillId="24" borderId="8" xfId="0" applyNumberFormat="1" applyFont="1" applyFill="1" applyBorder="1" applyAlignment="1">
      <alignment horizontal="center" vertical="center"/>
    </xf>
    <xf numFmtId="0" fontId="81" fillId="0" borderId="8" xfId="0" applyFont="1" applyBorder="1" applyAlignment="1">
      <alignment horizontal="left" vertical="center" wrapText="1"/>
    </xf>
    <xf numFmtId="0" fontId="81" fillId="18" borderId="8" xfId="0" applyFont="1" applyFill="1" applyBorder="1" applyAlignment="1">
      <alignment horizontal="left" vertical="center" wrapText="1"/>
    </xf>
    <xf numFmtId="4" fontId="81" fillId="0" borderId="9" xfId="0" applyNumberFormat="1" applyFont="1" applyBorder="1" applyAlignment="1">
      <alignment horizontal="center" vertical="center" wrapText="1"/>
    </xf>
    <xf numFmtId="0" fontId="81" fillId="0" borderId="9" xfId="0" applyFont="1" applyBorder="1" applyAlignment="1">
      <alignment horizontal="left" vertical="center" wrapText="1"/>
    </xf>
    <xf numFmtId="49" fontId="81" fillId="24" borderId="8" xfId="0" applyNumberFormat="1" applyFont="1" applyFill="1" applyBorder="1" applyAlignment="1">
      <alignment horizontal="right" vertical="center" wrapText="1"/>
    </xf>
    <xf numFmtId="49" fontId="164" fillId="0" borderId="8" xfId="0" applyNumberFormat="1" applyFont="1" applyBorder="1" applyAlignment="1">
      <alignment horizontal="left" vertical="center" wrapText="1"/>
    </xf>
    <xf numFmtId="49" fontId="81" fillId="25" borderId="8" xfId="0" applyNumberFormat="1" applyFont="1" applyFill="1" applyBorder="1" applyAlignment="1">
      <alignment horizontal="left" vertical="center" wrapText="1"/>
    </xf>
    <xf numFmtId="0" fontId="81" fillId="24" borderId="8" xfId="0" applyFont="1" applyFill="1" applyBorder="1" applyAlignment="1">
      <alignment horizontal="center" vertical="center" wrapText="1"/>
    </xf>
    <xf numFmtId="0" fontId="81" fillId="25" borderId="8" xfId="0" applyFont="1" applyFill="1" applyBorder="1" applyAlignment="1">
      <alignment horizontal="right" vertical="center"/>
    </xf>
    <xf numFmtId="0" fontId="97" fillId="0" borderId="8" xfId="0" applyFont="1" applyBorder="1" applyAlignment="1">
      <alignment horizontal="left" vertical="center" wrapText="1"/>
    </xf>
    <xf numFmtId="0" fontId="97" fillId="24" borderId="8" xfId="0" applyFont="1" applyFill="1" applyBorder="1" applyAlignment="1">
      <alignment horizontal="right" vertical="center"/>
    </xf>
    <xf numFmtId="0" fontId="81" fillId="25" borderId="113" xfId="0" applyFont="1" applyFill="1" applyBorder="1" applyAlignment="1">
      <alignment horizontal="right" vertical="center"/>
    </xf>
    <xf numFmtId="0" fontId="146" fillId="0" borderId="100" xfId="0" applyFont="1" applyBorder="1" applyAlignment="1">
      <alignment horizontal="left" vertical="center" wrapText="1"/>
    </xf>
    <xf numFmtId="0" fontId="101" fillId="0" borderId="8" xfId="0" applyFont="1" applyBorder="1" applyAlignment="1">
      <alignment horizontal="left" vertical="center" wrapText="1"/>
    </xf>
    <xf numFmtId="172" fontId="117" fillId="0" borderId="8" xfId="0" applyNumberFormat="1" applyFont="1" applyBorder="1" applyAlignment="1">
      <alignment horizontal="center" vertical="center"/>
    </xf>
    <xf numFmtId="0" fontId="81" fillId="25" borderId="8" xfId="0" applyFont="1" applyFill="1" applyBorder="1" applyAlignment="1">
      <alignment horizontal="left" vertical="center" wrapText="1"/>
    </xf>
    <xf numFmtId="0" fontId="81" fillId="25" borderId="8" xfId="0" applyFont="1" applyFill="1" applyBorder="1" applyAlignment="1">
      <alignment horizontal="left"/>
    </xf>
    <xf numFmtId="172" fontId="117" fillId="0" borderId="8" xfId="0" applyNumberFormat="1" applyFont="1" applyBorder="1" applyAlignment="1">
      <alignment horizontal="center" vertical="center" wrapText="1"/>
    </xf>
    <xf numFmtId="0" fontId="101" fillId="25" borderId="76" xfId="0" applyFont="1" applyFill="1" applyBorder="1" applyAlignment="1">
      <alignment horizontal="center"/>
    </xf>
    <xf numFmtId="1" fontId="117" fillId="0" borderId="8" xfId="0" applyNumberFormat="1" applyFont="1" applyBorder="1" applyAlignment="1">
      <alignment horizontal="center" vertical="center" wrapText="1"/>
    </xf>
    <xf numFmtId="0" fontId="101" fillId="25" borderId="8" xfId="0" applyFont="1" applyFill="1" applyBorder="1" applyAlignment="1">
      <alignment horizontal="left" vertical="center" wrapText="1"/>
    </xf>
    <xf numFmtId="0" fontId="79" fillId="24" borderId="8" xfId="0" applyFont="1" applyFill="1" applyBorder="1" applyAlignment="1">
      <alignment horizontal="right" vertical="center"/>
    </xf>
    <xf numFmtId="0" fontId="79" fillId="25" borderId="8" xfId="0" applyFont="1" applyFill="1" applyBorder="1" applyAlignment="1">
      <alignment horizontal="right" vertical="center"/>
    </xf>
    <xf numFmtId="0" fontId="116" fillId="0" borderId="8" xfId="0" applyFont="1" applyBorder="1" applyAlignment="1">
      <alignment horizontal="left" vertical="center"/>
    </xf>
    <xf numFmtId="0" fontId="79" fillId="0" borderId="8" xfId="0" applyFont="1" applyBorder="1" applyAlignment="1">
      <alignment horizontal="left" vertical="center"/>
    </xf>
    <xf numFmtId="0" fontId="81" fillId="0" borderId="8" xfId="0" applyFont="1" applyBorder="1" applyAlignment="1">
      <alignment wrapText="1"/>
    </xf>
    <xf numFmtId="0" fontId="81" fillId="24" borderId="8" xfId="0" applyFont="1" applyFill="1" applyBorder="1" applyAlignment="1">
      <alignment horizontal="right" vertical="center"/>
    </xf>
    <xf numFmtId="0" fontId="80" fillId="0" borderId="8" xfId="0" applyFont="1" applyBorder="1" applyAlignment="1">
      <alignment horizontal="right" vertical="center" wrapText="1"/>
    </xf>
    <xf numFmtId="0" fontId="80" fillId="0" borderId="97" xfId="0" applyFont="1" applyBorder="1" applyAlignment="1">
      <alignment horizontal="center" vertical="center"/>
    </xf>
    <xf numFmtId="0" fontId="159" fillId="0" borderId="0" xfId="0" applyFont="1" applyAlignment="1">
      <alignment horizontal="left" vertical="center"/>
    </xf>
    <xf numFmtId="0" fontId="159" fillId="0" borderId="0" xfId="0" applyFont="1" applyAlignment="1">
      <alignment horizontal="center" vertical="center"/>
    </xf>
    <xf numFmtId="0" fontId="159" fillId="0" borderId="68" xfId="0" applyFont="1" applyBorder="1" applyAlignment="1">
      <alignment horizontal="left" vertical="center"/>
    </xf>
    <xf numFmtId="0" fontId="163" fillId="25" borderId="8" xfId="0" applyFont="1" applyFill="1" applyBorder="1" applyAlignment="1">
      <alignment vertical="center"/>
    </xf>
    <xf numFmtId="0" fontId="146" fillId="0" borderId="8" xfId="0" applyFont="1" applyBorder="1" applyAlignment="1">
      <alignment horizontal="left" vertical="center" wrapText="1"/>
    </xf>
    <xf numFmtId="0" fontId="81" fillId="0" borderId="8" xfId="0" applyFont="1" applyBorder="1" applyAlignment="1">
      <alignment horizontal="left" vertical="center"/>
    </xf>
    <xf numFmtId="0" fontId="153" fillId="0" borderId="8" xfId="0" applyFont="1" applyBorder="1" applyAlignment="1">
      <alignment horizontal="left" vertical="center" wrapText="1"/>
    </xf>
    <xf numFmtId="0" fontId="157" fillId="0" borderId="8" xfId="0" applyFont="1" applyBorder="1" applyAlignment="1">
      <alignment horizontal="left" vertical="center" wrapText="1"/>
    </xf>
    <xf numFmtId="0" fontId="79" fillId="0" borderId="8" xfId="0" applyFont="1" applyBorder="1" applyAlignment="1">
      <alignment horizontal="left" vertical="center" wrapText="1"/>
    </xf>
    <xf numFmtId="10" fontId="158" fillId="0" borderId="8" xfId="0" applyNumberFormat="1" applyFont="1" applyBorder="1" applyAlignment="1">
      <alignment horizontal="left" vertical="center" wrapText="1"/>
    </xf>
    <xf numFmtId="0" fontId="116" fillId="25" borderId="8" xfId="0" applyFont="1" applyFill="1" applyBorder="1" applyAlignment="1">
      <alignment horizontal="right" vertical="center"/>
    </xf>
    <xf numFmtId="0" fontId="157" fillId="25" borderId="8" xfId="0" applyFont="1" applyFill="1" applyBorder="1" applyAlignment="1">
      <alignment horizontal="left" vertical="center" wrapText="1"/>
    </xf>
    <xf numFmtId="0" fontId="81" fillId="25" borderId="8" xfId="0" applyFont="1" applyFill="1" applyBorder="1" applyAlignment="1">
      <alignment horizontal="right" vertical="center" wrapText="1"/>
    </xf>
    <xf numFmtId="0" fontId="81" fillId="25" borderId="8" xfId="0" applyFont="1" applyFill="1" applyBorder="1" applyAlignment="1">
      <alignment horizontal="center" vertical="center" wrapText="1"/>
    </xf>
    <xf numFmtId="0" fontId="101" fillId="24" borderId="8" xfId="0" applyFont="1" applyFill="1" applyBorder="1" applyAlignment="1">
      <alignment horizontal="left" vertical="center" wrapText="1"/>
    </xf>
    <xf numFmtId="0" fontId="129" fillId="0" borderId="8" xfId="0" applyFont="1" applyBorder="1" applyAlignment="1">
      <alignment horizontal="left" vertical="center" wrapText="1"/>
    </xf>
    <xf numFmtId="10" fontId="155" fillId="0" borderId="12" xfId="0" applyNumberFormat="1" applyFont="1" applyBorder="1" applyAlignment="1">
      <alignment horizontal="left" vertical="center" wrapText="1"/>
    </xf>
    <xf numFmtId="4" fontId="81" fillId="0" borderId="8" xfId="0" applyNumberFormat="1" applyFont="1" applyBorder="1" applyAlignment="1">
      <alignment horizontal="left" vertical="center" wrapText="1"/>
    </xf>
    <xf numFmtId="0" fontId="81" fillId="25" borderId="8" xfId="0" applyFont="1" applyFill="1" applyBorder="1" applyAlignment="1">
      <alignment horizontal="center" vertical="center"/>
    </xf>
    <xf numFmtId="0" fontId="81" fillId="25" borderId="8" xfId="0" applyFont="1" applyFill="1" applyBorder="1" applyAlignment="1">
      <alignment horizontal="left" wrapText="1"/>
    </xf>
    <xf numFmtId="0" fontId="97" fillId="0" borderId="8" xfId="0" applyFont="1" applyBorder="1" applyAlignment="1">
      <alignment vertical="center" wrapText="1"/>
    </xf>
    <xf numFmtId="10" fontId="155" fillId="0" borderId="9" xfId="0" applyNumberFormat="1" applyFont="1" applyBorder="1" applyAlignment="1">
      <alignment horizontal="left" vertical="center" wrapText="1"/>
    </xf>
    <xf numFmtId="0" fontId="80" fillId="0" borderId="8" xfId="0" applyFont="1" applyBorder="1" applyAlignment="1">
      <alignment horizontal="left" vertical="center" wrapText="1"/>
    </xf>
    <xf numFmtId="4" fontId="156" fillId="0" borderId="8" xfId="0" applyNumberFormat="1" applyFont="1" applyBorder="1" applyAlignment="1">
      <alignment horizontal="right" vertical="center" wrapText="1"/>
    </xf>
    <xf numFmtId="4" fontId="153" fillId="0" borderId="8" xfId="0" applyNumberFormat="1" applyFont="1" applyBorder="1" applyAlignment="1">
      <alignment horizontal="right" vertical="center" wrapText="1"/>
    </xf>
    <xf numFmtId="4" fontId="153" fillId="0" borderId="98" xfId="0" applyNumberFormat="1" applyFont="1" applyBorder="1" applyAlignment="1">
      <alignment horizontal="right" vertical="center" wrapText="1"/>
    </xf>
    <xf numFmtId="0" fontId="80" fillId="0" borderId="98" xfId="0" applyFont="1" applyBorder="1" applyAlignment="1">
      <alignment horizontal="left" vertical="center" wrapText="1"/>
    </xf>
    <xf numFmtId="0" fontId="81" fillId="0" borderId="20" xfId="0" applyFont="1" applyBorder="1" applyAlignment="1">
      <alignment horizontal="left" vertical="center"/>
    </xf>
    <xf numFmtId="0" fontId="26" fillId="0" borderId="116" xfId="0" applyFont="1" applyBorder="1"/>
    <xf numFmtId="3" fontId="81" fillId="0" borderId="117" xfId="0" applyNumberFormat="1" applyFont="1" applyBorder="1" applyAlignment="1">
      <alignment horizontal="center" wrapText="1"/>
    </xf>
    <xf numFmtId="0" fontId="80" fillId="0" borderId="100" xfId="0" applyFont="1" applyBorder="1" applyAlignment="1">
      <alignment horizontal="left" vertical="center"/>
    </xf>
    <xf numFmtId="4" fontId="80" fillId="0" borderId="100" xfId="0" applyNumberFormat="1" applyFont="1" applyBorder="1" applyAlignment="1">
      <alignment horizontal="right" vertical="center" wrapText="1"/>
    </xf>
    <xf numFmtId="10" fontId="155" fillId="0" borderId="8" xfId="0" applyNumberFormat="1" applyFont="1" applyBorder="1" applyAlignment="1">
      <alignment horizontal="center" vertical="center" wrapText="1"/>
    </xf>
    <xf numFmtId="1" fontId="80" fillId="0" borderId="8" xfId="0" applyNumberFormat="1" applyFont="1" applyBorder="1" applyAlignment="1">
      <alignment horizontal="center" vertical="center" wrapText="1"/>
    </xf>
    <xf numFmtId="0" fontId="148" fillId="14" borderId="8" xfId="0" applyFont="1" applyFill="1" applyBorder="1" applyAlignment="1">
      <alignment horizontal="left" vertical="center" wrapText="1"/>
    </xf>
    <xf numFmtId="0" fontId="148" fillId="14" borderId="8" xfId="0" applyFont="1" applyFill="1" applyBorder="1" applyAlignment="1">
      <alignment horizontal="center" vertical="center" wrapText="1"/>
    </xf>
    <xf numFmtId="1" fontId="148" fillId="14" borderId="8" xfId="0" applyNumberFormat="1" applyFont="1" applyFill="1" applyBorder="1" applyAlignment="1">
      <alignment horizontal="center" vertical="center" wrapText="1"/>
    </xf>
    <xf numFmtId="14" fontId="154" fillId="0" borderId="8" xfId="0" applyNumberFormat="1" applyFont="1" applyBorder="1" applyAlignment="1">
      <alignment horizontal="right" vertical="center" wrapText="1"/>
    </xf>
    <xf numFmtId="0" fontId="147" fillId="0" borderId="98" xfId="0" applyFont="1" applyBorder="1" applyAlignment="1">
      <alignment horizontal="center" vertical="center" wrapText="1"/>
    </xf>
    <xf numFmtId="0" fontId="88" fillId="0" borderId="100" xfId="0" applyFont="1" applyBorder="1" applyAlignment="1">
      <alignment horizontal="center" vertical="center" wrapText="1"/>
    </xf>
    <xf numFmtId="0" fontId="81" fillId="0" borderId="100" xfId="0" applyFont="1" applyBorder="1" applyAlignment="1">
      <alignment horizontal="left" vertical="center" wrapText="1"/>
    </xf>
    <xf numFmtId="0" fontId="80" fillId="0" borderId="100" xfId="0" applyFont="1" applyBorder="1" applyAlignment="1">
      <alignment horizontal="center" vertical="center" wrapText="1"/>
    </xf>
    <xf numFmtId="0" fontId="80" fillId="0" borderId="8" xfId="0" applyFont="1" applyBorder="1" applyAlignment="1">
      <alignment horizontal="center" vertical="center" wrapText="1"/>
    </xf>
    <xf numFmtId="164" fontId="81" fillId="0" borderId="8" xfId="0" applyNumberFormat="1" applyFont="1" applyBorder="1" applyAlignment="1">
      <alignment horizontal="left" vertical="center" wrapText="1"/>
    </xf>
    <xf numFmtId="14" fontId="80" fillId="0" borderId="8" xfId="0" applyNumberFormat="1" applyFont="1" applyBorder="1" applyAlignment="1">
      <alignment horizontal="center" vertical="center" wrapText="1"/>
    </xf>
    <xf numFmtId="0" fontId="97" fillId="0" borderId="8" xfId="0" applyFont="1" applyBorder="1" applyAlignment="1">
      <alignment horizontal="left" vertical="center"/>
    </xf>
    <xf numFmtId="1" fontId="80" fillId="24" borderId="8" xfId="0" applyNumberFormat="1" applyFont="1" applyFill="1" applyBorder="1" applyAlignment="1">
      <alignment horizontal="center" vertical="center" wrapText="1"/>
    </xf>
    <xf numFmtId="0" fontId="80" fillId="24" borderId="8" xfId="0" applyFont="1" applyFill="1" applyBorder="1" applyAlignment="1">
      <alignment horizontal="right" vertical="center" wrapText="1"/>
    </xf>
    <xf numFmtId="0" fontId="149" fillId="0" borderId="8" xfId="0" applyFont="1" applyBorder="1" applyAlignment="1">
      <alignment horizontal="left" wrapText="1"/>
    </xf>
    <xf numFmtId="172" fontId="80" fillId="0" borderId="8" xfId="0" applyNumberFormat="1" applyFont="1" applyBorder="1" applyAlignment="1">
      <alignment horizontal="center" vertical="center" wrapText="1"/>
    </xf>
    <xf numFmtId="172" fontId="150" fillId="11" borderId="8" xfId="0" applyNumberFormat="1" applyFont="1" applyFill="1" applyBorder="1" applyAlignment="1">
      <alignment horizontal="center" vertical="center" wrapText="1"/>
    </xf>
    <xf numFmtId="0" fontId="81" fillId="0" borderId="20" xfId="0" applyFont="1" applyBorder="1" applyAlignment="1">
      <alignment horizontal="left" vertical="center" wrapText="1"/>
    </xf>
    <xf numFmtId="172" fontId="153" fillId="0" borderId="8" xfId="0" applyNumberFormat="1" applyFont="1" applyBorder="1" applyAlignment="1">
      <alignment horizontal="right" vertical="center"/>
    </xf>
    <xf numFmtId="14" fontId="150" fillId="11" borderId="8" xfId="0" applyNumberFormat="1" applyFont="1" applyFill="1" applyBorder="1" applyAlignment="1">
      <alignment horizontal="center" vertical="center" wrapText="1"/>
    </xf>
    <xf numFmtId="0" fontId="79" fillId="24" borderId="8" xfId="0" applyFont="1" applyFill="1" applyBorder="1" applyAlignment="1">
      <alignment horizontal="right" vertical="center" wrapText="1"/>
    </xf>
    <xf numFmtId="0" fontId="160" fillId="25" borderId="8" xfId="0" applyFont="1" applyFill="1" applyBorder="1" applyAlignment="1">
      <alignment horizontal="center" vertical="center" wrapText="1"/>
    </xf>
    <xf numFmtId="0" fontId="162" fillId="25" borderId="8" xfId="0" applyFont="1" applyFill="1" applyBorder="1" applyAlignment="1">
      <alignment horizontal="left" vertical="center" wrapText="1"/>
    </xf>
    <xf numFmtId="0" fontId="81" fillId="17" borderId="8" xfId="0" applyFont="1" applyFill="1" applyBorder="1" applyAlignment="1">
      <alignment horizontal="left" vertical="center" wrapText="1"/>
    </xf>
    <xf numFmtId="0" fontId="116" fillId="0" borderId="8" xfId="0" applyFont="1" applyBorder="1" applyAlignment="1">
      <alignment horizontal="left" vertical="center" wrapText="1"/>
    </xf>
    <xf numFmtId="0" fontId="159" fillId="0" borderId="8" xfId="0" applyFont="1" applyBorder="1" applyAlignment="1">
      <alignment horizontal="left" vertical="center" wrapText="1"/>
    </xf>
    <xf numFmtId="0" fontId="101" fillId="25" borderId="8" xfId="0" applyFont="1" applyFill="1" applyBorder="1" applyAlignment="1">
      <alignment horizontal="center" vertical="center"/>
    </xf>
    <xf numFmtId="0" fontId="146" fillId="0" borderId="8" xfId="0" applyFont="1" applyBorder="1" applyAlignment="1">
      <alignment horizontal="left" vertical="center"/>
    </xf>
    <xf numFmtId="0" fontId="80" fillId="0" borderId="8" xfId="0" applyFont="1" applyBorder="1" applyAlignment="1">
      <alignment horizontal="left" vertical="center"/>
    </xf>
    <xf numFmtId="4" fontId="80" fillId="0" borderId="8" xfId="0" applyNumberFormat="1" applyFont="1" applyBorder="1" applyAlignment="1">
      <alignment horizontal="right" vertical="center" wrapText="1"/>
    </xf>
    <xf numFmtId="0" fontId="165" fillId="20" borderId="4" xfId="0" applyFont="1" applyFill="1" applyBorder="1" applyAlignment="1">
      <alignment horizontal="center" vertical="center"/>
    </xf>
    <xf numFmtId="0" fontId="167" fillId="0" borderId="8" xfId="0" applyFont="1" applyBorder="1" applyAlignment="1">
      <alignment horizontal="center" vertical="center"/>
    </xf>
    <xf numFmtId="0" fontId="81" fillId="2" borderId="8" xfId="0" applyFont="1" applyFill="1" applyBorder="1" applyAlignment="1">
      <alignment horizontal="left" vertical="center" wrapText="1"/>
    </xf>
    <xf numFmtId="3" fontId="80" fillId="0" borderId="8" xfId="0" applyNumberFormat="1" applyFont="1" applyBorder="1" applyAlignment="1">
      <alignment horizontal="center" wrapText="1"/>
    </xf>
    <xf numFmtId="4" fontId="153" fillId="0" borderId="8" xfId="0" applyNumberFormat="1" applyFont="1" applyBorder="1" applyAlignment="1">
      <alignment horizontal="right" vertical="center"/>
    </xf>
    <xf numFmtId="0" fontId="79" fillId="0" borderId="9" xfId="0" applyFont="1" applyBorder="1" applyAlignment="1">
      <alignment horizontal="left" vertical="center" wrapText="1"/>
    </xf>
  </cellXfs>
  <cellStyles count="1">
    <cellStyle name="Normal" xfId="0" builtinId="0"/>
  </cellStyles>
  <dxfs count="218">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b/>
        <color theme="1"/>
      </font>
      <fill>
        <patternFill patternType="solid">
          <fgColor rgb="FFD6E3BC"/>
          <bgColor rgb="FFD6E3BC"/>
        </patternFill>
      </fill>
    </dxf>
    <dxf>
      <font>
        <b/>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rgb="FF000000"/>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ont>
        <b/>
        <color rgb="FF999999"/>
      </font>
      <fill>
        <patternFill patternType="solid">
          <fgColor theme="0"/>
          <bgColor theme="0"/>
        </patternFill>
      </fill>
    </dxf>
    <dxf>
      <fill>
        <patternFill patternType="solid">
          <fgColor rgb="FFD6E3BC"/>
          <bgColor rgb="FFD6E3BC"/>
        </patternFill>
      </fill>
    </dxf>
    <dxf>
      <font>
        <b/>
      </font>
      <fill>
        <patternFill patternType="solid">
          <fgColor rgb="FFD6E3BC"/>
          <bgColor rgb="FFD6E3B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color rgb="FFD6E3BC"/>
      </font>
      <fill>
        <patternFill patternType="solid">
          <fgColor rgb="FFD6E3BC"/>
          <bgColor rgb="FFD6E3B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b/>
        <color rgb="FFD6E3BC"/>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ill>
        <patternFill patternType="solid">
          <fgColor rgb="FFD6E3BC"/>
          <bgColor rgb="FFD6E3BC"/>
        </patternFill>
      </fill>
    </dxf>
    <dxf>
      <font>
        <b/>
      </font>
      <fill>
        <patternFill patternType="solid">
          <fgColor rgb="FFD6E3BC"/>
          <bgColor rgb="FFD6E3B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none"/>
      </fill>
    </dxf>
    <dxf>
      <font>
        <color theme="0"/>
      </font>
      <fill>
        <patternFill patternType="solid">
          <fgColor theme="0"/>
          <bgColor theme="0"/>
        </patternFill>
      </fill>
    </dxf>
    <dxf>
      <font>
        <color rgb="FFFFFFFF"/>
      </font>
      <fill>
        <patternFill patternType="solid">
          <fgColor rgb="FFFFFFFF"/>
          <bgColor rgb="FFFFFFFF"/>
        </patternFill>
      </fill>
    </dxf>
    <dxf>
      <font>
        <color rgb="FF9C0006"/>
      </font>
      <fill>
        <patternFill patternType="solid">
          <fgColor rgb="FFFFC7CE"/>
          <bgColor rgb="FFFFC7CE"/>
        </patternFill>
      </fill>
    </dxf>
    <dxf>
      <font>
        <color rgb="FFFFFFFF"/>
      </font>
      <fill>
        <patternFill patternType="solid">
          <fgColor rgb="FFFFFFFF"/>
          <bgColor rgb="FFFFFFFF"/>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Insumos_Base-style" pivot="0" count="3">
      <tableStyleElement type="headerRow" dxfId="217"/>
      <tableStyleElement type="firstRowStripe" dxfId="216"/>
      <tableStyleElement type="secondRowStripe" dxfId="215"/>
    </tableStyle>
  </tableStyles>
  <extLst>
    <ext xmlns:x14="http://schemas.microsoft.com/office/spreadsheetml/2009/9/main" uri="{EB79DEF2-80B8-43e5-95BD-54CBDDF9020C}">
      <x14:slicerStyles defaultSlicerStyl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customschemas.google.com/relationships/workbookmetadata" Target="metadata"/><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28575</xdr:rowOff>
    </xdr:from>
    <xdr:ext cx="2324100" cy="295275"/>
    <xdr:sp macro="" textlink="">
      <xdr:nvSpPr>
        <xdr:cNvPr id="3" name="Shape 3"/>
        <xdr:cNvSpPr/>
      </xdr:nvSpPr>
      <xdr:spPr>
        <a:xfrm>
          <a:off x="4188713" y="3637125"/>
          <a:ext cx="2314575" cy="285750"/>
        </a:xfrm>
        <a:prstGeom prst="roundRect">
          <a:avLst>
            <a:gd name="adj" fmla="val 16667"/>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600"/>
            <a:buFont typeface="Arial"/>
            <a:buNone/>
          </a:pPr>
          <a:r>
            <a:rPr lang="en-US" sz="1600" b="1"/>
            <a:t>Reexibir Tudo</a:t>
          </a:r>
          <a:endParaRPr sz="1600" b="1"/>
        </a:p>
      </xdr:txBody>
    </xdr:sp>
    <xdr:clientData fLocksWithSheet="0"/>
  </xdr:oneCellAnchor>
  <xdr:oneCellAnchor>
    <xdr:from>
      <xdr:col>1</xdr:col>
      <xdr:colOff>57150</xdr:colOff>
      <xdr:row>1</xdr:row>
      <xdr:rowOff>419100</xdr:rowOff>
    </xdr:from>
    <xdr:ext cx="885825" cy="295275"/>
    <xdr:sp macro="" textlink="">
      <xdr:nvSpPr>
        <xdr:cNvPr id="4" name="Shape 4"/>
        <xdr:cNvSpPr txBox="1"/>
      </xdr:nvSpPr>
      <xdr:spPr>
        <a:xfrm>
          <a:off x="4907850" y="3637125"/>
          <a:ext cx="876300" cy="285750"/>
        </a:xfrm>
        <a:prstGeom prst="rect">
          <a:avLst/>
        </a:prstGeom>
        <a:solidFill>
          <a:srgbClr val="9FC5E8"/>
        </a:solidFill>
        <a:ln w="9525" cap="flat" cmpd="sng">
          <a:solidFill>
            <a:srgbClr val="00FF00"/>
          </a:solidFill>
          <a:prstDash val="solid"/>
          <a:round/>
          <a:headEnd type="none" w="sm" len="sm"/>
          <a:tailEnd type="none" w="sm" len="sm"/>
        </a:ln>
      </xdr:spPr>
      <xdr:txBody>
        <a:bodyPr spcFirstLastPara="1" wrap="square" lIns="91425" tIns="91425" rIns="91425" bIns="91425" anchor="t" anchorCtr="0">
          <a:spAutoFit/>
        </a:bodyPr>
        <a:lstStyle/>
        <a:p>
          <a:pPr marL="0" lvl="0" indent="0" algn="l" rtl="0">
            <a:spcBef>
              <a:spcPts val="0"/>
            </a:spcBef>
            <a:spcAft>
              <a:spcPts val="0"/>
            </a:spcAft>
            <a:buSzPts val="1400"/>
            <a:buFont typeface="Arial"/>
            <a:buNone/>
          </a:pPr>
          <a:r>
            <a:rPr lang="en-US" sz="1400"/>
            <a:t>C C T</a:t>
          </a:r>
          <a:endParaRPr sz="1400"/>
        </a:p>
      </xdr:txBody>
    </xdr:sp>
    <xdr:clientData fLocksWithSheet="0"/>
  </xdr:oneCellAnchor>
  <xdr:oneCellAnchor>
    <xdr:from>
      <xdr:col>2</xdr:col>
      <xdr:colOff>266700</xdr:colOff>
      <xdr:row>1</xdr:row>
      <xdr:rowOff>428625</xdr:rowOff>
    </xdr:from>
    <xdr:ext cx="1019175" cy="295275"/>
    <xdr:sp macro="" textlink="">
      <xdr:nvSpPr>
        <xdr:cNvPr id="5" name="Shape 5"/>
        <xdr:cNvSpPr/>
      </xdr:nvSpPr>
      <xdr:spPr>
        <a:xfrm>
          <a:off x="4841175" y="3637125"/>
          <a:ext cx="1009650" cy="285750"/>
        </a:xfrm>
        <a:prstGeom prst="rect">
          <a:avLst/>
        </a:prstGeom>
        <a:solidFill>
          <a:srgbClr val="CFE2F3"/>
        </a:solidFill>
        <a:ln w="9525" cap="flat" cmpd="sng">
          <a:solidFill>
            <a:srgbClr val="FF99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r>
            <a:rPr lang="en-US" sz="1400" b="1"/>
            <a:t>Salário</a:t>
          </a:r>
          <a:endParaRPr sz="1400" b="1">
            <a:highlight>
              <a:srgbClr val="FFF2CC"/>
            </a:highlight>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2695575</xdr:colOff>
      <xdr:row>2</xdr:row>
      <xdr:rowOff>38100</xdr:rowOff>
    </xdr:from>
    <xdr:ext cx="628650" cy="733425"/>
    <xdr:sp macro="" textlink="">
      <xdr:nvSpPr>
        <xdr:cNvPr id="6" name="Shape 6"/>
        <xdr:cNvSpPr/>
      </xdr:nvSpPr>
      <xdr:spPr>
        <a:xfrm rot="-5400000">
          <a:off x="4988813" y="3475200"/>
          <a:ext cx="714375" cy="609600"/>
        </a:xfrm>
        <a:prstGeom prst="leftArrow">
          <a:avLst>
            <a:gd name="adj1" fmla="val 50000"/>
            <a:gd name="adj2" fmla="val 50000"/>
          </a:avLst>
        </a:prstGeom>
        <a:solidFill>
          <a:srgbClr val="FF0000"/>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523875</xdr:colOff>
      <xdr:row>1</xdr:row>
      <xdr:rowOff>57150</xdr:rowOff>
    </xdr:from>
    <xdr:ext cx="2133600" cy="923925"/>
    <xdr:sp macro="" textlink="">
      <xdr:nvSpPr>
        <xdr:cNvPr id="7" name="Shape 7"/>
        <xdr:cNvSpPr txBox="1"/>
      </xdr:nvSpPr>
      <xdr:spPr>
        <a:xfrm>
          <a:off x="4283963" y="3322800"/>
          <a:ext cx="2124075" cy="914400"/>
        </a:xfrm>
        <a:prstGeom prst="rect">
          <a:avLst/>
        </a:prstGeom>
        <a:no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B050"/>
            </a:buClr>
            <a:buSzPts val="1200"/>
            <a:buFont typeface="Arial"/>
            <a:buNone/>
          </a:pPr>
          <a:r>
            <a:rPr lang="en-US" sz="1200" b="1">
              <a:solidFill>
                <a:srgbClr val="00B050"/>
              </a:solidFill>
              <a:latin typeface="Arial"/>
              <a:ea typeface="Arial"/>
              <a:cs typeface="Arial"/>
              <a:sym typeface="Arial"/>
            </a:rPr>
            <a:t>O licitante deverá preencher todas as células destacadas na cor verde</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85725</xdr:colOff>
      <xdr:row>1</xdr:row>
      <xdr:rowOff>47625</xdr:rowOff>
    </xdr:from>
    <xdr:ext cx="2543175" cy="7810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A123:H136" headerRowCount="0">
  <tableColumns count="8">
    <tableColumn id="1" name="Column1"/>
    <tableColumn id="2" name="Column2"/>
    <tableColumn id="3" name="Column3"/>
    <tableColumn id="4" name="Column4"/>
    <tableColumn id="5" name="Column5"/>
    <tableColumn id="6" name="Column6"/>
    <tableColumn id="7" name="Column7"/>
    <tableColumn id="8" name="Column8"/>
  </tableColumns>
  <tableStyleInfo name="Insumos_Base-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ent.cult.recr.de/"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000"/>
  <sheetViews>
    <sheetView workbookViewId="0"/>
  </sheetViews>
  <sheetFormatPr defaultColWidth="14.42578125" defaultRowHeight="15" customHeight="1"/>
  <cols>
    <col min="1" max="1" width="4" customWidth="1"/>
    <col min="2" max="2" width="11.140625" customWidth="1"/>
    <col min="3" max="3" width="21.42578125" customWidth="1"/>
    <col min="4" max="4" width="25.5703125" customWidth="1"/>
    <col min="5" max="5" width="22.28515625" customWidth="1"/>
    <col min="6" max="8" width="12.42578125" customWidth="1"/>
    <col min="9" max="9" width="16.140625" customWidth="1"/>
    <col min="10" max="10" width="16" customWidth="1"/>
    <col min="11" max="14" width="13.28515625" customWidth="1"/>
    <col min="15" max="16" width="17.85546875" customWidth="1"/>
    <col min="17" max="17" width="33.28515625" customWidth="1"/>
    <col min="18" max="18" width="12.28515625" customWidth="1"/>
    <col min="19" max="19" width="68.140625" customWidth="1"/>
    <col min="20" max="20" width="28" customWidth="1"/>
    <col min="21" max="21" width="45.140625" customWidth="1"/>
    <col min="22" max="22" width="12.7109375" customWidth="1"/>
    <col min="23" max="23" width="7.42578125" customWidth="1"/>
    <col min="24" max="24" width="34.7109375" customWidth="1"/>
    <col min="25" max="29" width="8.7109375" customWidth="1"/>
  </cols>
  <sheetData>
    <row r="1" spans="1:29" ht="15.75" customHeight="1">
      <c r="A1" s="1"/>
      <c r="B1" s="1"/>
      <c r="C1" s="1"/>
      <c r="D1" s="1"/>
      <c r="E1" s="1"/>
      <c r="F1" s="1"/>
      <c r="G1" s="1"/>
      <c r="H1" s="2"/>
      <c r="I1" s="1"/>
      <c r="J1" s="1"/>
      <c r="K1" s="1"/>
      <c r="L1" s="1"/>
      <c r="M1" s="1"/>
      <c r="N1" s="1"/>
      <c r="O1" s="1"/>
      <c r="P1" s="1"/>
      <c r="Q1" s="1"/>
      <c r="R1" s="3"/>
      <c r="S1" s="3"/>
      <c r="T1" s="1"/>
      <c r="U1" s="1"/>
      <c r="V1" s="1"/>
      <c r="W1" s="1"/>
      <c r="X1" s="1"/>
      <c r="Y1" s="1"/>
      <c r="Z1" s="1"/>
      <c r="AA1" s="1"/>
      <c r="AB1" s="1"/>
      <c r="AC1" s="1"/>
    </row>
    <row r="2" spans="1:29" ht="15.75" customHeight="1">
      <c r="B2" s="1"/>
      <c r="C2" s="1"/>
      <c r="D2" s="1"/>
      <c r="E2" s="1"/>
      <c r="F2" s="1"/>
      <c r="G2" s="1"/>
      <c r="H2" s="2"/>
      <c r="I2" s="1"/>
      <c r="J2" s="1"/>
      <c r="K2" s="1"/>
      <c r="L2" s="1"/>
      <c r="M2" s="1"/>
      <c r="N2" s="1"/>
      <c r="O2" s="1"/>
      <c r="P2" s="1"/>
      <c r="Q2" s="1"/>
      <c r="R2" s="3"/>
      <c r="S2" s="3"/>
    </row>
    <row r="3" spans="1:29" ht="15.75" customHeight="1">
      <c r="B3" s="4" t="s">
        <v>0</v>
      </c>
      <c r="C3" s="1"/>
      <c r="D3" s="1"/>
      <c r="E3" s="1"/>
      <c r="F3" s="1"/>
      <c r="G3" s="1"/>
      <c r="H3" s="2"/>
      <c r="I3" s="1"/>
      <c r="J3" s="1"/>
      <c r="K3" s="1"/>
      <c r="L3" s="1"/>
      <c r="M3" s="1"/>
      <c r="N3" s="1"/>
      <c r="O3" s="1"/>
      <c r="P3" s="1"/>
      <c r="Q3" s="1"/>
      <c r="R3" s="3"/>
      <c r="S3" s="3"/>
    </row>
    <row r="4" spans="1:29" ht="15.75" customHeight="1">
      <c r="B4" s="5" t="s">
        <v>1</v>
      </c>
      <c r="C4" s="6">
        <v>1</v>
      </c>
      <c r="D4" s="6">
        <f t="shared" ref="D4:Q4" si="0">C4+1</f>
        <v>2</v>
      </c>
      <c r="E4" s="6">
        <f t="shared" si="0"/>
        <v>3</v>
      </c>
      <c r="F4" s="6">
        <f t="shared" si="0"/>
        <v>4</v>
      </c>
      <c r="G4" s="6">
        <f t="shared" si="0"/>
        <v>5</v>
      </c>
      <c r="H4" s="6">
        <f t="shared" si="0"/>
        <v>6</v>
      </c>
      <c r="I4" s="6">
        <f t="shared" si="0"/>
        <v>7</v>
      </c>
      <c r="J4" s="6">
        <f t="shared" si="0"/>
        <v>8</v>
      </c>
      <c r="K4" s="6">
        <f t="shared" si="0"/>
        <v>9</v>
      </c>
      <c r="L4" s="6">
        <f t="shared" si="0"/>
        <v>10</v>
      </c>
      <c r="M4" s="6">
        <f t="shared" si="0"/>
        <v>11</v>
      </c>
      <c r="N4" s="6">
        <f t="shared" si="0"/>
        <v>12</v>
      </c>
      <c r="O4" s="6">
        <f t="shared" si="0"/>
        <v>13</v>
      </c>
      <c r="P4" s="6">
        <f t="shared" si="0"/>
        <v>14</v>
      </c>
      <c r="Q4" s="6">
        <f t="shared" si="0"/>
        <v>15</v>
      </c>
      <c r="R4" s="7"/>
      <c r="S4" s="7"/>
    </row>
    <row r="5" spans="1:29" ht="59.25" customHeight="1">
      <c r="A5" s="8"/>
      <c r="B5" s="9" t="s">
        <v>2</v>
      </c>
      <c r="C5" s="10" t="s">
        <v>3</v>
      </c>
      <c r="D5" s="11" t="s">
        <v>4</v>
      </c>
      <c r="E5" s="9" t="s">
        <v>5</v>
      </c>
      <c r="F5" s="11" t="s">
        <v>6</v>
      </c>
      <c r="G5" s="11" t="s">
        <v>7</v>
      </c>
      <c r="H5" s="12" t="s">
        <v>8</v>
      </c>
      <c r="I5" s="11" t="s">
        <v>9</v>
      </c>
      <c r="J5" s="11" t="s">
        <v>10</v>
      </c>
      <c r="K5" s="11" t="s">
        <v>11</v>
      </c>
      <c r="L5" s="11" t="s">
        <v>12</v>
      </c>
      <c r="M5" s="11" t="s">
        <v>13</v>
      </c>
      <c r="N5" s="11" t="s">
        <v>14</v>
      </c>
      <c r="O5" s="11" t="s">
        <v>15</v>
      </c>
      <c r="P5" s="11" t="s">
        <v>16</v>
      </c>
      <c r="Q5" s="11" t="s">
        <v>17</v>
      </c>
      <c r="R5" s="13"/>
      <c r="S5" s="14" t="s">
        <v>18</v>
      </c>
      <c r="T5" s="8"/>
      <c r="U5" s="8"/>
      <c r="V5" s="8"/>
      <c r="W5" s="8"/>
      <c r="X5" s="8"/>
      <c r="Y5" s="8"/>
      <c r="Z5" s="8"/>
      <c r="AA5" s="8"/>
      <c r="AB5" s="8"/>
      <c r="AC5" s="8"/>
    </row>
    <row r="6" spans="1:29" ht="49.5" customHeight="1">
      <c r="A6" s="15"/>
      <c r="B6" s="16"/>
      <c r="C6" s="17" t="s">
        <v>19</v>
      </c>
      <c r="D6" s="18" t="s">
        <v>20</v>
      </c>
      <c r="E6" s="19" t="s">
        <v>21</v>
      </c>
      <c r="F6" s="20">
        <v>0</v>
      </c>
      <c r="G6" s="20">
        <v>0</v>
      </c>
      <c r="H6" s="21">
        <v>0</v>
      </c>
      <c r="I6" s="22">
        <v>0.06</v>
      </c>
      <c r="J6" s="23">
        <v>2019</v>
      </c>
      <c r="K6" s="20">
        <v>0</v>
      </c>
      <c r="L6" s="20"/>
      <c r="M6" s="20"/>
      <c r="N6" s="20"/>
      <c r="O6" s="20"/>
      <c r="P6" s="20"/>
      <c r="Q6" s="20"/>
      <c r="R6" s="24"/>
      <c r="S6" s="25" t="s">
        <v>22</v>
      </c>
      <c r="T6" s="15"/>
      <c r="U6" s="15"/>
      <c r="V6" s="15"/>
      <c r="W6" s="15"/>
      <c r="X6" s="15"/>
      <c r="Y6" s="15"/>
      <c r="Z6" s="15"/>
      <c r="AA6" s="15"/>
      <c r="AB6" s="15"/>
      <c r="AC6" s="15"/>
    </row>
    <row r="7" spans="1:29" ht="49.5" customHeight="1">
      <c r="A7" s="15"/>
      <c r="B7" s="16"/>
      <c r="C7" s="17" t="s">
        <v>23</v>
      </c>
      <c r="D7" s="18" t="s">
        <v>24</v>
      </c>
      <c r="E7" s="19" t="s">
        <v>21</v>
      </c>
      <c r="F7" s="20">
        <v>0</v>
      </c>
      <c r="G7" s="20">
        <v>0</v>
      </c>
      <c r="H7" s="21">
        <v>0</v>
      </c>
      <c r="I7" s="22">
        <v>0.06</v>
      </c>
      <c r="J7" s="23">
        <v>2019</v>
      </c>
      <c r="K7" s="20">
        <v>0</v>
      </c>
      <c r="L7" s="20"/>
      <c r="M7" s="20"/>
      <c r="N7" s="20"/>
      <c r="O7" s="20"/>
      <c r="P7" s="20"/>
      <c r="Q7" s="20"/>
      <c r="R7" s="24"/>
      <c r="S7" s="25" t="s">
        <v>25</v>
      </c>
      <c r="T7" s="15"/>
      <c r="U7" s="15"/>
      <c r="V7" s="15"/>
      <c r="W7" s="15"/>
      <c r="X7" s="26"/>
      <c r="Y7" s="15"/>
      <c r="Z7" s="15"/>
      <c r="AA7" s="15"/>
      <c r="AB7" s="15"/>
      <c r="AC7" s="15"/>
    </row>
    <row r="8" spans="1:29" ht="49.5" customHeight="1">
      <c r="A8" s="15"/>
      <c r="B8" s="16"/>
      <c r="C8" s="17" t="s">
        <v>26</v>
      </c>
      <c r="D8" s="18" t="s">
        <v>24</v>
      </c>
      <c r="E8" s="19" t="s">
        <v>21</v>
      </c>
      <c r="F8" s="20">
        <v>0</v>
      </c>
      <c r="G8" s="20">
        <v>0</v>
      </c>
      <c r="H8" s="21">
        <v>0</v>
      </c>
      <c r="I8" s="22">
        <v>0.06</v>
      </c>
      <c r="J8" s="23">
        <v>2019</v>
      </c>
      <c r="K8" s="20">
        <v>0</v>
      </c>
      <c r="L8" s="20"/>
      <c r="M8" s="20"/>
      <c r="N8" s="20"/>
      <c r="O8" s="20"/>
      <c r="P8" s="20"/>
      <c r="Q8" s="20"/>
      <c r="R8" s="24"/>
      <c r="S8" s="25" t="s">
        <v>27</v>
      </c>
      <c r="T8" s="15"/>
      <c r="U8" s="15"/>
      <c r="V8" s="15"/>
      <c r="W8" s="15"/>
      <c r="X8" s="26"/>
      <c r="Y8" s="15"/>
      <c r="Z8" s="15"/>
      <c r="AA8" s="15"/>
      <c r="AB8" s="15"/>
      <c r="AC8" s="15"/>
    </row>
    <row r="9" spans="1:29" ht="49.5" customHeight="1">
      <c r="A9" s="15"/>
      <c r="B9" s="16"/>
      <c r="C9" s="17" t="s">
        <v>28</v>
      </c>
      <c r="D9" s="18" t="s">
        <v>29</v>
      </c>
      <c r="E9" s="19" t="s">
        <v>30</v>
      </c>
      <c r="F9" s="20">
        <v>20.18</v>
      </c>
      <c r="G9" s="27">
        <v>10.09</v>
      </c>
      <c r="H9" s="21">
        <v>0.19</v>
      </c>
      <c r="I9" s="21">
        <v>0.06</v>
      </c>
      <c r="J9" s="23">
        <v>2022</v>
      </c>
      <c r="K9" s="20">
        <v>17.32</v>
      </c>
      <c r="L9" s="20"/>
      <c r="M9" s="20"/>
      <c r="N9" s="20"/>
      <c r="O9" s="20"/>
      <c r="P9" s="20"/>
      <c r="Q9" s="20"/>
      <c r="R9" s="28"/>
      <c r="S9" s="25" t="s">
        <v>31</v>
      </c>
      <c r="T9" s="15"/>
      <c r="U9" s="15"/>
      <c r="V9" s="15"/>
      <c r="W9" s="15" t="s">
        <v>32</v>
      </c>
      <c r="X9" s="29" t="s">
        <v>33</v>
      </c>
      <c r="Y9" s="15"/>
      <c r="Z9" s="15"/>
      <c r="AA9" s="15"/>
      <c r="AB9" s="15"/>
      <c r="AC9" s="15"/>
    </row>
    <row r="10" spans="1:29" ht="49.5" customHeight="1">
      <c r="A10" s="15"/>
      <c r="B10" s="16"/>
      <c r="C10" s="17" t="s">
        <v>34</v>
      </c>
      <c r="D10" s="18" t="s">
        <v>35</v>
      </c>
      <c r="E10" s="19" t="s">
        <v>36</v>
      </c>
      <c r="F10" s="20">
        <v>264.60000000000002</v>
      </c>
      <c r="G10" s="20">
        <v>0</v>
      </c>
      <c r="H10" s="21">
        <v>0.2</v>
      </c>
      <c r="I10" s="21">
        <v>0.03</v>
      </c>
      <c r="J10" s="23"/>
      <c r="K10" s="20">
        <v>0</v>
      </c>
      <c r="L10" s="20"/>
      <c r="M10" s="20"/>
      <c r="N10" s="20"/>
      <c r="O10" s="20"/>
      <c r="P10" s="20"/>
      <c r="Q10" s="20"/>
      <c r="R10" s="28"/>
      <c r="S10" s="25" t="s">
        <v>37</v>
      </c>
      <c r="T10" s="15"/>
      <c r="U10" s="15"/>
      <c r="V10" s="15"/>
      <c r="W10" s="15" t="s">
        <v>38</v>
      </c>
      <c r="X10" s="30" t="s">
        <v>39</v>
      </c>
      <c r="Y10" s="15"/>
      <c r="Z10" s="15"/>
      <c r="AA10" s="15"/>
      <c r="AB10" s="15"/>
      <c r="AC10" s="15"/>
    </row>
    <row r="11" spans="1:29" ht="49.5" customHeight="1">
      <c r="A11" s="15"/>
      <c r="B11" s="16"/>
      <c r="C11" s="17" t="s">
        <v>40</v>
      </c>
      <c r="D11" s="18" t="s">
        <v>41</v>
      </c>
      <c r="E11" s="19" t="s">
        <v>21</v>
      </c>
      <c r="F11" s="20">
        <v>21.5</v>
      </c>
      <c r="G11" s="20">
        <v>0</v>
      </c>
      <c r="H11" s="21">
        <v>0.2</v>
      </c>
      <c r="I11" s="21">
        <v>0.06</v>
      </c>
      <c r="J11" s="23"/>
      <c r="K11" s="20">
        <v>0</v>
      </c>
      <c r="L11" s="20">
        <v>10.97</v>
      </c>
      <c r="M11" s="20">
        <v>0.6</v>
      </c>
      <c r="N11" s="20"/>
      <c r="O11" s="20"/>
      <c r="P11" s="20"/>
      <c r="Q11" s="20"/>
      <c r="R11" s="28"/>
      <c r="S11" s="25" t="s">
        <v>42</v>
      </c>
      <c r="T11" s="15"/>
      <c r="U11" s="15"/>
      <c r="V11" s="15"/>
      <c r="W11" s="15" t="s">
        <v>43</v>
      </c>
      <c r="X11" s="29" t="s">
        <v>44</v>
      </c>
      <c r="Y11" s="15"/>
      <c r="Z11" s="15"/>
      <c r="AA11" s="15"/>
      <c r="AB11" s="15"/>
      <c r="AC11" s="15"/>
    </row>
    <row r="12" spans="1:29" ht="49.5" customHeight="1">
      <c r="A12" s="15"/>
      <c r="B12" s="16"/>
      <c r="C12" s="17" t="s">
        <v>45</v>
      </c>
      <c r="D12" s="18" t="s">
        <v>46</v>
      </c>
      <c r="E12" s="19" t="s">
        <v>47</v>
      </c>
      <c r="F12" s="31">
        <v>13.9</v>
      </c>
      <c r="G12" s="20">
        <v>0</v>
      </c>
      <c r="H12" s="21">
        <v>0.2</v>
      </c>
      <c r="I12" s="21">
        <v>0.06</v>
      </c>
      <c r="J12" s="23"/>
      <c r="K12" s="20">
        <v>0</v>
      </c>
      <c r="L12" s="20"/>
      <c r="M12" s="20"/>
      <c r="N12" s="20"/>
      <c r="O12" s="20"/>
      <c r="P12" s="20"/>
      <c r="Q12" s="20"/>
      <c r="R12" s="28"/>
      <c r="S12" s="25" t="s">
        <v>48</v>
      </c>
      <c r="T12" s="15"/>
      <c r="U12" s="15"/>
      <c r="V12" s="15"/>
      <c r="W12" s="15" t="s">
        <v>49</v>
      </c>
      <c r="X12" s="29" t="s">
        <v>50</v>
      </c>
      <c r="Y12" s="15"/>
      <c r="Z12" s="15"/>
      <c r="AA12" s="15"/>
      <c r="AB12" s="15"/>
      <c r="AC12" s="15"/>
    </row>
    <row r="13" spans="1:29" ht="49.5" customHeight="1">
      <c r="A13" s="15"/>
      <c r="B13" s="16"/>
      <c r="C13" s="17" t="s">
        <v>51</v>
      </c>
      <c r="D13" s="18" t="s">
        <v>52</v>
      </c>
      <c r="E13" s="19" t="s">
        <v>36</v>
      </c>
      <c r="F13" s="20">
        <v>0</v>
      </c>
      <c r="G13" s="20">
        <v>0</v>
      </c>
      <c r="H13" s="21">
        <v>0</v>
      </c>
      <c r="I13" s="21">
        <v>0.06</v>
      </c>
      <c r="J13" s="23"/>
      <c r="K13" s="20">
        <v>0</v>
      </c>
      <c r="L13" s="20"/>
      <c r="M13" s="20"/>
      <c r="N13" s="20"/>
      <c r="O13" s="20"/>
      <c r="P13" s="20"/>
      <c r="Q13" s="20"/>
      <c r="R13" s="28"/>
      <c r="S13" s="25" t="s">
        <v>53</v>
      </c>
      <c r="T13" s="15"/>
      <c r="U13" s="15"/>
      <c r="V13" s="15"/>
      <c r="W13" s="15" t="s">
        <v>54</v>
      </c>
      <c r="X13" s="29" t="s">
        <v>55</v>
      </c>
      <c r="Y13" s="15"/>
      <c r="Z13" s="15"/>
      <c r="AA13" s="15"/>
      <c r="AB13" s="15"/>
      <c r="AC13" s="15"/>
    </row>
    <row r="14" spans="1:29" ht="49.5" customHeight="1">
      <c r="A14" s="15"/>
      <c r="B14" s="16"/>
      <c r="C14" s="17" t="s">
        <v>56</v>
      </c>
      <c r="D14" s="18" t="s">
        <v>57</v>
      </c>
      <c r="E14" s="19" t="s">
        <v>58</v>
      </c>
      <c r="F14" s="20">
        <v>0</v>
      </c>
      <c r="G14" s="20">
        <v>0</v>
      </c>
      <c r="H14" s="21">
        <v>0</v>
      </c>
      <c r="I14" s="21">
        <v>0.06</v>
      </c>
      <c r="J14" s="23">
        <v>2022</v>
      </c>
      <c r="K14" s="20">
        <v>0</v>
      </c>
      <c r="L14" s="20">
        <v>0</v>
      </c>
      <c r="M14" s="20">
        <v>0</v>
      </c>
      <c r="N14" s="20">
        <v>0</v>
      </c>
      <c r="O14" s="20">
        <v>0</v>
      </c>
      <c r="P14" s="20"/>
      <c r="Q14" s="20"/>
      <c r="R14" s="28"/>
      <c r="S14" s="25" t="s">
        <v>59</v>
      </c>
      <c r="T14" s="15"/>
      <c r="U14" s="15"/>
      <c r="V14" s="15"/>
      <c r="W14" s="15" t="s">
        <v>60</v>
      </c>
      <c r="X14" s="29" t="s">
        <v>61</v>
      </c>
      <c r="Y14" s="15"/>
      <c r="Z14" s="15"/>
      <c r="AA14" s="15"/>
      <c r="AB14" s="15"/>
      <c r="AC14" s="15"/>
    </row>
    <row r="15" spans="1:29" ht="49.5" customHeight="1">
      <c r="A15" s="15"/>
      <c r="B15" s="16"/>
      <c r="C15" s="17" t="s">
        <v>62</v>
      </c>
      <c r="D15" s="18" t="s">
        <v>63</v>
      </c>
      <c r="E15" s="19" t="s">
        <v>47</v>
      </c>
      <c r="F15" s="32">
        <v>15.53</v>
      </c>
      <c r="G15" s="20">
        <v>0</v>
      </c>
      <c r="H15" s="21">
        <v>0.2</v>
      </c>
      <c r="I15" s="21">
        <v>0.06</v>
      </c>
      <c r="J15" s="23">
        <v>2022</v>
      </c>
      <c r="K15" s="20">
        <v>0</v>
      </c>
      <c r="L15" s="20"/>
      <c r="M15" s="20"/>
      <c r="N15" s="20"/>
      <c r="O15" s="20"/>
      <c r="P15" s="20"/>
      <c r="Q15" s="20"/>
      <c r="R15" s="28"/>
      <c r="S15" s="25" t="s">
        <v>64</v>
      </c>
      <c r="T15" s="15"/>
      <c r="U15" s="15"/>
      <c r="V15" s="15"/>
      <c r="W15" s="15" t="s">
        <v>65</v>
      </c>
      <c r="X15" s="29" t="s">
        <v>66</v>
      </c>
      <c r="Y15" s="15"/>
      <c r="Z15" s="15"/>
      <c r="AA15" s="15"/>
      <c r="AB15" s="15"/>
      <c r="AC15" s="15"/>
    </row>
    <row r="16" spans="1:29" ht="49.5" customHeight="1">
      <c r="A16" s="15"/>
      <c r="B16" s="16"/>
      <c r="C16" s="33" t="s">
        <v>67</v>
      </c>
      <c r="D16" s="34" t="s">
        <v>68</v>
      </c>
      <c r="E16" s="35" t="s">
        <v>21</v>
      </c>
      <c r="F16" s="36">
        <v>23.93</v>
      </c>
      <c r="G16" s="36">
        <v>0</v>
      </c>
      <c r="H16" s="22">
        <v>0.2</v>
      </c>
      <c r="I16" s="22">
        <v>0.06</v>
      </c>
      <c r="J16" s="37">
        <v>2022</v>
      </c>
      <c r="K16" s="37"/>
      <c r="L16" s="36" t="s">
        <v>69</v>
      </c>
      <c r="M16" s="36" t="s">
        <v>69</v>
      </c>
      <c r="N16" s="38"/>
      <c r="O16" s="38"/>
      <c r="P16" s="38"/>
      <c r="Q16" s="38"/>
      <c r="R16" s="28"/>
      <c r="S16" s="25" t="s">
        <v>70</v>
      </c>
      <c r="T16" s="15"/>
      <c r="U16" s="15"/>
      <c r="V16" s="15"/>
      <c r="W16" s="15" t="s">
        <v>71</v>
      </c>
      <c r="X16" s="29" t="s">
        <v>72</v>
      </c>
      <c r="Y16" s="15"/>
      <c r="Z16" s="15"/>
      <c r="AA16" s="15"/>
      <c r="AB16" s="15"/>
      <c r="AC16" s="15"/>
    </row>
    <row r="17" spans="1:29" ht="49.5" customHeight="1">
      <c r="A17" s="15"/>
      <c r="B17" s="16"/>
      <c r="C17" s="33" t="s">
        <v>73</v>
      </c>
      <c r="D17" s="34" t="s">
        <v>74</v>
      </c>
      <c r="E17" s="35" t="s">
        <v>21</v>
      </c>
      <c r="F17" s="36">
        <v>23.93</v>
      </c>
      <c r="G17" s="36">
        <v>0</v>
      </c>
      <c r="H17" s="22">
        <v>0.2</v>
      </c>
      <c r="I17" s="22">
        <v>0.06</v>
      </c>
      <c r="J17" s="37">
        <v>2022</v>
      </c>
      <c r="K17" s="37"/>
      <c r="L17" s="36" t="s">
        <v>69</v>
      </c>
      <c r="M17" s="36" t="s">
        <v>69</v>
      </c>
      <c r="N17" s="38"/>
      <c r="O17" s="38"/>
      <c r="P17" s="38"/>
      <c r="Q17" s="38"/>
      <c r="R17" s="28"/>
      <c r="S17" s="25" t="s">
        <v>75</v>
      </c>
      <c r="T17" s="15"/>
      <c r="U17" s="15"/>
      <c r="V17" s="15"/>
      <c r="W17" s="15" t="s">
        <v>76</v>
      </c>
      <c r="X17" s="29" t="s">
        <v>77</v>
      </c>
      <c r="Y17" s="15"/>
      <c r="Z17" s="15"/>
      <c r="AA17" s="15"/>
      <c r="AB17" s="15"/>
      <c r="AC17" s="15"/>
    </row>
    <row r="18" spans="1:29" ht="49.5" customHeight="1">
      <c r="A18" s="15"/>
      <c r="B18" s="16"/>
      <c r="C18" s="33" t="s">
        <v>78</v>
      </c>
      <c r="D18" s="34" t="s">
        <v>79</v>
      </c>
      <c r="E18" s="35" t="s">
        <v>21</v>
      </c>
      <c r="F18" s="36">
        <v>23.93</v>
      </c>
      <c r="G18" s="36">
        <v>0</v>
      </c>
      <c r="H18" s="22">
        <v>0.2</v>
      </c>
      <c r="I18" s="22">
        <v>0.06</v>
      </c>
      <c r="J18" s="37">
        <v>2022</v>
      </c>
      <c r="K18" s="37"/>
      <c r="L18" s="36" t="s">
        <v>69</v>
      </c>
      <c r="M18" s="36" t="s">
        <v>69</v>
      </c>
      <c r="N18" s="38"/>
      <c r="O18" s="23"/>
      <c r="P18" s="23"/>
      <c r="Q18" s="23"/>
      <c r="R18" s="28"/>
      <c r="S18" s="25" t="s">
        <v>80</v>
      </c>
      <c r="T18" s="15"/>
      <c r="U18" s="15"/>
      <c r="V18" s="15"/>
      <c r="W18" s="15" t="s">
        <v>81</v>
      </c>
      <c r="X18" s="29" t="s">
        <v>82</v>
      </c>
      <c r="Y18" s="15"/>
      <c r="Z18" s="15"/>
      <c r="AA18" s="15"/>
      <c r="AB18" s="15"/>
      <c r="AC18" s="15"/>
    </row>
    <row r="19" spans="1:29" ht="49.5" customHeight="1">
      <c r="A19" s="15"/>
      <c r="B19" s="16"/>
      <c r="C19" s="33" t="s">
        <v>83</v>
      </c>
      <c r="D19" s="34" t="s">
        <v>84</v>
      </c>
      <c r="E19" s="33" t="s">
        <v>85</v>
      </c>
      <c r="F19" s="32">
        <v>20.18</v>
      </c>
      <c r="G19" s="36">
        <v>0</v>
      </c>
      <c r="H19" s="39">
        <v>0.19</v>
      </c>
      <c r="I19" s="22">
        <v>0.06</v>
      </c>
      <c r="J19" s="37">
        <v>2021</v>
      </c>
      <c r="K19" s="37"/>
      <c r="L19" s="37"/>
      <c r="M19" s="37"/>
      <c r="N19" s="37"/>
      <c r="O19" s="37"/>
      <c r="P19" s="37"/>
      <c r="Q19" s="37"/>
      <c r="R19" s="40"/>
      <c r="S19" s="41" t="s">
        <v>86</v>
      </c>
      <c r="T19" s="42"/>
      <c r="U19" s="42"/>
      <c r="V19" s="42"/>
      <c r="W19" s="42" t="s">
        <v>87</v>
      </c>
      <c r="X19" s="43" t="s">
        <v>88</v>
      </c>
      <c r="Y19" s="42"/>
      <c r="Z19" s="42"/>
      <c r="AA19" s="42"/>
      <c r="AB19" s="15"/>
      <c r="AC19" s="15"/>
    </row>
    <row r="20" spans="1:29" ht="49.5" customHeight="1">
      <c r="A20" s="15"/>
      <c r="B20" s="16"/>
      <c r="C20" s="33" t="s">
        <v>89</v>
      </c>
      <c r="D20" s="34" t="s">
        <v>90</v>
      </c>
      <c r="E20" s="33" t="s">
        <v>91</v>
      </c>
      <c r="F20" s="32">
        <v>20.18</v>
      </c>
      <c r="G20" s="36">
        <v>0</v>
      </c>
      <c r="H20" s="39">
        <v>0.19</v>
      </c>
      <c r="I20" s="22">
        <v>0.06</v>
      </c>
      <c r="J20" s="37">
        <v>2022</v>
      </c>
      <c r="K20" s="37"/>
      <c r="L20" s="37"/>
      <c r="M20" s="37"/>
      <c r="N20" s="37"/>
      <c r="O20" s="37"/>
      <c r="P20" s="37"/>
      <c r="Q20" s="37"/>
      <c r="R20" s="40"/>
      <c r="S20" s="41" t="s">
        <v>92</v>
      </c>
      <c r="T20" s="42"/>
      <c r="U20" s="42"/>
      <c r="V20" s="42"/>
      <c r="W20" s="42"/>
      <c r="X20" s="42"/>
      <c r="Y20" s="42"/>
      <c r="Z20" s="42"/>
      <c r="AA20" s="42"/>
      <c r="AB20" s="15"/>
      <c r="AC20" s="15"/>
    </row>
    <row r="21" spans="1:29" ht="49.5" customHeight="1">
      <c r="A21" s="15"/>
      <c r="B21" s="16"/>
      <c r="C21" s="33" t="s">
        <v>93</v>
      </c>
      <c r="D21" s="34" t="s">
        <v>94</v>
      </c>
      <c r="E21" s="33" t="s">
        <v>91</v>
      </c>
      <c r="F21" s="32">
        <v>20.18</v>
      </c>
      <c r="G21" s="36"/>
      <c r="H21" s="39">
        <v>0.19</v>
      </c>
      <c r="I21" s="22"/>
      <c r="J21" s="37"/>
      <c r="K21" s="37"/>
      <c r="L21" s="37"/>
      <c r="M21" s="37"/>
      <c r="N21" s="37"/>
      <c r="O21" s="37"/>
      <c r="P21" s="37"/>
      <c r="Q21" s="37"/>
      <c r="R21" s="40"/>
      <c r="S21" s="41" t="s">
        <v>95</v>
      </c>
      <c r="T21" s="42"/>
      <c r="U21" s="42"/>
      <c r="V21" s="42"/>
      <c r="W21" s="42"/>
      <c r="X21" s="42"/>
      <c r="Y21" s="42"/>
      <c r="Z21" s="42"/>
      <c r="AA21" s="42"/>
      <c r="AB21" s="15"/>
      <c r="AC21" s="15"/>
    </row>
    <row r="22" spans="1:29" ht="49.5" customHeight="1">
      <c r="A22" s="15"/>
      <c r="B22" s="16"/>
      <c r="C22" s="33" t="s">
        <v>96</v>
      </c>
      <c r="D22" s="34" t="s">
        <v>97</v>
      </c>
      <c r="E22" s="33" t="s">
        <v>91</v>
      </c>
      <c r="F22" s="32">
        <v>20.18</v>
      </c>
      <c r="G22" s="36"/>
      <c r="H22" s="39">
        <v>0.19</v>
      </c>
      <c r="I22" s="22"/>
      <c r="J22" s="37"/>
      <c r="K22" s="37"/>
      <c r="L22" s="37"/>
      <c r="M22" s="37"/>
      <c r="N22" s="37"/>
      <c r="O22" s="37"/>
      <c r="P22" s="37"/>
      <c r="Q22" s="37"/>
      <c r="R22" s="40"/>
      <c r="S22" s="41" t="s">
        <v>98</v>
      </c>
      <c r="T22" s="42"/>
      <c r="U22" s="42"/>
      <c r="V22" s="42"/>
      <c r="W22" s="42"/>
      <c r="X22" s="42"/>
      <c r="Y22" s="42"/>
      <c r="Z22" s="42"/>
      <c r="AA22" s="42"/>
      <c r="AB22" s="15"/>
      <c r="AC22" s="15"/>
    </row>
    <row r="23" spans="1:29" ht="49.5" customHeight="1">
      <c r="A23" s="15"/>
      <c r="B23" s="16"/>
      <c r="C23" s="33" t="s">
        <v>99</v>
      </c>
      <c r="D23" s="34" t="s">
        <v>100</v>
      </c>
      <c r="E23" s="33" t="s">
        <v>91</v>
      </c>
      <c r="F23" s="32">
        <v>20.18</v>
      </c>
      <c r="G23" s="36"/>
      <c r="H23" s="39">
        <v>0.19</v>
      </c>
      <c r="I23" s="36"/>
      <c r="J23" s="36"/>
      <c r="K23" s="36"/>
      <c r="L23" s="36"/>
      <c r="M23" s="36"/>
      <c r="N23" s="36"/>
      <c r="O23" s="36"/>
      <c r="P23" s="36"/>
      <c r="Q23" s="36"/>
      <c r="R23" s="40"/>
      <c r="S23" s="41" t="s">
        <v>101</v>
      </c>
      <c r="T23" s="42"/>
      <c r="U23" s="42"/>
      <c r="V23" s="42"/>
      <c r="W23" s="42"/>
      <c r="X23" s="42"/>
      <c r="Y23" s="42"/>
      <c r="Z23" s="42"/>
      <c r="AA23" s="42"/>
      <c r="AB23" s="15"/>
      <c r="AC23" s="15"/>
    </row>
    <row r="24" spans="1:29" ht="49.5" customHeight="1">
      <c r="A24" s="15"/>
      <c r="B24" s="16"/>
      <c r="C24" s="33" t="s">
        <v>102</v>
      </c>
      <c r="D24" s="34" t="s">
        <v>103</v>
      </c>
      <c r="E24" s="33" t="s">
        <v>21</v>
      </c>
      <c r="F24" s="32">
        <v>20.18</v>
      </c>
      <c r="G24" s="36"/>
      <c r="H24" s="39">
        <v>0.19</v>
      </c>
      <c r="I24" s="36"/>
      <c r="J24" s="36"/>
      <c r="K24" s="36"/>
      <c r="L24" s="36"/>
      <c r="M24" s="36"/>
      <c r="N24" s="36"/>
      <c r="O24" s="36"/>
      <c r="P24" s="36"/>
      <c r="Q24" s="36"/>
      <c r="R24" s="40"/>
      <c r="S24" s="41" t="s">
        <v>104</v>
      </c>
      <c r="T24" s="42"/>
      <c r="U24" s="42"/>
      <c r="V24" s="42"/>
      <c r="W24" s="42"/>
      <c r="X24" s="42"/>
      <c r="Y24" s="42"/>
      <c r="Z24" s="42"/>
      <c r="AA24" s="42"/>
      <c r="AB24" s="15"/>
      <c r="AC24" s="15"/>
    </row>
    <row r="25" spans="1:29" ht="49.5" customHeight="1">
      <c r="A25" s="15"/>
      <c r="B25" s="16"/>
      <c r="C25" s="16" t="s">
        <v>105</v>
      </c>
      <c r="D25" s="18" t="s">
        <v>106</v>
      </c>
      <c r="E25" s="16" t="s">
        <v>36</v>
      </c>
      <c r="F25" s="20"/>
      <c r="G25" s="20"/>
      <c r="H25" s="21"/>
      <c r="I25" s="20"/>
      <c r="J25" s="20"/>
      <c r="K25" s="20"/>
      <c r="L25" s="27" t="s">
        <v>69</v>
      </c>
      <c r="M25" s="27" t="s">
        <v>69</v>
      </c>
      <c r="N25" s="20"/>
      <c r="O25" s="20">
        <v>1713.35</v>
      </c>
      <c r="P25" s="20"/>
      <c r="Q25" s="20"/>
      <c r="R25" s="44"/>
      <c r="S25" s="45" t="s">
        <v>107</v>
      </c>
      <c r="T25" s="15"/>
      <c r="U25" s="15"/>
      <c r="V25" s="15"/>
      <c r="W25" s="15"/>
      <c r="X25" s="15"/>
      <c r="Y25" s="15"/>
      <c r="Z25" s="15"/>
      <c r="AA25" s="15"/>
      <c r="AB25" s="15"/>
      <c r="AC25" s="15"/>
    </row>
    <row r="26" spans="1:29" ht="49.5" customHeight="1">
      <c r="A26" s="15"/>
      <c r="B26" s="16"/>
      <c r="C26" s="16" t="s">
        <v>108</v>
      </c>
      <c r="D26" s="18" t="s">
        <v>109</v>
      </c>
      <c r="E26" s="16" t="s">
        <v>36</v>
      </c>
      <c r="F26" s="20"/>
      <c r="G26" s="20"/>
      <c r="H26" s="46">
        <v>0.2</v>
      </c>
      <c r="I26" s="20"/>
      <c r="J26" s="20"/>
      <c r="K26" s="20"/>
      <c r="L26" s="27" t="s">
        <v>69</v>
      </c>
      <c r="M26" s="27" t="s">
        <v>69</v>
      </c>
      <c r="N26" s="47">
        <v>305</v>
      </c>
      <c r="O26" s="20">
        <v>197.44</v>
      </c>
      <c r="P26" s="20"/>
      <c r="Q26" s="20"/>
      <c r="R26" s="44"/>
      <c r="S26" s="45" t="s">
        <v>110</v>
      </c>
      <c r="T26" s="15"/>
      <c r="U26" s="15"/>
      <c r="V26" s="15"/>
      <c r="W26" s="15"/>
      <c r="X26" s="15"/>
      <c r="Y26" s="15"/>
      <c r="Z26" s="15"/>
      <c r="AA26" s="15"/>
      <c r="AB26" s="15"/>
      <c r="AC26" s="15"/>
    </row>
    <row r="27" spans="1:29" ht="49.5" customHeight="1">
      <c r="A27" s="15"/>
      <c r="B27" s="16"/>
      <c r="C27" s="16" t="s">
        <v>111</v>
      </c>
      <c r="D27" s="18" t="s">
        <v>112</v>
      </c>
      <c r="E27" s="16" t="s">
        <v>30</v>
      </c>
      <c r="F27" s="20">
        <v>20.18</v>
      </c>
      <c r="G27" s="20"/>
      <c r="H27" s="46">
        <v>0.19</v>
      </c>
      <c r="I27" s="20"/>
      <c r="J27" s="20"/>
      <c r="K27" s="20">
        <v>17.32</v>
      </c>
      <c r="L27" s="20">
        <v>0</v>
      </c>
      <c r="M27" s="20">
        <v>0</v>
      </c>
      <c r="N27" s="20"/>
      <c r="O27" s="20"/>
      <c r="P27" s="20"/>
      <c r="Q27" s="20"/>
      <c r="R27" s="44"/>
      <c r="S27" s="45" t="s">
        <v>113</v>
      </c>
      <c r="T27" s="15"/>
      <c r="U27" s="15"/>
      <c r="V27" s="15"/>
      <c r="W27" s="15"/>
      <c r="X27" s="15"/>
      <c r="Y27" s="15"/>
      <c r="Z27" s="15"/>
      <c r="AA27" s="15"/>
      <c r="AB27" s="15"/>
      <c r="AC27" s="15"/>
    </row>
    <row r="28" spans="1:29" ht="49.5" customHeight="1">
      <c r="A28" s="15"/>
      <c r="B28" s="16"/>
      <c r="C28" s="16" t="s">
        <v>114</v>
      </c>
      <c r="D28" s="18" t="s">
        <v>115</v>
      </c>
      <c r="E28" s="16" t="s">
        <v>36</v>
      </c>
      <c r="F28" s="20"/>
      <c r="G28" s="20"/>
      <c r="H28" s="21"/>
      <c r="I28" s="20"/>
      <c r="J28" s="20"/>
      <c r="K28" s="20"/>
      <c r="L28" s="27" t="s">
        <v>69</v>
      </c>
      <c r="M28" s="27" t="s">
        <v>69</v>
      </c>
      <c r="N28" s="20"/>
      <c r="O28" s="20">
        <v>260</v>
      </c>
      <c r="P28" s="20">
        <v>79</v>
      </c>
      <c r="Q28" s="20"/>
      <c r="R28" s="44"/>
      <c r="S28" s="45" t="s">
        <v>116</v>
      </c>
      <c r="T28" s="15"/>
      <c r="U28" s="15"/>
      <c r="V28" s="15"/>
      <c r="W28" s="15"/>
      <c r="X28" s="15"/>
      <c r="Y28" s="15"/>
      <c r="Z28" s="15"/>
      <c r="AA28" s="15"/>
      <c r="AB28" s="15"/>
      <c r="AC28" s="15"/>
    </row>
    <row r="29" spans="1:29" ht="49.5" customHeight="1">
      <c r="A29" s="15"/>
      <c r="B29" s="16"/>
      <c r="C29" s="16" t="s">
        <v>117</v>
      </c>
      <c r="D29" s="18" t="s">
        <v>118</v>
      </c>
      <c r="E29" s="16" t="s">
        <v>30</v>
      </c>
      <c r="F29" s="20"/>
      <c r="G29" s="20"/>
      <c r="H29" s="46">
        <v>0</v>
      </c>
      <c r="I29" s="20"/>
      <c r="J29" s="20"/>
      <c r="K29" s="20"/>
      <c r="L29" s="20">
        <v>0</v>
      </c>
      <c r="M29" s="20">
        <v>0</v>
      </c>
      <c r="N29" s="47">
        <v>122.38</v>
      </c>
      <c r="O29" s="20">
        <v>459.52</v>
      </c>
      <c r="P29" s="20"/>
      <c r="Q29" s="20"/>
      <c r="R29" s="44"/>
      <c r="S29" s="45" t="s">
        <v>119</v>
      </c>
      <c r="T29" s="15"/>
      <c r="U29" s="15"/>
      <c r="V29" s="15"/>
      <c r="W29" s="15"/>
      <c r="X29" s="15"/>
      <c r="Y29" s="15"/>
      <c r="Z29" s="15"/>
      <c r="AA29" s="15"/>
      <c r="AB29" s="15"/>
      <c r="AC29" s="15"/>
    </row>
    <row r="30" spans="1:29" ht="49.5" customHeight="1">
      <c r="A30" s="15"/>
      <c r="B30" s="16"/>
      <c r="C30" s="16" t="s">
        <v>62</v>
      </c>
      <c r="D30" s="48" t="s">
        <v>120</v>
      </c>
      <c r="E30" s="16" t="s">
        <v>121</v>
      </c>
      <c r="F30" s="27">
        <v>15.53</v>
      </c>
      <c r="G30" s="20">
        <v>0</v>
      </c>
      <c r="H30" s="46">
        <v>0.2</v>
      </c>
      <c r="I30" s="21">
        <v>0.06</v>
      </c>
      <c r="J30" s="23">
        <v>2022</v>
      </c>
      <c r="K30" s="20">
        <v>0</v>
      </c>
      <c r="L30" s="20">
        <v>0</v>
      </c>
      <c r="M30" s="20">
        <v>0</v>
      </c>
      <c r="N30" s="20">
        <v>0</v>
      </c>
      <c r="O30" s="20">
        <v>0</v>
      </c>
      <c r="P30" s="20"/>
      <c r="Q30" s="20"/>
      <c r="R30" s="44"/>
      <c r="S30" s="45" t="s">
        <v>122</v>
      </c>
      <c r="T30" s="15"/>
      <c r="U30" s="15"/>
      <c r="V30" s="15"/>
      <c r="W30" s="15"/>
      <c r="X30" s="15"/>
      <c r="Y30" s="15"/>
      <c r="Z30" s="15"/>
      <c r="AA30" s="15"/>
      <c r="AB30" s="15"/>
      <c r="AC30" s="15"/>
    </row>
    <row r="31" spans="1:29" ht="49.5" customHeight="1">
      <c r="A31" s="15"/>
      <c r="B31" s="16"/>
      <c r="C31" s="16" t="s">
        <v>123</v>
      </c>
      <c r="D31" s="49" t="s">
        <v>124</v>
      </c>
      <c r="E31" s="16" t="s">
        <v>125</v>
      </c>
      <c r="F31" s="20">
        <v>0</v>
      </c>
      <c r="G31" s="20">
        <v>0</v>
      </c>
      <c r="H31" s="21">
        <v>0.2</v>
      </c>
      <c r="I31" s="21">
        <v>0.06</v>
      </c>
      <c r="J31" s="23">
        <v>2022</v>
      </c>
      <c r="K31" s="20"/>
      <c r="L31" s="27" t="s">
        <v>69</v>
      </c>
      <c r="M31" s="27" t="s">
        <v>69</v>
      </c>
      <c r="N31" s="27">
        <v>402.56</v>
      </c>
      <c r="O31" s="20">
        <f>2133.73*0.8</f>
        <v>1706.9840000000002</v>
      </c>
      <c r="P31" s="20">
        <v>0</v>
      </c>
      <c r="Q31" s="20"/>
      <c r="R31" s="44"/>
      <c r="S31" s="45" t="s">
        <v>126</v>
      </c>
      <c r="T31" s="15"/>
      <c r="U31" s="15"/>
      <c r="V31" s="15"/>
      <c r="W31" s="15"/>
      <c r="X31" s="15"/>
      <c r="Y31" s="15"/>
      <c r="Z31" s="15"/>
      <c r="AA31" s="15"/>
      <c r="AB31" s="15"/>
      <c r="AC31" s="15"/>
    </row>
    <row r="32" spans="1:29" ht="49.5" customHeight="1">
      <c r="A32" s="15"/>
      <c r="B32" s="16"/>
      <c r="C32" s="16" t="s">
        <v>127</v>
      </c>
      <c r="D32" s="16" t="s">
        <v>128</v>
      </c>
      <c r="E32" s="16">
        <v>0</v>
      </c>
      <c r="F32" s="20">
        <v>0</v>
      </c>
      <c r="G32" s="20">
        <v>0</v>
      </c>
      <c r="H32" s="21">
        <v>0</v>
      </c>
      <c r="I32" s="20">
        <v>0</v>
      </c>
      <c r="J32" s="20">
        <v>0</v>
      </c>
      <c r="K32" s="20">
        <v>0</v>
      </c>
      <c r="L32" s="20" t="s">
        <v>129</v>
      </c>
      <c r="M32" s="20" t="s">
        <v>129</v>
      </c>
      <c r="N32" s="20">
        <v>0</v>
      </c>
      <c r="O32" s="20">
        <v>0</v>
      </c>
      <c r="P32" s="20">
        <v>0</v>
      </c>
      <c r="Q32" s="20"/>
      <c r="R32" s="28"/>
      <c r="S32" s="25" t="s">
        <v>130</v>
      </c>
      <c r="T32" s="15"/>
      <c r="U32" s="15"/>
      <c r="V32" s="15"/>
      <c r="W32" s="15"/>
      <c r="X32" s="15"/>
      <c r="Y32" s="15"/>
      <c r="Z32" s="15"/>
      <c r="AA32" s="15"/>
      <c r="AB32" s="15"/>
      <c r="AC32" s="15"/>
    </row>
    <row r="33" spans="1:29" ht="49.5" customHeight="1">
      <c r="A33" s="50"/>
      <c r="B33" s="51"/>
      <c r="C33" s="51" t="s">
        <v>131</v>
      </c>
      <c r="D33" s="52" t="s">
        <v>132</v>
      </c>
      <c r="E33" s="51" t="s">
        <v>30</v>
      </c>
      <c r="F33" s="53">
        <v>22</v>
      </c>
      <c r="G33" s="53"/>
      <c r="H33" s="54">
        <v>0.19</v>
      </c>
      <c r="I33" s="55"/>
      <c r="J33" s="55"/>
      <c r="K33" s="55">
        <v>18.5</v>
      </c>
      <c r="L33" s="55">
        <v>0</v>
      </c>
      <c r="M33" s="55">
        <v>0</v>
      </c>
      <c r="N33" s="53"/>
      <c r="O33" s="53"/>
      <c r="P33" s="53"/>
      <c r="Q33" s="53"/>
      <c r="R33" s="56"/>
      <c r="S33" s="57" t="s">
        <v>133</v>
      </c>
      <c r="T33" s="50"/>
      <c r="U33" s="50"/>
      <c r="V33" s="50"/>
      <c r="W33" s="50"/>
      <c r="X33" s="50"/>
      <c r="Y33" s="50"/>
      <c r="Z33" s="50"/>
      <c r="AA33" s="50"/>
      <c r="AB33" s="50"/>
      <c r="AC33" s="50"/>
    </row>
    <row r="34" spans="1:29" ht="49.5" customHeight="1">
      <c r="A34" s="15"/>
      <c r="B34" s="16"/>
      <c r="C34" s="16"/>
      <c r="D34" s="16"/>
      <c r="E34" s="16"/>
      <c r="F34" s="15"/>
      <c r="G34" s="15"/>
      <c r="H34" s="58"/>
      <c r="I34" s="15"/>
      <c r="J34" s="15"/>
      <c r="K34" s="15"/>
      <c r="L34" s="15"/>
      <c r="M34" s="15"/>
      <c r="N34" s="15"/>
      <c r="O34" s="15"/>
      <c r="P34" s="15"/>
      <c r="Q34" s="15"/>
      <c r="R34" s="28"/>
      <c r="S34" s="25" t="s">
        <v>134</v>
      </c>
      <c r="T34" s="15"/>
      <c r="U34" s="15"/>
      <c r="V34" s="15"/>
      <c r="W34" s="15"/>
      <c r="X34" s="15"/>
      <c r="Y34" s="15"/>
      <c r="Z34" s="15"/>
      <c r="AA34" s="15"/>
      <c r="AB34" s="15"/>
      <c r="AC34" s="15"/>
    </row>
    <row r="35" spans="1:29" ht="49.5" customHeight="1">
      <c r="A35" s="15"/>
      <c r="B35" s="15"/>
      <c r="C35" s="15"/>
      <c r="D35" s="15"/>
      <c r="E35" s="15"/>
      <c r="F35" s="15"/>
      <c r="G35" s="15"/>
      <c r="H35" s="58"/>
      <c r="I35" s="15"/>
      <c r="J35" s="15"/>
      <c r="K35" s="15"/>
      <c r="L35" s="15"/>
      <c r="M35" s="15"/>
      <c r="N35" s="15"/>
      <c r="O35" s="15"/>
      <c r="P35" s="15"/>
      <c r="Q35" s="15"/>
      <c r="R35" s="28"/>
      <c r="S35" s="59" t="s">
        <v>135</v>
      </c>
      <c r="T35" s="15"/>
      <c r="U35" s="15"/>
      <c r="V35" s="15"/>
      <c r="W35" s="15"/>
      <c r="X35" s="15"/>
      <c r="Y35" s="15"/>
      <c r="Z35" s="15"/>
      <c r="AA35" s="15"/>
      <c r="AB35" s="15"/>
      <c r="AC35" s="15"/>
    </row>
    <row r="36" spans="1:29" ht="49.5" customHeight="1">
      <c r="A36" s="15"/>
      <c r="B36" s="15"/>
      <c r="C36" s="15"/>
      <c r="D36" s="15"/>
      <c r="E36" s="15"/>
      <c r="F36" s="15"/>
      <c r="G36" s="15"/>
      <c r="H36" s="58"/>
      <c r="I36" s="15"/>
      <c r="J36" s="15"/>
      <c r="K36" s="15"/>
      <c r="L36" s="15"/>
      <c r="M36" s="15"/>
      <c r="N36" s="15"/>
      <c r="O36" s="15"/>
      <c r="P36" s="15"/>
      <c r="Q36" s="15"/>
      <c r="R36" s="28"/>
      <c r="S36" s="59" t="s">
        <v>136</v>
      </c>
      <c r="T36" s="15"/>
      <c r="U36" s="15"/>
      <c r="V36" s="15"/>
      <c r="W36" s="15"/>
      <c r="X36" s="15"/>
      <c r="Y36" s="15"/>
      <c r="Z36" s="15"/>
      <c r="AA36" s="15"/>
      <c r="AB36" s="15"/>
      <c r="AC36" s="15"/>
    </row>
    <row r="37" spans="1:29" ht="49.5" customHeight="1">
      <c r="A37" s="15"/>
      <c r="B37" s="15"/>
      <c r="C37" s="15"/>
      <c r="D37" s="15"/>
      <c r="E37" s="15"/>
      <c r="F37" s="15"/>
      <c r="G37" s="15"/>
      <c r="H37" s="58"/>
      <c r="I37" s="15"/>
      <c r="J37" s="15"/>
      <c r="K37" s="15"/>
      <c r="L37" s="15"/>
      <c r="M37" s="15"/>
      <c r="N37" s="15"/>
      <c r="O37" s="15"/>
      <c r="P37" s="15"/>
      <c r="Q37" s="15"/>
      <c r="R37" s="60"/>
      <c r="S37" s="59" t="s">
        <v>137</v>
      </c>
      <c r="T37" s="15"/>
      <c r="U37" s="15"/>
      <c r="V37" s="15"/>
      <c r="W37" s="15"/>
      <c r="X37" s="15"/>
      <c r="Y37" s="15"/>
      <c r="Z37" s="15"/>
      <c r="AA37" s="15"/>
      <c r="AB37" s="15"/>
      <c r="AC37" s="15"/>
    </row>
    <row r="38" spans="1:29" ht="49.5" customHeight="1">
      <c r="A38" s="15"/>
      <c r="B38" s="15"/>
      <c r="C38" s="15"/>
      <c r="D38" s="15"/>
      <c r="E38" s="15"/>
      <c r="F38" s="15"/>
      <c r="G38" s="15"/>
      <c r="H38" s="58"/>
      <c r="I38" s="15"/>
      <c r="J38" s="15"/>
      <c r="K38" s="15"/>
      <c r="L38" s="15"/>
      <c r="M38" s="15"/>
      <c r="N38" s="15"/>
      <c r="O38" s="15"/>
      <c r="P38" s="15"/>
      <c r="Q38" s="15"/>
      <c r="R38" s="60"/>
      <c r="S38" s="59" t="s">
        <v>138</v>
      </c>
      <c r="T38" s="15"/>
      <c r="U38" s="15"/>
      <c r="V38" s="15"/>
      <c r="W38" s="15"/>
      <c r="X38" s="15"/>
      <c r="Y38" s="15"/>
      <c r="Z38" s="15"/>
      <c r="AA38" s="15"/>
      <c r="AB38" s="15"/>
      <c r="AC38" s="15"/>
    </row>
    <row r="39" spans="1:29" ht="49.5" customHeight="1">
      <c r="A39" s="15"/>
      <c r="B39" s="15"/>
      <c r="C39" s="15"/>
      <c r="D39" s="15"/>
      <c r="E39" s="15"/>
      <c r="F39" s="15"/>
      <c r="G39" s="15"/>
      <c r="H39" s="58"/>
      <c r="I39" s="15"/>
      <c r="J39" s="15"/>
      <c r="K39" s="15"/>
      <c r="L39" s="15"/>
      <c r="M39" s="15"/>
      <c r="N39" s="15"/>
      <c r="O39" s="15"/>
      <c r="P39" s="15"/>
      <c r="Q39" s="15"/>
      <c r="R39" s="60"/>
      <c r="S39" s="59" t="s">
        <v>139</v>
      </c>
      <c r="T39" s="15"/>
      <c r="U39" s="15"/>
      <c r="V39" s="15"/>
      <c r="W39" s="15"/>
      <c r="X39" s="15"/>
      <c r="Y39" s="15"/>
      <c r="Z39" s="15"/>
      <c r="AA39" s="15"/>
      <c r="AB39" s="15"/>
      <c r="AC39" s="15"/>
    </row>
    <row r="40" spans="1:29" ht="49.5" customHeight="1">
      <c r="A40" s="15"/>
      <c r="B40" s="15"/>
      <c r="C40" s="15"/>
      <c r="D40" s="15"/>
      <c r="E40" s="15"/>
      <c r="F40" s="15"/>
      <c r="G40" s="15"/>
      <c r="H40" s="58"/>
      <c r="I40" s="15"/>
      <c r="J40" s="15"/>
      <c r="K40" s="15"/>
      <c r="L40" s="15"/>
      <c r="M40" s="15"/>
      <c r="N40" s="15"/>
      <c r="O40" s="15"/>
      <c r="P40" s="15"/>
      <c r="Q40" s="15"/>
      <c r="R40" s="60"/>
      <c r="S40" s="59" t="s">
        <v>140</v>
      </c>
      <c r="T40" s="15"/>
      <c r="U40" s="15"/>
      <c r="V40" s="15"/>
      <c r="W40" s="15"/>
      <c r="X40" s="15"/>
      <c r="Y40" s="15"/>
      <c r="Z40" s="15"/>
      <c r="AA40" s="15"/>
      <c r="AB40" s="15"/>
      <c r="AC40" s="15"/>
    </row>
    <row r="41" spans="1:29" ht="49.5" customHeight="1">
      <c r="A41" s="15"/>
      <c r="B41" s="15"/>
      <c r="C41" s="15"/>
      <c r="D41" s="15"/>
      <c r="E41" s="15"/>
      <c r="F41" s="15"/>
      <c r="G41" s="15"/>
      <c r="H41" s="58"/>
      <c r="I41" s="15"/>
      <c r="J41" s="15"/>
      <c r="K41" s="15"/>
      <c r="L41" s="15"/>
      <c r="M41" s="15"/>
      <c r="N41" s="15"/>
      <c r="O41" s="15"/>
      <c r="P41" s="15"/>
      <c r="Q41" s="15"/>
      <c r="R41" s="60"/>
      <c r="S41" s="59" t="s">
        <v>141</v>
      </c>
      <c r="T41" s="15"/>
      <c r="U41" s="15"/>
      <c r="V41" s="15"/>
      <c r="W41" s="15"/>
      <c r="X41" s="15"/>
      <c r="Y41" s="15"/>
      <c r="Z41" s="15"/>
      <c r="AA41" s="15"/>
      <c r="AB41" s="15"/>
      <c r="AC41" s="15"/>
    </row>
    <row r="42" spans="1:29" ht="49.5" customHeight="1">
      <c r="A42" s="15"/>
      <c r="B42" s="15"/>
      <c r="C42" s="15"/>
      <c r="D42" s="15"/>
      <c r="E42" s="15"/>
      <c r="F42" s="15"/>
      <c r="G42" s="15"/>
      <c r="H42" s="58"/>
      <c r="I42" s="15"/>
      <c r="J42" s="15"/>
      <c r="K42" s="15"/>
      <c r="L42" s="15"/>
      <c r="M42" s="15"/>
      <c r="N42" s="15"/>
      <c r="O42" s="15"/>
      <c r="P42" s="15"/>
      <c r="Q42" s="15"/>
      <c r="R42" s="60"/>
      <c r="S42" s="59" t="s">
        <v>142</v>
      </c>
      <c r="T42" s="15"/>
      <c r="U42" s="15"/>
      <c r="V42" s="15"/>
      <c r="W42" s="15"/>
      <c r="X42" s="15"/>
      <c r="Y42" s="15"/>
      <c r="Z42" s="15"/>
      <c r="AA42" s="15"/>
      <c r="AB42" s="15"/>
      <c r="AC42" s="15"/>
    </row>
    <row r="43" spans="1:29" ht="49.5" customHeight="1">
      <c r="A43" s="15"/>
      <c r="B43" s="15"/>
      <c r="C43" s="15"/>
      <c r="D43" s="15"/>
      <c r="E43" s="15"/>
      <c r="F43" s="15"/>
      <c r="G43" s="15"/>
      <c r="H43" s="58"/>
      <c r="I43" s="15"/>
      <c r="J43" s="15"/>
      <c r="K43" s="15"/>
      <c r="L43" s="15"/>
      <c r="M43" s="15"/>
      <c r="N43" s="15"/>
      <c r="O43" s="15"/>
      <c r="P43" s="15"/>
      <c r="Q43" s="15"/>
      <c r="R43" s="60"/>
      <c r="S43" s="59" t="s">
        <v>143</v>
      </c>
      <c r="T43" s="15"/>
      <c r="U43" s="15"/>
      <c r="V43" s="15"/>
      <c r="W43" s="15"/>
      <c r="X43" s="15"/>
      <c r="Y43" s="15"/>
      <c r="Z43" s="15"/>
      <c r="AA43" s="15"/>
      <c r="AB43" s="15"/>
      <c r="AC43" s="15"/>
    </row>
    <row r="44" spans="1:29" ht="49.5" customHeight="1">
      <c r="A44" s="15"/>
      <c r="B44" s="15"/>
      <c r="C44" s="15"/>
      <c r="D44" s="15"/>
      <c r="E44" s="15"/>
      <c r="F44" s="15"/>
      <c r="G44" s="15"/>
      <c r="H44" s="58"/>
      <c r="I44" s="15"/>
      <c r="J44" s="15"/>
      <c r="K44" s="15"/>
      <c r="L44" s="15"/>
      <c r="M44" s="15"/>
      <c r="N44" s="15"/>
      <c r="O44" s="15"/>
      <c r="P44" s="15"/>
      <c r="Q44" s="15"/>
      <c r="R44" s="60"/>
      <c r="S44" s="59" t="s">
        <v>144</v>
      </c>
      <c r="T44" s="15"/>
      <c r="U44" s="15"/>
      <c r="V44" s="15"/>
      <c r="W44" s="15"/>
      <c r="X44" s="15"/>
      <c r="Y44" s="15"/>
      <c r="Z44" s="15"/>
      <c r="AA44" s="15"/>
      <c r="AB44" s="15"/>
      <c r="AC44" s="15"/>
    </row>
    <row r="45" spans="1:29" ht="49.5" customHeight="1">
      <c r="A45" s="15"/>
      <c r="B45" s="15"/>
      <c r="C45" s="15"/>
      <c r="D45" s="15"/>
      <c r="E45" s="15"/>
      <c r="F45" s="15"/>
      <c r="G45" s="15"/>
      <c r="H45" s="58"/>
      <c r="I45" s="15"/>
      <c r="J45" s="15"/>
      <c r="K45" s="15"/>
      <c r="L45" s="15"/>
      <c r="M45" s="15"/>
      <c r="N45" s="15"/>
      <c r="O45" s="15"/>
      <c r="P45" s="15"/>
      <c r="Q45" s="15"/>
      <c r="R45" s="60"/>
      <c r="S45" s="59" t="s">
        <v>145</v>
      </c>
      <c r="T45" s="15"/>
      <c r="U45" s="15"/>
      <c r="V45" s="15"/>
      <c r="W45" s="15"/>
      <c r="X45" s="15"/>
      <c r="Y45" s="15"/>
      <c r="Z45" s="15"/>
      <c r="AA45" s="15"/>
      <c r="AB45" s="15"/>
      <c r="AC45" s="15"/>
    </row>
    <row r="46" spans="1:29" ht="49.5" customHeight="1">
      <c r="A46" s="15"/>
      <c r="B46" s="15"/>
      <c r="C46" s="15"/>
      <c r="D46" s="15"/>
      <c r="E46" s="15"/>
      <c r="F46" s="15"/>
      <c r="G46" s="15"/>
      <c r="H46" s="58"/>
      <c r="I46" s="15"/>
      <c r="J46" s="15"/>
      <c r="K46" s="15"/>
      <c r="L46" s="15"/>
      <c r="M46" s="15"/>
      <c r="N46" s="15"/>
      <c r="O46" s="15"/>
      <c r="P46" s="15"/>
      <c r="Q46" s="15"/>
      <c r="R46" s="60"/>
      <c r="S46" s="59" t="s">
        <v>146</v>
      </c>
      <c r="T46" s="15"/>
      <c r="U46" s="15"/>
      <c r="V46" s="15"/>
      <c r="W46" s="15"/>
      <c r="X46" s="15"/>
      <c r="Y46" s="15"/>
      <c r="Z46" s="15"/>
      <c r="AA46" s="15"/>
      <c r="AB46" s="15"/>
      <c r="AC46" s="15"/>
    </row>
    <row r="47" spans="1:29" ht="49.5" customHeight="1">
      <c r="A47" s="15"/>
      <c r="B47" s="15"/>
      <c r="C47" s="15"/>
      <c r="D47" s="15"/>
      <c r="E47" s="15"/>
      <c r="F47" s="15"/>
      <c r="G47" s="15"/>
      <c r="H47" s="58"/>
      <c r="I47" s="15"/>
      <c r="J47" s="15"/>
      <c r="K47" s="15"/>
      <c r="L47" s="15"/>
      <c r="M47" s="15"/>
      <c r="N47" s="15"/>
      <c r="O47" s="15"/>
      <c r="P47" s="15"/>
      <c r="Q47" s="15"/>
      <c r="R47" s="60"/>
      <c r="S47" s="59" t="s">
        <v>147</v>
      </c>
      <c r="T47" s="15"/>
      <c r="U47" s="15"/>
      <c r="V47" s="15"/>
      <c r="W47" s="15"/>
      <c r="X47" s="15"/>
      <c r="Y47" s="15"/>
      <c r="Z47" s="15"/>
      <c r="AA47" s="15"/>
      <c r="AB47" s="15"/>
      <c r="AC47" s="15"/>
    </row>
    <row r="48" spans="1:29" ht="49.5" customHeight="1">
      <c r="A48" s="15"/>
      <c r="B48" s="15"/>
      <c r="C48" s="15"/>
      <c r="D48" s="15"/>
      <c r="E48" s="15"/>
      <c r="F48" s="15"/>
      <c r="G48" s="15"/>
      <c r="H48" s="58"/>
      <c r="I48" s="15"/>
      <c r="J48" s="15"/>
      <c r="K48" s="15"/>
      <c r="L48" s="15"/>
      <c r="M48" s="15"/>
      <c r="N48" s="15"/>
      <c r="O48" s="15"/>
      <c r="P48" s="15"/>
      <c r="Q48" s="15"/>
      <c r="R48" s="60"/>
      <c r="S48" s="59" t="s">
        <v>148</v>
      </c>
      <c r="T48" s="15"/>
      <c r="U48" s="15"/>
      <c r="V48" s="15"/>
      <c r="W48" s="15"/>
      <c r="X48" s="15"/>
      <c r="Y48" s="15"/>
      <c r="Z48" s="15"/>
      <c r="AA48" s="15"/>
      <c r="AB48" s="15"/>
      <c r="AC48" s="15"/>
    </row>
    <row r="49" spans="1:29" ht="49.5" customHeight="1">
      <c r="A49" s="15"/>
      <c r="B49" s="15"/>
      <c r="C49" s="15"/>
      <c r="D49" s="15"/>
      <c r="E49" s="15"/>
      <c r="F49" s="15"/>
      <c r="G49" s="15"/>
      <c r="H49" s="58"/>
      <c r="I49" s="15"/>
      <c r="J49" s="15"/>
      <c r="K49" s="15"/>
      <c r="L49" s="15"/>
      <c r="M49" s="15"/>
      <c r="N49" s="15"/>
      <c r="O49" s="15"/>
      <c r="P49" s="15"/>
      <c r="Q49" s="15"/>
      <c r="R49" s="60"/>
      <c r="S49" s="59" t="s">
        <v>149</v>
      </c>
      <c r="T49" s="15"/>
      <c r="U49" s="15"/>
      <c r="V49" s="15"/>
      <c r="W49" s="15"/>
      <c r="X49" s="15"/>
      <c r="Y49" s="15"/>
      <c r="Z49" s="15"/>
      <c r="AA49" s="15"/>
      <c r="AB49" s="15"/>
      <c r="AC49" s="15"/>
    </row>
    <row r="50" spans="1:29" ht="49.5" customHeight="1">
      <c r="B50" s="1"/>
      <c r="C50" s="1"/>
      <c r="D50" s="1"/>
      <c r="E50" s="1"/>
      <c r="F50" s="1"/>
      <c r="G50" s="1"/>
      <c r="H50" s="2"/>
      <c r="I50" s="1"/>
      <c r="J50" s="1"/>
      <c r="K50" s="1"/>
      <c r="L50" s="1"/>
      <c r="M50" s="1"/>
      <c r="N50" s="1"/>
      <c r="O50" s="1"/>
      <c r="P50" s="1"/>
      <c r="Q50" s="1"/>
      <c r="R50" s="61"/>
      <c r="S50" s="3"/>
    </row>
    <row r="51" spans="1:29" ht="49.5" customHeight="1">
      <c r="B51" s="1"/>
      <c r="C51" s="1"/>
      <c r="D51" s="1"/>
      <c r="E51" s="1"/>
      <c r="F51" s="1"/>
      <c r="G51" s="1"/>
      <c r="H51" s="2"/>
      <c r="I51" s="1"/>
      <c r="J51" s="1"/>
      <c r="K51" s="1"/>
      <c r="L51" s="1"/>
      <c r="M51" s="1"/>
      <c r="N51" s="1"/>
      <c r="O51" s="1"/>
      <c r="P51" s="1"/>
      <c r="Q51" s="1"/>
      <c r="R51" s="3"/>
      <c r="S51" s="3"/>
    </row>
    <row r="52" spans="1:29" ht="49.5" customHeight="1">
      <c r="B52" s="1"/>
      <c r="C52" s="1"/>
      <c r="D52" s="1"/>
      <c r="E52" s="1"/>
      <c r="F52" s="1"/>
      <c r="G52" s="1"/>
      <c r="H52" s="2"/>
      <c r="I52" s="1"/>
      <c r="J52" s="1"/>
      <c r="K52" s="1"/>
      <c r="L52" s="1"/>
      <c r="M52" s="1"/>
      <c r="N52" s="1"/>
      <c r="O52" s="1"/>
      <c r="P52" s="1"/>
      <c r="Q52" s="1"/>
      <c r="R52" s="3"/>
      <c r="S52" s="3"/>
    </row>
    <row r="53" spans="1:29" ht="49.5" customHeight="1">
      <c r="B53" s="1"/>
      <c r="C53" s="1"/>
      <c r="D53" s="1"/>
      <c r="E53" s="1"/>
      <c r="F53" s="1"/>
      <c r="G53" s="1"/>
      <c r="H53" s="2"/>
      <c r="I53" s="1"/>
      <c r="J53" s="1"/>
      <c r="K53" s="1"/>
      <c r="L53" s="1"/>
      <c r="M53" s="1"/>
      <c r="N53" s="1"/>
      <c r="O53" s="1"/>
      <c r="P53" s="1"/>
      <c r="Q53" s="1"/>
      <c r="R53" s="3"/>
      <c r="S53" s="3"/>
    </row>
    <row r="54" spans="1:29" ht="49.5" customHeight="1">
      <c r="B54" s="1"/>
      <c r="C54" s="1"/>
      <c r="D54" s="1"/>
      <c r="E54" s="1"/>
      <c r="F54" s="1"/>
      <c r="G54" s="1"/>
      <c r="H54" s="2"/>
      <c r="I54" s="1"/>
      <c r="J54" s="1"/>
      <c r="K54" s="1"/>
      <c r="L54" s="1"/>
      <c r="M54" s="1"/>
      <c r="N54" s="1"/>
      <c r="O54" s="1"/>
      <c r="P54" s="1"/>
      <c r="Q54" s="1"/>
      <c r="R54" s="3"/>
      <c r="S54" s="3"/>
    </row>
    <row r="55" spans="1:29" ht="49.5" customHeight="1">
      <c r="B55" s="1"/>
      <c r="C55" s="1"/>
      <c r="D55" s="1"/>
      <c r="E55" s="1"/>
      <c r="F55" s="1"/>
      <c r="G55" s="1"/>
      <c r="H55" s="2"/>
      <c r="I55" s="1"/>
      <c r="J55" s="1"/>
      <c r="K55" s="1"/>
      <c r="L55" s="1"/>
      <c r="M55" s="1"/>
      <c r="N55" s="1"/>
      <c r="O55" s="1"/>
      <c r="P55" s="1"/>
      <c r="Q55" s="1"/>
      <c r="R55" s="3"/>
      <c r="S55" s="3"/>
    </row>
    <row r="56" spans="1:29" ht="49.5" customHeight="1">
      <c r="B56" s="1"/>
      <c r="C56" s="1"/>
      <c r="D56" s="1"/>
      <c r="E56" s="1"/>
      <c r="F56" s="1"/>
      <c r="G56" s="1"/>
      <c r="H56" s="2"/>
      <c r="I56" s="1"/>
      <c r="J56" s="1"/>
      <c r="K56" s="1"/>
      <c r="L56" s="1"/>
      <c r="M56" s="1"/>
      <c r="N56" s="1"/>
      <c r="O56" s="1"/>
      <c r="P56" s="1"/>
      <c r="Q56" s="1"/>
      <c r="R56" s="3"/>
      <c r="S56" s="3"/>
    </row>
    <row r="57" spans="1:29" ht="49.5" customHeight="1">
      <c r="B57" s="1"/>
      <c r="C57" s="1"/>
      <c r="D57" s="1"/>
      <c r="E57" s="1"/>
      <c r="F57" s="1"/>
      <c r="G57" s="1"/>
      <c r="H57" s="2"/>
      <c r="I57" s="1"/>
      <c r="J57" s="1"/>
      <c r="K57" s="1"/>
      <c r="L57" s="1"/>
      <c r="M57" s="1"/>
      <c r="N57" s="1"/>
      <c r="O57" s="1"/>
      <c r="P57" s="1"/>
      <c r="Q57" s="1"/>
      <c r="R57" s="3"/>
      <c r="S57" s="3"/>
    </row>
    <row r="58" spans="1:29" ht="49.5" customHeight="1">
      <c r="B58" s="1"/>
      <c r="C58" s="1"/>
      <c r="D58" s="1"/>
      <c r="E58" s="1"/>
      <c r="F58" s="1"/>
      <c r="G58" s="1"/>
      <c r="H58" s="2"/>
      <c r="I58" s="1"/>
      <c r="J58" s="1"/>
      <c r="K58" s="1"/>
      <c r="L58" s="1"/>
      <c r="M58" s="1"/>
      <c r="N58" s="1"/>
      <c r="O58" s="1"/>
      <c r="P58" s="1"/>
      <c r="Q58" s="1"/>
      <c r="R58" s="3"/>
      <c r="S58" s="3"/>
    </row>
    <row r="59" spans="1:29" ht="49.5" customHeight="1">
      <c r="B59" s="1"/>
      <c r="C59" s="1"/>
      <c r="D59" s="1"/>
      <c r="E59" s="1"/>
      <c r="F59" s="1"/>
      <c r="G59" s="1"/>
      <c r="H59" s="2"/>
      <c r="I59" s="1"/>
      <c r="J59" s="1"/>
      <c r="K59" s="1"/>
      <c r="L59" s="1"/>
      <c r="M59" s="1"/>
      <c r="N59" s="1"/>
      <c r="O59" s="1"/>
      <c r="P59" s="1"/>
      <c r="Q59" s="1"/>
      <c r="R59" s="3"/>
      <c r="S59" s="3"/>
    </row>
    <row r="60" spans="1:29" ht="49.5" customHeight="1">
      <c r="B60" s="1"/>
      <c r="C60" s="1"/>
      <c r="D60" s="1"/>
      <c r="E60" s="1"/>
      <c r="F60" s="1"/>
      <c r="G60" s="1"/>
      <c r="H60" s="2"/>
      <c r="I60" s="1"/>
      <c r="J60" s="1"/>
      <c r="K60" s="1"/>
      <c r="L60" s="1"/>
      <c r="M60" s="1"/>
      <c r="N60" s="1"/>
      <c r="O60" s="1"/>
      <c r="P60" s="1"/>
      <c r="Q60" s="1"/>
      <c r="R60" s="3"/>
      <c r="S60" s="3"/>
    </row>
    <row r="61" spans="1:29" ht="49.5" customHeight="1">
      <c r="B61" s="1"/>
      <c r="C61" s="1"/>
      <c r="D61" s="1"/>
      <c r="E61" s="1"/>
      <c r="F61" s="1"/>
      <c r="G61" s="1"/>
      <c r="H61" s="2"/>
      <c r="I61" s="1"/>
      <c r="J61" s="1"/>
      <c r="K61" s="1"/>
      <c r="L61" s="1"/>
      <c r="M61" s="1"/>
      <c r="N61" s="1"/>
      <c r="O61" s="1"/>
      <c r="P61" s="1"/>
      <c r="Q61" s="1"/>
      <c r="R61" s="3"/>
      <c r="S61" s="3"/>
    </row>
    <row r="62" spans="1:29" ht="49.5" customHeight="1">
      <c r="B62" s="1"/>
      <c r="C62" s="1"/>
      <c r="D62" s="1"/>
      <c r="E62" s="1"/>
      <c r="F62" s="1"/>
      <c r="G62" s="1"/>
      <c r="H62" s="2"/>
      <c r="I62" s="1"/>
      <c r="J62" s="1"/>
      <c r="K62" s="1"/>
      <c r="L62" s="1"/>
      <c r="M62" s="1"/>
      <c r="N62" s="1"/>
      <c r="O62" s="1"/>
      <c r="P62" s="1"/>
      <c r="Q62" s="1"/>
      <c r="R62" s="3"/>
      <c r="S62" s="3"/>
    </row>
    <row r="63" spans="1:29" ht="49.5" customHeight="1">
      <c r="B63" s="1"/>
      <c r="C63" s="1"/>
      <c r="D63" s="1"/>
      <c r="E63" s="1"/>
      <c r="F63" s="1"/>
      <c r="G63" s="1"/>
      <c r="H63" s="2"/>
      <c r="I63" s="1"/>
      <c r="J63" s="1"/>
      <c r="K63" s="1"/>
      <c r="L63" s="1"/>
      <c r="M63" s="1"/>
      <c r="N63" s="1"/>
      <c r="O63" s="1"/>
      <c r="P63" s="1"/>
      <c r="Q63" s="1"/>
      <c r="R63" s="3"/>
      <c r="S63" s="3"/>
    </row>
    <row r="64" spans="1:29" ht="25.5" customHeight="1">
      <c r="B64" s="1"/>
      <c r="C64" s="1"/>
      <c r="D64" s="1"/>
      <c r="E64" s="1"/>
      <c r="F64" s="1"/>
      <c r="G64" s="1"/>
      <c r="H64" s="2"/>
      <c r="I64" s="1"/>
      <c r="J64" s="1"/>
      <c r="K64" s="1"/>
      <c r="L64" s="1"/>
      <c r="M64" s="1"/>
      <c r="N64" s="1"/>
      <c r="O64" s="1"/>
      <c r="P64" s="1"/>
      <c r="Q64" s="1"/>
      <c r="R64" s="3"/>
      <c r="S64" s="3"/>
    </row>
    <row r="65" spans="2:19" ht="25.5" customHeight="1">
      <c r="B65" s="1"/>
      <c r="C65" s="1"/>
      <c r="D65" s="1"/>
      <c r="E65" s="1"/>
      <c r="F65" s="1"/>
      <c r="G65" s="1"/>
      <c r="H65" s="2"/>
      <c r="I65" s="1"/>
      <c r="J65" s="1"/>
      <c r="K65" s="1"/>
      <c r="L65" s="1"/>
      <c r="M65" s="1"/>
      <c r="N65" s="1"/>
      <c r="O65" s="1"/>
      <c r="P65" s="1"/>
      <c r="Q65" s="1"/>
      <c r="R65" s="3"/>
      <c r="S65" s="3"/>
    </row>
    <row r="66" spans="2:19" ht="25.5" customHeight="1">
      <c r="B66" s="1"/>
      <c r="C66" s="1"/>
      <c r="D66" s="1"/>
      <c r="E66" s="1"/>
      <c r="F66" s="1"/>
      <c r="G66" s="1"/>
      <c r="H66" s="2"/>
      <c r="I66" s="1"/>
      <c r="J66" s="1"/>
      <c r="K66" s="1"/>
      <c r="L66" s="1"/>
      <c r="M66" s="1"/>
      <c r="N66" s="1"/>
      <c r="O66" s="1"/>
      <c r="P66" s="1"/>
      <c r="Q66" s="1"/>
      <c r="R66" s="3"/>
      <c r="S66" s="3"/>
    </row>
    <row r="67" spans="2:19" ht="25.5" customHeight="1">
      <c r="B67" s="1"/>
      <c r="C67" s="1"/>
      <c r="D67" s="1"/>
      <c r="E67" s="1"/>
      <c r="F67" s="1"/>
      <c r="G67" s="1"/>
      <c r="H67" s="2"/>
      <c r="I67" s="1"/>
      <c r="J67" s="1"/>
      <c r="K67" s="1"/>
      <c r="L67" s="1"/>
      <c r="M67" s="1"/>
      <c r="N67" s="1"/>
      <c r="O67" s="1"/>
      <c r="P67" s="1"/>
      <c r="Q67" s="1"/>
      <c r="R67" s="3"/>
      <c r="S67" s="3"/>
    </row>
    <row r="68" spans="2:19" ht="25.5" customHeight="1">
      <c r="B68" s="1"/>
      <c r="C68" s="1"/>
      <c r="D68" s="1"/>
      <c r="E68" s="1"/>
      <c r="F68" s="1"/>
      <c r="G68" s="1"/>
      <c r="H68" s="2"/>
      <c r="I68" s="1"/>
      <c r="J68" s="1"/>
      <c r="K68" s="1"/>
      <c r="L68" s="1"/>
      <c r="M68" s="1"/>
      <c r="N68" s="1"/>
      <c r="O68" s="1"/>
      <c r="P68" s="1"/>
      <c r="Q68" s="1"/>
      <c r="R68" s="3"/>
      <c r="S68" s="3"/>
    </row>
    <row r="69" spans="2:19" ht="25.5" customHeight="1">
      <c r="B69" s="1"/>
      <c r="C69" s="1"/>
      <c r="D69" s="1"/>
      <c r="E69" s="1"/>
      <c r="F69" s="1"/>
      <c r="G69" s="1"/>
      <c r="H69" s="2"/>
      <c r="I69" s="1"/>
      <c r="J69" s="1"/>
      <c r="K69" s="1"/>
      <c r="L69" s="1"/>
      <c r="M69" s="1"/>
      <c r="N69" s="1"/>
      <c r="O69" s="1"/>
      <c r="P69" s="1"/>
      <c r="Q69" s="1"/>
      <c r="R69" s="3"/>
      <c r="S69" s="3"/>
    </row>
    <row r="70" spans="2:19" ht="25.5" customHeight="1">
      <c r="B70" s="1"/>
      <c r="C70" s="1"/>
      <c r="D70" s="1"/>
      <c r="E70" s="1"/>
      <c r="F70" s="1"/>
      <c r="G70" s="1"/>
      <c r="H70" s="2"/>
      <c r="I70" s="1"/>
      <c r="J70" s="1"/>
      <c r="K70" s="1"/>
      <c r="L70" s="1"/>
      <c r="M70" s="1"/>
      <c r="N70" s="1"/>
      <c r="O70" s="1"/>
      <c r="P70" s="1"/>
      <c r="Q70" s="1"/>
      <c r="R70" s="3"/>
      <c r="S70" s="3"/>
    </row>
    <row r="71" spans="2:19" ht="25.5" customHeight="1">
      <c r="B71" s="1"/>
      <c r="C71" s="1"/>
      <c r="D71" s="1"/>
      <c r="E71" s="1"/>
      <c r="F71" s="1"/>
      <c r="G71" s="1"/>
      <c r="H71" s="2"/>
      <c r="I71" s="1"/>
      <c r="J71" s="1"/>
      <c r="K71" s="1"/>
      <c r="L71" s="1"/>
      <c r="M71" s="1"/>
      <c r="N71" s="1"/>
      <c r="O71" s="1"/>
      <c r="P71" s="1"/>
      <c r="Q71" s="1"/>
      <c r="R71" s="3"/>
      <c r="S71" s="3"/>
    </row>
    <row r="72" spans="2:19" ht="25.5" customHeight="1">
      <c r="B72" s="1"/>
      <c r="C72" s="1"/>
      <c r="D72" s="1"/>
      <c r="E72" s="1"/>
      <c r="F72" s="1"/>
      <c r="G72" s="1"/>
      <c r="H72" s="2"/>
      <c r="I72" s="1"/>
      <c r="J72" s="1"/>
      <c r="K72" s="1"/>
      <c r="L72" s="1"/>
      <c r="M72" s="1"/>
      <c r="N72" s="1"/>
      <c r="O72" s="1"/>
      <c r="P72" s="1"/>
      <c r="Q72" s="1"/>
      <c r="R72" s="3"/>
      <c r="S72" s="3"/>
    </row>
    <row r="73" spans="2:19" ht="25.5" customHeight="1">
      <c r="B73" s="1"/>
      <c r="C73" s="1"/>
      <c r="D73" s="1"/>
      <c r="E73" s="1"/>
      <c r="F73" s="1"/>
      <c r="G73" s="1"/>
      <c r="H73" s="2"/>
      <c r="I73" s="1"/>
      <c r="J73" s="1"/>
      <c r="K73" s="1"/>
      <c r="L73" s="1"/>
      <c r="M73" s="1"/>
      <c r="N73" s="1"/>
      <c r="O73" s="1"/>
      <c r="P73" s="1"/>
      <c r="Q73" s="1"/>
      <c r="R73" s="3"/>
      <c r="S73" s="3"/>
    </row>
    <row r="74" spans="2:19" ht="25.5" customHeight="1">
      <c r="B74" s="1"/>
      <c r="C74" s="1"/>
      <c r="D74" s="1"/>
      <c r="E74" s="1"/>
      <c r="F74" s="1"/>
      <c r="G74" s="1"/>
      <c r="H74" s="2"/>
      <c r="I74" s="1"/>
      <c r="J74" s="1"/>
      <c r="K74" s="1"/>
      <c r="L74" s="1"/>
      <c r="M74" s="1"/>
      <c r="N74" s="1"/>
      <c r="O74" s="1"/>
      <c r="P74" s="1"/>
      <c r="Q74" s="1"/>
      <c r="R74" s="3"/>
      <c r="S74" s="3"/>
    </row>
    <row r="75" spans="2:19" ht="25.5" customHeight="1">
      <c r="B75" s="1"/>
      <c r="C75" s="1"/>
      <c r="D75" s="1"/>
      <c r="E75" s="1"/>
      <c r="F75" s="1"/>
      <c r="G75" s="1"/>
      <c r="H75" s="2"/>
      <c r="I75" s="1"/>
      <c r="J75" s="1"/>
      <c r="K75" s="1"/>
      <c r="L75" s="1"/>
      <c r="M75" s="1"/>
      <c r="N75" s="1"/>
      <c r="O75" s="1"/>
      <c r="P75" s="1"/>
      <c r="Q75" s="1"/>
      <c r="R75" s="3"/>
      <c r="S75" s="3"/>
    </row>
    <row r="76" spans="2:19" ht="25.5" customHeight="1">
      <c r="B76" s="1"/>
      <c r="C76" s="1"/>
      <c r="D76" s="1"/>
      <c r="E76" s="1"/>
      <c r="F76" s="1"/>
      <c r="G76" s="1"/>
      <c r="H76" s="2"/>
      <c r="I76" s="1"/>
      <c r="J76" s="1"/>
      <c r="K76" s="1"/>
      <c r="L76" s="1"/>
      <c r="M76" s="1"/>
      <c r="N76" s="1"/>
      <c r="O76" s="1"/>
      <c r="P76" s="1"/>
      <c r="Q76" s="1"/>
      <c r="R76" s="3"/>
      <c r="S76" s="3"/>
    </row>
    <row r="77" spans="2:19" ht="25.5" customHeight="1">
      <c r="B77" s="1"/>
      <c r="C77" s="1"/>
      <c r="D77" s="1"/>
      <c r="E77" s="1"/>
      <c r="F77" s="1"/>
      <c r="G77" s="1"/>
      <c r="H77" s="2"/>
      <c r="I77" s="1"/>
      <c r="J77" s="1"/>
      <c r="K77" s="1"/>
      <c r="L77" s="1"/>
      <c r="M77" s="1"/>
      <c r="N77" s="1"/>
      <c r="O77" s="1"/>
      <c r="P77" s="1"/>
      <c r="Q77" s="1"/>
      <c r="R77" s="3"/>
      <c r="S77" s="3"/>
    </row>
    <row r="78" spans="2:19" ht="25.5" customHeight="1">
      <c r="B78" s="1"/>
      <c r="C78" s="1"/>
      <c r="D78" s="1"/>
      <c r="E78" s="1"/>
      <c r="F78" s="1"/>
      <c r="G78" s="1"/>
      <c r="H78" s="2"/>
      <c r="I78" s="1"/>
      <c r="J78" s="1"/>
      <c r="K78" s="1"/>
      <c r="L78" s="1"/>
      <c r="M78" s="1"/>
      <c r="N78" s="1"/>
      <c r="O78" s="1"/>
      <c r="P78" s="1"/>
      <c r="Q78" s="1"/>
      <c r="R78" s="3"/>
      <c r="S78" s="3"/>
    </row>
    <row r="79" spans="2:19" ht="25.5" customHeight="1">
      <c r="B79" s="1"/>
      <c r="C79" s="1"/>
      <c r="D79" s="1"/>
      <c r="E79" s="1"/>
      <c r="F79" s="1"/>
      <c r="G79" s="1"/>
      <c r="H79" s="2"/>
      <c r="I79" s="1"/>
      <c r="J79" s="1"/>
      <c r="K79" s="1"/>
      <c r="L79" s="1"/>
      <c r="M79" s="1"/>
      <c r="N79" s="1"/>
      <c r="O79" s="1"/>
      <c r="P79" s="1"/>
      <c r="Q79" s="1"/>
      <c r="R79" s="3"/>
      <c r="S79" s="3"/>
    </row>
    <row r="80" spans="2:19" ht="25.5" customHeight="1">
      <c r="B80" s="1"/>
      <c r="C80" s="1"/>
      <c r="D80" s="1"/>
      <c r="E80" s="1"/>
      <c r="F80" s="1"/>
      <c r="G80" s="1"/>
      <c r="H80" s="2"/>
      <c r="I80" s="1"/>
      <c r="J80" s="1"/>
      <c r="K80" s="1"/>
      <c r="L80" s="1"/>
      <c r="M80" s="1"/>
      <c r="N80" s="1"/>
      <c r="O80" s="1"/>
      <c r="P80" s="1"/>
      <c r="Q80" s="1"/>
      <c r="R80" s="3"/>
      <c r="S80" s="3"/>
    </row>
    <row r="81" spans="2:19" ht="25.5" customHeight="1">
      <c r="B81" s="1"/>
      <c r="C81" s="1"/>
      <c r="D81" s="1"/>
      <c r="E81" s="1"/>
      <c r="F81" s="1"/>
      <c r="G81" s="1"/>
      <c r="H81" s="2"/>
      <c r="I81" s="1"/>
      <c r="J81" s="1"/>
      <c r="K81" s="1"/>
      <c r="L81" s="1"/>
      <c r="M81" s="1"/>
      <c r="N81" s="1"/>
      <c r="O81" s="1"/>
      <c r="P81" s="1"/>
      <c r="Q81" s="1"/>
      <c r="R81" s="3"/>
      <c r="S81" s="3"/>
    </row>
    <row r="82" spans="2:19" ht="25.5" customHeight="1">
      <c r="B82" s="1"/>
      <c r="C82" s="1"/>
      <c r="D82" s="1"/>
      <c r="E82" s="1"/>
      <c r="F82" s="1"/>
      <c r="G82" s="1"/>
      <c r="H82" s="2"/>
      <c r="I82" s="1"/>
      <c r="J82" s="1"/>
      <c r="K82" s="1"/>
      <c r="L82" s="1"/>
      <c r="M82" s="1"/>
      <c r="N82" s="1"/>
      <c r="O82" s="1"/>
      <c r="P82" s="1"/>
      <c r="Q82" s="1"/>
      <c r="R82" s="3"/>
      <c r="S82" s="3"/>
    </row>
    <row r="83" spans="2:19" ht="25.5" customHeight="1">
      <c r="B83" s="1"/>
      <c r="C83" s="1"/>
      <c r="D83" s="1"/>
      <c r="E83" s="1"/>
      <c r="F83" s="1"/>
      <c r="G83" s="1"/>
      <c r="H83" s="2"/>
      <c r="I83" s="1"/>
      <c r="J83" s="1"/>
      <c r="K83" s="1"/>
      <c r="L83" s="1"/>
      <c r="M83" s="1"/>
      <c r="N83" s="1"/>
      <c r="O83" s="1"/>
      <c r="P83" s="1"/>
      <c r="Q83" s="1"/>
      <c r="R83" s="3"/>
      <c r="S83" s="3"/>
    </row>
    <row r="84" spans="2:19" ht="25.5" customHeight="1">
      <c r="B84" s="1"/>
      <c r="C84" s="1"/>
      <c r="D84" s="1"/>
      <c r="E84" s="1"/>
      <c r="F84" s="1"/>
      <c r="G84" s="1"/>
      <c r="H84" s="2"/>
      <c r="I84" s="1"/>
      <c r="J84" s="1"/>
      <c r="K84" s="1"/>
      <c r="L84" s="1"/>
      <c r="M84" s="1"/>
      <c r="N84" s="1"/>
      <c r="O84" s="1"/>
      <c r="P84" s="1"/>
      <c r="Q84" s="1"/>
      <c r="R84" s="3"/>
      <c r="S84" s="3"/>
    </row>
    <row r="85" spans="2:19" ht="25.5" customHeight="1">
      <c r="B85" s="1"/>
      <c r="C85" s="1"/>
      <c r="D85" s="1"/>
      <c r="E85" s="1"/>
      <c r="F85" s="1"/>
      <c r="G85" s="1"/>
      <c r="H85" s="2"/>
      <c r="I85" s="1"/>
      <c r="J85" s="1"/>
      <c r="K85" s="1"/>
      <c r="L85" s="1"/>
      <c r="M85" s="1"/>
      <c r="N85" s="1"/>
      <c r="O85" s="1"/>
      <c r="P85" s="1"/>
      <c r="Q85" s="1"/>
      <c r="R85" s="3"/>
      <c r="S85" s="3"/>
    </row>
    <row r="86" spans="2:19" ht="25.5" customHeight="1">
      <c r="B86" s="1"/>
      <c r="C86" s="1"/>
      <c r="D86" s="1"/>
      <c r="E86" s="1"/>
      <c r="F86" s="1"/>
      <c r="G86" s="1"/>
      <c r="H86" s="2"/>
      <c r="I86" s="1"/>
      <c r="J86" s="1"/>
      <c r="K86" s="1"/>
      <c r="L86" s="1"/>
      <c r="M86" s="1"/>
      <c r="N86" s="1"/>
      <c r="O86" s="1"/>
      <c r="P86" s="1"/>
      <c r="Q86" s="1"/>
      <c r="R86" s="3"/>
      <c r="S86" s="3"/>
    </row>
    <row r="87" spans="2:19" ht="25.5" customHeight="1">
      <c r="B87" s="1"/>
      <c r="C87" s="1"/>
      <c r="D87" s="1"/>
      <c r="E87" s="1"/>
      <c r="F87" s="1"/>
      <c r="G87" s="1"/>
      <c r="H87" s="2"/>
      <c r="I87" s="1"/>
      <c r="J87" s="1"/>
      <c r="K87" s="1"/>
      <c r="L87" s="1"/>
      <c r="M87" s="1"/>
      <c r="N87" s="1"/>
      <c r="O87" s="1"/>
      <c r="P87" s="1"/>
      <c r="Q87" s="1"/>
      <c r="R87" s="3"/>
      <c r="S87" s="3"/>
    </row>
    <row r="88" spans="2:19" ht="25.5" customHeight="1">
      <c r="B88" s="1"/>
      <c r="C88" s="1"/>
      <c r="D88" s="1"/>
      <c r="E88" s="1"/>
      <c r="F88" s="1"/>
      <c r="G88" s="1"/>
      <c r="H88" s="2"/>
      <c r="I88" s="1"/>
      <c r="J88" s="1"/>
      <c r="K88" s="1"/>
      <c r="L88" s="1"/>
      <c r="M88" s="1"/>
      <c r="N88" s="1"/>
      <c r="O88" s="1"/>
      <c r="P88" s="1"/>
      <c r="Q88" s="1"/>
      <c r="R88" s="3"/>
      <c r="S88" s="3"/>
    </row>
    <row r="89" spans="2:19" ht="25.5" customHeight="1">
      <c r="B89" s="1"/>
      <c r="C89" s="1"/>
      <c r="D89" s="1"/>
      <c r="E89" s="1"/>
      <c r="F89" s="1"/>
      <c r="G89" s="1"/>
      <c r="H89" s="2"/>
      <c r="I89" s="1"/>
      <c r="J89" s="1"/>
      <c r="K89" s="1"/>
      <c r="L89" s="1"/>
      <c r="M89" s="1"/>
      <c r="N89" s="1"/>
      <c r="O89" s="1"/>
      <c r="P89" s="1"/>
      <c r="Q89" s="1"/>
      <c r="R89" s="3"/>
      <c r="S89" s="3"/>
    </row>
    <row r="90" spans="2:19" ht="25.5" customHeight="1">
      <c r="B90" s="1"/>
      <c r="C90" s="1"/>
      <c r="D90" s="1"/>
      <c r="E90" s="1"/>
      <c r="F90" s="1"/>
      <c r="G90" s="1"/>
      <c r="H90" s="2"/>
      <c r="I90" s="1"/>
      <c r="J90" s="1"/>
      <c r="K90" s="1"/>
      <c r="L90" s="1"/>
      <c r="M90" s="1"/>
      <c r="N90" s="1"/>
      <c r="O90" s="1"/>
      <c r="P90" s="1"/>
      <c r="Q90" s="1"/>
      <c r="R90" s="3"/>
      <c r="S90" s="3"/>
    </row>
    <row r="91" spans="2:19" ht="25.5" customHeight="1">
      <c r="B91" s="1"/>
      <c r="C91" s="1"/>
      <c r="D91" s="1"/>
      <c r="E91" s="1"/>
      <c r="F91" s="1"/>
      <c r="G91" s="1"/>
      <c r="H91" s="2"/>
      <c r="I91" s="1"/>
      <c r="J91" s="1"/>
      <c r="K91" s="1"/>
      <c r="L91" s="1"/>
      <c r="M91" s="1"/>
      <c r="N91" s="1"/>
      <c r="O91" s="1"/>
      <c r="P91" s="1"/>
      <c r="Q91" s="1"/>
      <c r="R91" s="3"/>
      <c r="S91" s="3"/>
    </row>
    <row r="92" spans="2:19" ht="25.5" customHeight="1">
      <c r="B92" s="1"/>
      <c r="C92" s="1"/>
      <c r="D92" s="1"/>
      <c r="E92" s="1"/>
      <c r="F92" s="1"/>
      <c r="G92" s="1"/>
      <c r="H92" s="2"/>
      <c r="I92" s="1"/>
      <c r="J92" s="1"/>
      <c r="K92" s="1"/>
      <c r="L92" s="1"/>
      <c r="M92" s="1"/>
      <c r="N92" s="1"/>
      <c r="O92" s="1"/>
      <c r="P92" s="1"/>
      <c r="Q92" s="1"/>
      <c r="R92" s="3"/>
      <c r="S92" s="3"/>
    </row>
    <row r="93" spans="2:19" ht="25.5" customHeight="1">
      <c r="B93" s="1"/>
      <c r="C93" s="1"/>
      <c r="D93" s="1"/>
      <c r="E93" s="1"/>
      <c r="F93" s="1"/>
      <c r="G93" s="1"/>
      <c r="H93" s="2"/>
      <c r="I93" s="1"/>
      <c r="J93" s="1"/>
      <c r="K93" s="1"/>
      <c r="L93" s="1"/>
      <c r="M93" s="1"/>
      <c r="N93" s="1"/>
      <c r="O93" s="1"/>
      <c r="P93" s="1"/>
      <c r="Q93" s="1"/>
      <c r="R93" s="3"/>
      <c r="S93" s="3"/>
    </row>
    <row r="94" spans="2:19" ht="25.5" customHeight="1">
      <c r="B94" s="1"/>
      <c r="C94" s="1"/>
      <c r="D94" s="1"/>
      <c r="E94" s="1"/>
      <c r="F94" s="1"/>
      <c r="G94" s="1"/>
      <c r="H94" s="2"/>
      <c r="I94" s="1"/>
      <c r="J94" s="1"/>
      <c r="K94" s="1"/>
      <c r="L94" s="1"/>
      <c r="M94" s="1"/>
      <c r="N94" s="1"/>
      <c r="O94" s="1"/>
      <c r="P94" s="1"/>
      <c r="Q94" s="1"/>
      <c r="R94" s="3"/>
      <c r="S94" s="3"/>
    </row>
    <row r="95" spans="2:19" ht="25.5" customHeight="1">
      <c r="B95" s="1"/>
      <c r="C95" s="1"/>
      <c r="D95" s="1"/>
      <c r="E95" s="1"/>
      <c r="F95" s="1"/>
      <c r="G95" s="1"/>
      <c r="H95" s="2"/>
      <c r="I95" s="1"/>
      <c r="J95" s="1"/>
      <c r="K95" s="1"/>
      <c r="L95" s="1"/>
      <c r="M95" s="1"/>
      <c r="N95" s="1"/>
      <c r="O95" s="1"/>
      <c r="P95" s="1"/>
      <c r="Q95" s="1"/>
      <c r="R95" s="3"/>
      <c r="S95" s="3"/>
    </row>
    <row r="96" spans="2:19" ht="25.5" customHeight="1">
      <c r="B96" s="1"/>
      <c r="C96" s="1"/>
      <c r="D96" s="1"/>
      <c r="E96" s="1"/>
      <c r="F96" s="1"/>
      <c r="G96" s="1"/>
      <c r="H96" s="2"/>
      <c r="I96" s="1"/>
      <c r="J96" s="1"/>
      <c r="K96" s="1"/>
      <c r="L96" s="1"/>
      <c r="M96" s="1"/>
      <c r="N96" s="1"/>
      <c r="O96" s="1"/>
      <c r="P96" s="1"/>
      <c r="Q96" s="1"/>
      <c r="R96" s="3"/>
      <c r="S96" s="3"/>
    </row>
    <row r="97" spans="2:19" ht="25.5" customHeight="1">
      <c r="B97" s="1"/>
      <c r="C97" s="1"/>
      <c r="D97" s="1"/>
      <c r="E97" s="1"/>
      <c r="F97" s="1"/>
      <c r="G97" s="1"/>
      <c r="H97" s="2"/>
      <c r="I97" s="1"/>
      <c r="J97" s="1"/>
      <c r="K97" s="1"/>
      <c r="L97" s="1"/>
      <c r="M97" s="1"/>
      <c r="N97" s="1"/>
      <c r="O97" s="1"/>
      <c r="P97" s="1"/>
      <c r="Q97" s="1"/>
      <c r="R97" s="3"/>
      <c r="S97" s="3"/>
    </row>
    <row r="98" spans="2:19" ht="25.5" customHeight="1">
      <c r="B98" s="1"/>
      <c r="C98" s="1"/>
      <c r="D98" s="1"/>
      <c r="E98" s="1"/>
      <c r="F98" s="1"/>
      <c r="G98" s="1"/>
      <c r="H98" s="2"/>
      <c r="I98" s="1"/>
      <c r="J98" s="1"/>
      <c r="K98" s="1"/>
      <c r="L98" s="1"/>
      <c r="M98" s="1"/>
      <c r="N98" s="1"/>
      <c r="O98" s="1"/>
      <c r="P98" s="1"/>
      <c r="Q98" s="1"/>
      <c r="R98" s="3"/>
      <c r="S98" s="3"/>
    </row>
    <row r="99" spans="2:19" ht="25.5" customHeight="1">
      <c r="B99" s="1"/>
      <c r="C99" s="1"/>
      <c r="D99" s="1"/>
      <c r="E99" s="1"/>
      <c r="F99" s="1"/>
      <c r="G99" s="1"/>
      <c r="H99" s="2"/>
      <c r="I99" s="1"/>
      <c r="J99" s="1"/>
      <c r="K99" s="1"/>
      <c r="L99" s="1"/>
      <c r="M99" s="1"/>
      <c r="N99" s="1"/>
      <c r="O99" s="1"/>
      <c r="P99" s="1"/>
      <c r="Q99" s="1"/>
      <c r="R99" s="3"/>
      <c r="S99" s="3"/>
    </row>
    <row r="100" spans="2:19" ht="25.5" customHeight="1">
      <c r="B100" s="1"/>
      <c r="C100" s="1"/>
      <c r="D100" s="1"/>
      <c r="E100" s="1"/>
      <c r="F100" s="1"/>
      <c r="G100" s="1"/>
      <c r="H100" s="2"/>
      <c r="I100" s="1"/>
      <c r="J100" s="1"/>
      <c r="K100" s="1"/>
      <c r="L100" s="1"/>
      <c r="M100" s="1"/>
      <c r="N100" s="1"/>
      <c r="O100" s="1"/>
      <c r="P100" s="1"/>
      <c r="Q100" s="1"/>
      <c r="R100" s="3"/>
      <c r="S100" s="3"/>
    </row>
    <row r="101" spans="2:19" ht="25.5" customHeight="1">
      <c r="B101" s="1"/>
      <c r="C101" s="1"/>
      <c r="D101" s="1"/>
      <c r="E101" s="1"/>
      <c r="F101" s="1"/>
      <c r="G101" s="1"/>
      <c r="H101" s="2"/>
      <c r="I101" s="1"/>
      <c r="J101" s="1"/>
      <c r="K101" s="1"/>
      <c r="L101" s="1"/>
      <c r="M101" s="1"/>
      <c r="N101" s="1"/>
      <c r="O101" s="1"/>
      <c r="P101" s="1"/>
      <c r="Q101" s="1"/>
      <c r="R101" s="3"/>
      <c r="S101" s="3"/>
    </row>
    <row r="102" spans="2:19" ht="25.5" customHeight="1">
      <c r="B102" s="1"/>
      <c r="C102" s="1"/>
      <c r="D102" s="1"/>
      <c r="E102" s="1"/>
      <c r="F102" s="1"/>
      <c r="G102" s="1"/>
      <c r="H102" s="2"/>
      <c r="I102" s="1"/>
      <c r="J102" s="1"/>
      <c r="K102" s="1"/>
      <c r="L102" s="1"/>
      <c r="M102" s="1"/>
      <c r="N102" s="1"/>
      <c r="O102" s="1"/>
      <c r="P102" s="1"/>
      <c r="Q102" s="1"/>
      <c r="R102" s="3"/>
      <c r="S102" s="3"/>
    </row>
    <row r="103" spans="2:19" ht="25.5" customHeight="1">
      <c r="B103" s="1"/>
      <c r="C103" s="1"/>
      <c r="D103" s="1"/>
      <c r="E103" s="1"/>
      <c r="F103" s="1"/>
      <c r="G103" s="1"/>
      <c r="H103" s="2"/>
      <c r="I103" s="1"/>
      <c r="J103" s="1"/>
      <c r="K103" s="1"/>
      <c r="L103" s="1"/>
      <c r="M103" s="1"/>
      <c r="N103" s="1"/>
      <c r="O103" s="1"/>
      <c r="P103" s="1"/>
      <c r="Q103" s="1"/>
      <c r="R103" s="3"/>
      <c r="S103" s="3"/>
    </row>
    <row r="104" spans="2:19" ht="25.5" customHeight="1">
      <c r="B104" s="1"/>
      <c r="C104" s="1"/>
      <c r="D104" s="1"/>
      <c r="E104" s="1"/>
      <c r="F104" s="1"/>
      <c r="G104" s="1"/>
      <c r="H104" s="2"/>
      <c r="I104" s="1"/>
      <c r="J104" s="1"/>
      <c r="K104" s="1"/>
      <c r="L104" s="1"/>
      <c r="M104" s="1"/>
      <c r="N104" s="1"/>
      <c r="O104" s="1"/>
      <c r="P104" s="1"/>
      <c r="Q104" s="1"/>
      <c r="R104" s="3"/>
      <c r="S104" s="3"/>
    </row>
    <row r="105" spans="2:19" ht="25.5" customHeight="1">
      <c r="B105" s="1"/>
      <c r="C105" s="1"/>
      <c r="D105" s="1"/>
      <c r="E105" s="1"/>
      <c r="F105" s="1"/>
      <c r="G105" s="1"/>
      <c r="H105" s="2"/>
      <c r="I105" s="1"/>
      <c r="J105" s="1"/>
      <c r="K105" s="1"/>
      <c r="L105" s="1"/>
      <c r="M105" s="1"/>
      <c r="N105" s="1"/>
      <c r="O105" s="1"/>
      <c r="P105" s="1"/>
      <c r="Q105" s="1"/>
      <c r="R105" s="3"/>
      <c r="S105" s="3"/>
    </row>
    <row r="106" spans="2:19" ht="25.5" customHeight="1">
      <c r="B106" s="1"/>
      <c r="C106" s="1"/>
      <c r="D106" s="1"/>
      <c r="E106" s="1"/>
      <c r="F106" s="1"/>
      <c r="G106" s="1"/>
      <c r="H106" s="2"/>
      <c r="I106" s="1"/>
      <c r="J106" s="1"/>
      <c r="K106" s="1"/>
      <c r="L106" s="1"/>
      <c r="M106" s="1"/>
      <c r="N106" s="1"/>
      <c r="O106" s="1"/>
      <c r="P106" s="1"/>
      <c r="Q106" s="1"/>
      <c r="R106" s="3"/>
      <c r="S106" s="3"/>
    </row>
    <row r="107" spans="2:19" ht="25.5" customHeight="1">
      <c r="B107" s="1"/>
      <c r="C107" s="1"/>
      <c r="D107" s="1"/>
      <c r="E107" s="1"/>
      <c r="F107" s="1"/>
      <c r="G107" s="1"/>
      <c r="H107" s="2"/>
      <c r="I107" s="1"/>
      <c r="J107" s="1"/>
      <c r="K107" s="1"/>
      <c r="L107" s="1"/>
      <c r="M107" s="1"/>
      <c r="N107" s="1"/>
      <c r="O107" s="1"/>
      <c r="P107" s="1"/>
      <c r="Q107" s="1"/>
      <c r="R107" s="3"/>
      <c r="S107" s="3"/>
    </row>
    <row r="108" spans="2:19" ht="25.5" customHeight="1">
      <c r="B108" s="1"/>
      <c r="C108" s="1"/>
      <c r="D108" s="1"/>
      <c r="E108" s="1"/>
      <c r="F108" s="1"/>
      <c r="G108" s="1"/>
      <c r="H108" s="2"/>
      <c r="I108" s="1"/>
      <c r="J108" s="1"/>
      <c r="K108" s="1"/>
      <c r="L108" s="1"/>
      <c r="M108" s="1"/>
      <c r="N108" s="1"/>
      <c r="O108" s="1"/>
      <c r="P108" s="1"/>
      <c r="Q108" s="1"/>
      <c r="R108" s="3"/>
      <c r="S108" s="3"/>
    </row>
    <row r="109" spans="2:19" ht="25.5" customHeight="1">
      <c r="B109" s="1"/>
      <c r="C109" s="1"/>
      <c r="D109" s="1"/>
      <c r="E109" s="1"/>
      <c r="F109" s="1"/>
      <c r="G109" s="1"/>
      <c r="H109" s="2"/>
      <c r="I109" s="1"/>
      <c r="J109" s="1"/>
      <c r="K109" s="1"/>
      <c r="L109" s="1"/>
      <c r="M109" s="1"/>
      <c r="N109" s="1"/>
      <c r="O109" s="1"/>
      <c r="P109" s="1"/>
      <c r="Q109" s="1"/>
      <c r="R109" s="3"/>
      <c r="S109" s="3"/>
    </row>
    <row r="110" spans="2:19" ht="25.5" customHeight="1">
      <c r="B110" s="1"/>
      <c r="C110" s="1"/>
      <c r="D110" s="1"/>
      <c r="E110" s="1"/>
      <c r="F110" s="1"/>
      <c r="G110" s="1"/>
      <c r="H110" s="2"/>
      <c r="I110" s="1"/>
      <c r="J110" s="1"/>
      <c r="K110" s="1"/>
      <c r="L110" s="1"/>
      <c r="M110" s="1"/>
      <c r="N110" s="1"/>
      <c r="O110" s="1"/>
      <c r="P110" s="1"/>
      <c r="Q110" s="1"/>
      <c r="R110" s="3"/>
      <c r="S110" s="3"/>
    </row>
    <row r="111" spans="2:19" ht="25.5" customHeight="1">
      <c r="B111" s="1"/>
      <c r="C111" s="1"/>
      <c r="D111" s="1"/>
      <c r="E111" s="1"/>
      <c r="F111" s="1"/>
      <c r="G111" s="1"/>
      <c r="H111" s="2"/>
      <c r="I111" s="1"/>
      <c r="J111" s="1"/>
      <c r="K111" s="1"/>
      <c r="L111" s="1"/>
      <c r="M111" s="1"/>
      <c r="N111" s="1"/>
      <c r="O111" s="1"/>
      <c r="P111" s="1"/>
      <c r="Q111" s="1"/>
      <c r="R111" s="3"/>
      <c r="S111" s="3"/>
    </row>
    <row r="112" spans="2:19" ht="25.5" customHeight="1">
      <c r="B112" s="1"/>
      <c r="C112" s="1"/>
      <c r="D112" s="1"/>
      <c r="E112" s="1"/>
      <c r="F112" s="1"/>
      <c r="G112" s="1"/>
      <c r="H112" s="2"/>
      <c r="I112" s="1"/>
      <c r="J112" s="1"/>
      <c r="K112" s="1"/>
      <c r="L112" s="1"/>
      <c r="M112" s="1"/>
      <c r="N112" s="1"/>
      <c r="O112" s="1"/>
      <c r="P112" s="1"/>
      <c r="Q112" s="1"/>
      <c r="R112" s="3"/>
      <c r="S112" s="3"/>
    </row>
    <row r="113" spans="2:19" ht="25.5" customHeight="1">
      <c r="B113" s="1"/>
      <c r="C113" s="1"/>
      <c r="D113" s="1"/>
      <c r="E113" s="1"/>
      <c r="F113" s="1"/>
      <c r="G113" s="1"/>
      <c r="H113" s="2"/>
      <c r="I113" s="1"/>
      <c r="J113" s="1"/>
      <c r="K113" s="1"/>
      <c r="L113" s="1"/>
      <c r="M113" s="1"/>
      <c r="N113" s="1"/>
      <c r="O113" s="1"/>
      <c r="P113" s="1"/>
      <c r="Q113" s="1"/>
      <c r="R113" s="3"/>
      <c r="S113" s="3"/>
    </row>
    <row r="114" spans="2:19" ht="25.5" customHeight="1">
      <c r="B114" s="1"/>
      <c r="C114" s="1"/>
      <c r="D114" s="1"/>
      <c r="E114" s="1"/>
      <c r="F114" s="1"/>
      <c r="G114" s="1"/>
      <c r="H114" s="2"/>
      <c r="I114" s="1"/>
      <c r="J114" s="1"/>
      <c r="K114" s="1"/>
      <c r="L114" s="1"/>
      <c r="M114" s="1"/>
      <c r="N114" s="1"/>
      <c r="O114" s="1"/>
      <c r="P114" s="1"/>
      <c r="Q114" s="1"/>
      <c r="R114" s="3"/>
      <c r="S114" s="3"/>
    </row>
    <row r="115" spans="2:19" ht="25.5" customHeight="1">
      <c r="B115" s="1"/>
      <c r="C115" s="1"/>
      <c r="D115" s="1"/>
      <c r="E115" s="1"/>
      <c r="F115" s="1"/>
      <c r="G115" s="1"/>
      <c r="H115" s="2"/>
      <c r="I115" s="1"/>
      <c r="J115" s="1"/>
      <c r="K115" s="1"/>
      <c r="L115" s="1"/>
      <c r="M115" s="1"/>
      <c r="N115" s="1"/>
      <c r="O115" s="1"/>
      <c r="P115" s="1"/>
      <c r="Q115" s="1"/>
      <c r="R115" s="3"/>
      <c r="S115" s="3"/>
    </row>
    <row r="116" spans="2:19" ht="25.5" customHeight="1">
      <c r="B116" s="1"/>
      <c r="C116" s="1"/>
      <c r="D116" s="1"/>
      <c r="E116" s="1"/>
      <c r="F116" s="1"/>
      <c r="G116" s="1"/>
      <c r="H116" s="2"/>
      <c r="I116" s="1"/>
      <c r="J116" s="1"/>
      <c r="K116" s="1"/>
      <c r="L116" s="1"/>
      <c r="M116" s="1"/>
      <c r="N116" s="1"/>
      <c r="O116" s="1"/>
      <c r="P116" s="1"/>
      <c r="Q116" s="1"/>
      <c r="R116" s="3"/>
      <c r="S116" s="3"/>
    </row>
    <row r="117" spans="2:19" ht="25.5" customHeight="1">
      <c r="B117" s="1"/>
      <c r="C117" s="1"/>
      <c r="D117" s="1"/>
      <c r="E117" s="1"/>
      <c r="F117" s="1"/>
      <c r="G117" s="1"/>
      <c r="H117" s="2"/>
      <c r="I117" s="1"/>
      <c r="J117" s="1"/>
      <c r="K117" s="1"/>
      <c r="L117" s="1"/>
      <c r="M117" s="1"/>
      <c r="N117" s="1"/>
      <c r="O117" s="1"/>
      <c r="P117" s="1"/>
      <c r="Q117" s="1"/>
      <c r="R117" s="3"/>
      <c r="S117" s="3"/>
    </row>
    <row r="118" spans="2:19" ht="25.5" customHeight="1">
      <c r="B118" s="1"/>
      <c r="C118" s="1"/>
      <c r="D118" s="1"/>
      <c r="E118" s="1"/>
      <c r="F118" s="1"/>
      <c r="G118" s="1"/>
      <c r="H118" s="2"/>
      <c r="I118" s="1"/>
      <c r="J118" s="1"/>
      <c r="K118" s="1"/>
      <c r="L118" s="1"/>
      <c r="M118" s="1"/>
      <c r="N118" s="1"/>
      <c r="O118" s="1"/>
      <c r="P118" s="1"/>
      <c r="Q118" s="1"/>
      <c r="R118" s="3"/>
      <c r="S118" s="3"/>
    </row>
    <row r="119" spans="2:19" ht="25.5" customHeight="1">
      <c r="B119" s="1"/>
      <c r="C119" s="1"/>
      <c r="D119" s="1"/>
      <c r="E119" s="1"/>
      <c r="F119" s="1"/>
      <c r="G119" s="1"/>
      <c r="H119" s="2"/>
      <c r="I119" s="1"/>
      <c r="J119" s="1"/>
      <c r="K119" s="1"/>
      <c r="L119" s="1"/>
      <c r="M119" s="1"/>
      <c r="N119" s="1"/>
      <c r="O119" s="1"/>
      <c r="P119" s="1"/>
      <c r="Q119" s="1"/>
      <c r="R119" s="3"/>
      <c r="S119" s="3"/>
    </row>
    <row r="120" spans="2:19" ht="25.5" customHeight="1">
      <c r="B120" s="1"/>
      <c r="C120" s="1"/>
      <c r="D120" s="1"/>
      <c r="E120" s="1"/>
      <c r="F120" s="1"/>
      <c r="G120" s="1"/>
      <c r="H120" s="2"/>
      <c r="I120" s="1"/>
      <c r="J120" s="1"/>
      <c r="K120" s="1"/>
      <c r="L120" s="1"/>
      <c r="M120" s="1"/>
      <c r="N120" s="1"/>
      <c r="O120" s="1"/>
      <c r="P120" s="1"/>
      <c r="Q120" s="1"/>
      <c r="R120" s="3"/>
      <c r="S120" s="3"/>
    </row>
    <row r="121" spans="2:19" ht="25.5" customHeight="1">
      <c r="B121" s="1"/>
      <c r="C121" s="1"/>
      <c r="D121" s="1"/>
      <c r="E121" s="1"/>
      <c r="F121" s="1"/>
      <c r="G121" s="1"/>
      <c r="H121" s="2"/>
      <c r="I121" s="1"/>
      <c r="J121" s="1"/>
      <c r="K121" s="1"/>
      <c r="L121" s="1"/>
      <c r="M121" s="1"/>
      <c r="N121" s="1"/>
      <c r="O121" s="1"/>
      <c r="P121" s="1"/>
      <c r="Q121" s="1"/>
      <c r="R121" s="3"/>
      <c r="S121" s="3"/>
    </row>
    <row r="122" spans="2:19" ht="25.5" customHeight="1">
      <c r="B122" s="1"/>
      <c r="C122" s="1"/>
      <c r="D122" s="1"/>
      <c r="E122" s="1"/>
      <c r="F122" s="1"/>
      <c r="G122" s="1"/>
      <c r="H122" s="2"/>
      <c r="I122" s="1"/>
      <c r="J122" s="1"/>
      <c r="K122" s="1"/>
      <c r="L122" s="1"/>
      <c r="M122" s="1"/>
      <c r="N122" s="1"/>
      <c r="O122" s="1"/>
      <c r="P122" s="1"/>
      <c r="Q122" s="1"/>
      <c r="R122" s="3"/>
      <c r="S122" s="3"/>
    </row>
    <row r="123" spans="2:19" ht="25.5" customHeight="1">
      <c r="B123" s="1"/>
      <c r="C123" s="1"/>
      <c r="D123" s="1"/>
      <c r="E123" s="1"/>
      <c r="F123" s="1"/>
      <c r="G123" s="1"/>
      <c r="H123" s="2"/>
      <c r="I123" s="1"/>
      <c r="J123" s="1"/>
      <c r="K123" s="1"/>
      <c r="L123" s="1"/>
      <c r="M123" s="1"/>
      <c r="N123" s="1"/>
      <c r="O123" s="1"/>
      <c r="P123" s="1"/>
      <c r="Q123" s="1"/>
      <c r="R123" s="3"/>
      <c r="S123" s="3"/>
    </row>
    <row r="124" spans="2:19" ht="25.5" customHeight="1">
      <c r="B124" s="1"/>
      <c r="C124" s="1"/>
      <c r="D124" s="1"/>
      <c r="E124" s="1"/>
      <c r="F124" s="1"/>
      <c r="G124" s="1"/>
      <c r="H124" s="2"/>
      <c r="I124" s="1"/>
      <c r="J124" s="1"/>
      <c r="K124" s="1"/>
      <c r="L124" s="1"/>
      <c r="M124" s="1"/>
      <c r="N124" s="1"/>
      <c r="O124" s="1"/>
      <c r="P124" s="1"/>
      <c r="Q124" s="1"/>
      <c r="R124" s="3"/>
      <c r="S124" s="3"/>
    </row>
    <row r="125" spans="2:19" ht="25.5" customHeight="1">
      <c r="B125" s="1"/>
      <c r="C125" s="1"/>
      <c r="D125" s="1"/>
      <c r="E125" s="1"/>
      <c r="F125" s="1"/>
      <c r="G125" s="1"/>
      <c r="H125" s="2"/>
      <c r="I125" s="1"/>
      <c r="J125" s="1"/>
      <c r="K125" s="1"/>
      <c r="L125" s="1"/>
      <c r="M125" s="1"/>
      <c r="N125" s="1"/>
      <c r="O125" s="1"/>
      <c r="P125" s="1"/>
      <c r="Q125" s="1"/>
      <c r="R125" s="3"/>
      <c r="S125" s="3"/>
    </row>
    <row r="126" spans="2:19" ht="25.5" customHeight="1">
      <c r="B126" s="1"/>
      <c r="C126" s="1"/>
      <c r="D126" s="1"/>
      <c r="E126" s="1"/>
      <c r="F126" s="1"/>
      <c r="G126" s="1"/>
      <c r="H126" s="2"/>
      <c r="I126" s="1"/>
      <c r="J126" s="1"/>
      <c r="K126" s="1"/>
      <c r="L126" s="1"/>
      <c r="M126" s="1"/>
      <c r="N126" s="1"/>
      <c r="O126" s="1"/>
      <c r="P126" s="1"/>
      <c r="Q126" s="1"/>
      <c r="R126" s="3"/>
      <c r="S126" s="3"/>
    </row>
    <row r="127" spans="2:19" ht="25.5" customHeight="1">
      <c r="B127" s="1"/>
      <c r="C127" s="1"/>
      <c r="D127" s="1"/>
      <c r="E127" s="1"/>
      <c r="F127" s="1"/>
      <c r="G127" s="1"/>
      <c r="H127" s="2"/>
      <c r="I127" s="1"/>
      <c r="J127" s="1"/>
      <c r="K127" s="1"/>
      <c r="L127" s="1"/>
      <c r="M127" s="1"/>
      <c r="N127" s="1"/>
      <c r="O127" s="1"/>
      <c r="P127" s="1"/>
      <c r="Q127" s="1"/>
      <c r="R127" s="3"/>
      <c r="S127" s="3"/>
    </row>
    <row r="128" spans="2:19" ht="25.5" customHeight="1">
      <c r="B128" s="1"/>
      <c r="C128" s="1"/>
      <c r="D128" s="1"/>
      <c r="E128" s="1"/>
      <c r="F128" s="1"/>
      <c r="G128" s="1"/>
      <c r="H128" s="2"/>
      <c r="I128" s="1"/>
      <c r="J128" s="1"/>
      <c r="K128" s="1"/>
      <c r="L128" s="1"/>
      <c r="M128" s="1"/>
      <c r="N128" s="1"/>
      <c r="O128" s="1"/>
      <c r="P128" s="1"/>
      <c r="Q128" s="1"/>
      <c r="R128" s="3"/>
      <c r="S128" s="3"/>
    </row>
    <row r="129" spans="2:19" ht="25.5" customHeight="1">
      <c r="B129" s="1"/>
      <c r="C129" s="1"/>
      <c r="D129" s="1"/>
      <c r="E129" s="1"/>
      <c r="F129" s="1"/>
      <c r="G129" s="1"/>
      <c r="H129" s="2"/>
      <c r="I129" s="1"/>
      <c r="J129" s="1"/>
      <c r="K129" s="1"/>
      <c r="L129" s="1"/>
      <c r="M129" s="1"/>
      <c r="N129" s="1"/>
      <c r="O129" s="1"/>
      <c r="P129" s="1"/>
      <c r="Q129" s="1"/>
      <c r="R129" s="3"/>
      <c r="S129" s="3"/>
    </row>
    <row r="130" spans="2:19" ht="25.5" customHeight="1">
      <c r="B130" s="1"/>
      <c r="C130" s="1"/>
      <c r="D130" s="1"/>
      <c r="E130" s="1"/>
      <c r="F130" s="1"/>
      <c r="G130" s="1"/>
      <c r="H130" s="2"/>
      <c r="I130" s="1"/>
      <c r="J130" s="1"/>
      <c r="K130" s="1"/>
      <c r="L130" s="1"/>
      <c r="M130" s="1"/>
      <c r="N130" s="1"/>
      <c r="O130" s="1"/>
      <c r="P130" s="1"/>
      <c r="Q130" s="1"/>
      <c r="R130" s="3"/>
      <c r="S130" s="3"/>
    </row>
    <row r="131" spans="2:19" ht="25.5" customHeight="1">
      <c r="B131" s="1"/>
      <c r="C131" s="1"/>
      <c r="D131" s="1"/>
      <c r="E131" s="1"/>
      <c r="F131" s="1"/>
      <c r="G131" s="1"/>
      <c r="H131" s="2"/>
      <c r="I131" s="1"/>
      <c r="J131" s="1"/>
      <c r="K131" s="1"/>
      <c r="L131" s="1"/>
      <c r="M131" s="1"/>
      <c r="N131" s="1"/>
      <c r="O131" s="1"/>
      <c r="P131" s="1"/>
      <c r="Q131" s="1"/>
      <c r="R131" s="3"/>
      <c r="S131" s="3"/>
    </row>
    <row r="132" spans="2:19" ht="25.5" customHeight="1">
      <c r="B132" s="1"/>
      <c r="C132" s="1"/>
      <c r="D132" s="1"/>
      <c r="E132" s="1"/>
      <c r="F132" s="1"/>
      <c r="G132" s="1"/>
      <c r="H132" s="2"/>
      <c r="I132" s="1"/>
      <c r="J132" s="1"/>
      <c r="K132" s="1"/>
      <c r="L132" s="1"/>
      <c r="M132" s="1"/>
      <c r="N132" s="1"/>
      <c r="O132" s="1"/>
      <c r="P132" s="1"/>
      <c r="Q132" s="1"/>
      <c r="R132" s="3"/>
      <c r="S132" s="3"/>
    </row>
    <row r="133" spans="2:19" ht="25.5" customHeight="1">
      <c r="B133" s="1"/>
      <c r="C133" s="1"/>
      <c r="D133" s="1"/>
      <c r="E133" s="1"/>
      <c r="F133" s="1"/>
      <c r="G133" s="1"/>
      <c r="H133" s="2"/>
      <c r="I133" s="1"/>
      <c r="J133" s="1"/>
      <c r="K133" s="1"/>
      <c r="L133" s="1"/>
      <c r="M133" s="1"/>
      <c r="N133" s="1"/>
      <c r="O133" s="1"/>
      <c r="P133" s="1"/>
      <c r="Q133" s="1"/>
      <c r="R133" s="3"/>
      <c r="S133" s="3"/>
    </row>
    <row r="134" spans="2:19" ht="25.5" customHeight="1">
      <c r="B134" s="1"/>
      <c r="C134" s="1"/>
      <c r="D134" s="1"/>
      <c r="E134" s="1"/>
      <c r="F134" s="1"/>
      <c r="G134" s="1"/>
      <c r="H134" s="2"/>
      <c r="I134" s="1"/>
      <c r="J134" s="1"/>
      <c r="K134" s="1"/>
      <c r="L134" s="1"/>
      <c r="M134" s="1"/>
      <c r="N134" s="1"/>
      <c r="O134" s="1"/>
      <c r="P134" s="1"/>
      <c r="Q134" s="1"/>
      <c r="R134" s="3"/>
      <c r="S134" s="3"/>
    </row>
    <row r="135" spans="2:19" ht="25.5" customHeight="1">
      <c r="B135" s="1"/>
      <c r="C135" s="1"/>
      <c r="D135" s="1"/>
      <c r="E135" s="1"/>
      <c r="F135" s="1"/>
      <c r="G135" s="1"/>
      <c r="H135" s="2"/>
      <c r="I135" s="1"/>
      <c r="J135" s="1"/>
      <c r="K135" s="1"/>
      <c r="L135" s="1"/>
      <c r="M135" s="1"/>
      <c r="N135" s="1"/>
      <c r="O135" s="1"/>
      <c r="P135" s="1"/>
      <c r="Q135" s="1"/>
      <c r="R135" s="3"/>
      <c r="S135" s="3"/>
    </row>
    <row r="136" spans="2:19" ht="25.5" customHeight="1">
      <c r="B136" s="1"/>
      <c r="C136" s="1"/>
      <c r="D136" s="1"/>
      <c r="E136" s="1"/>
      <c r="F136" s="1"/>
      <c r="G136" s="1"/>
      <c r="H136" s="2"/>
      <c r="I136" s="1"/>
      <c r="J136" s="1"/>
      <c r="K136" s="1"/>
      <c r="L136" s="1"/>
      <c r="M136" s="1"/>
      <c r="N136" s="1"/>
      <c r="O136" s="1"/>
      <c r="P136" s="1"/>
      <c r="Q136" s="1"/>
      <c r="R136" s="3"/>
      <c r="S136" s="3"/>
    </row>
    <row r="137" spans="2:19" ht="25.5" customHeight="1">
      <c r="B137" s="1"/>
      <c r="C137" s="1"/>
      <c r="D137" s="1"/>
      <c r="E137" s="1"/>
      <c r="F137" s="1"/>
      <c r="G137" s="1"/>
      <c r="H137" s="2"/>
      <c r="I137" s="1"/>
      <c r="J137" s="1"/>
      <c r="K137" s="1"/>
      <c r="L137" s="1"/>
      <c r="M137" s="1"/>
      <c r="N137" s="1"/>
      <c r="O137" s="1"/>
      <c r="P137" s="1"/>
      <c r="Q137" s="1"/>
      <c r="R137" s="3"/>
      <c r="S137" s="3"/>
    </row>
    <row r="138" spans="2:19" ht="25.5" customHeight="1">
      <c r="B138" s="1"/>
      <c r="C138" s="1"/>
      <c r="D138" s="1"/>
      <c r="E138" s="1"/>
      <c r="F138" s="1"/>
      <c r="G138" s="1"/>
      <c r="H138" s="2"/>
      <c r="I138" s="1"/>
      <c r="J138" s="1"/>
      <c r="K138" s="1"/>
      <c r="L138" s="1"/>
      <c r="M138" s="1"/>
      <c r="N138" s="1"/>
      <c r="O138" s="1"/>
      <c r="P138" s="1"/>
      <c r="Q138" s="1"/>
      <c r="R138" s="3"/>
      <c r="S138" s="3"/>
    </row>
    <row r="139" spans="2:19" ht="25.5" customHeight="1">
      <c r="B139" s="1"/>
      <c r="C139" s="1"/>
      <c r="D139" s="1"/>
      <c r="E139" s="1"/>
      <c r="F139" s="1"/>
      <c r="G139" s="1"/>
      <c r="H139" s="2"/>
      <c r="I139" s="1"/>
      <c r="J139" s="1"/>
      <c r="K139" s="1"/>
      <c r="L139" s="1"/>
      <c r="M139" s="1"/>
      <c r="N139" s="1"/>
      <c r="O139" s="1"/>
      <c r="P139" s="1"/>
      <c r="Q139" s="1"/>
      <c r="R139" s="3"/>
      <c r="S139" s="3"/>
    </row>
    <row r="140" spans="2:19" ht="25.5" customHeight="1">
      <c r="B140" s="1"/>
      <c r="C140" s="1"/>
      <c r="D140" s="1"/>
      <c r="E140" s="1"/>
      <c r="F140" s="1"/>
      <c r="G140" s="1"/>
      <c r="H140" s="2"/>
      <c r="I140" s="1"/>
      <c r="J140" s="1"/>
      <c r="K140" s="1"/>
      <c r="L140" s="1"/>
      <c r="M140" s="1"/>
      <c r="N140" s="1"/>
      <c r="O140" s="1"/>
      <c r="P140" s="1"/>
      <c r="Q140" s="1"/>
      <c r="R140" s="3"/>
      <c r="S140" s="3"/>
    </row>
    <row r="141" spans="2:19" ht="25.5" customHeight="1">
      <c r="B141" s="1"/>
      <c r="C141" s="1"/>
      <c r="D141" s="1"/>
      <c r="E141" s="1"/>
      <c r="F141" s="1"/>
      <c r="G141" s="1"/>
      <c r="H141" s="2"/>
      <c r="I141" s="1"/>
      <c r="J141" s="1"/>
      <c r="K141" s="1"/>
      <c r="L141" s="1"/>
      <c r="M141" s="1"/>
      <c r="N141" s="1"/>
      <c r="O141" s="1"/>
      <c r="P141" s="1"/>
      <c r="Q141" s="1"/>
      <c r="R141" s="3"/>
      <c r="S141" s="3"/>
    </row>
    <row r="142" spans="2:19" ht="25.5" customHeight="1">
      <c r="B142" s="1"/>
      <c r="C142" s="1"/>
      <c r="D142" s="1"/>
      <c r="E142" s="1"/>
      <c r="F142" s="1"/>
      <c r="G142" s="1"/>
      <c r="H142" s="2"/>
      <c r="I142" s="1"/>
      <c r="J142" s="1"/>
      <c r="K142" s="1"/>
      <c r="L142" s="1"/>
      <c r="M142" s="1"/>
      <c r="N142" s="1"/>
      <c r="O142" s="1"/>
      <c r="P142" s="1"/>
      <c r="Q142" s="1"/>
      <c r="R142" s="3"/>
      <c r="S142" s="3"/>
    </row>
    <row r="143" spans="2:19" ht="25.5" customHeight="1">
      <c r="B143" s="1"/>
      <c r="C143" s="1"/>
      <c r="D143" s="1"/>
      <c r="E143" s="1"/>
      <c r="F143" s="1"/>
      <c r="G143" s="1"/>
      <c r="H143" s="2"/>
      <c r="I143" s="1"/>
      <c r="J143" s="1"/>
      <c r="K143" s="1"/>
      <c r="L143" s="1"/>
      <c r="M143" s="1"/>
      <c r="N143" s="1"/>
      <c r="O143" s="1"/>
      <c r="P143" s="1"/>
      <c r="Q143" s="1"/>
      <c r="R143" s="3"/>
      <c r="S143" s="3"/>
    </row>
    <row r="144" spans="2:19" ht="25.5" customHeight="1">
      <c r="B144" s="1"/>
      <c r="C144" s="1"/>
      <c r="D144" s="1"/>
      <c r="E144" s="1"/>
      <c r="F144" s="1"/>
      <c r="G144" s="1"/>
      <c r="H144" s="2"/>
      <c r="I144" s="1"/>
      <c r="J144" s="1"/>
      <c r="K144" s="1"/>
      <c r="L144" s="1"/>
      <c r="M144" s="1"/>
      <c r="N144" s="1"/>
      <c r="O144" s="1"/>
      <c r="P144" s="1"/>
      <c r="Q144" s="1"/>
      <c r="R144" s="3"/>
      <c r="S144" s="3"/>
    </row>
    <row r="145" spans="2:19" ht="25.5" customHeight="1">
      <c r="B145" s="1"/>
      <c r="C145" s="1"/>
      <c r="D145" s="1"/>
      <c r="E145" s="1"/>
      <c r="F145" s="1"/>
      <c r="G145" s="1"/>
      <c r="H145" s="2"/>
      <c r="I145" s="1"/>
      <c r="J145" s="1"/>
      <c r="K145" s="1"/>
      <c r="L145" s="1"/>
      <c r="M145" s="1"/>
      <c r="N145" s="1"/>
      <c r="O145" s="1"/>
      <c r="P145" s="1"/>
      <c r="Q145" s="1"/>
      <c r="R145" s="3"/>
      <c r="S145" s="3"/>
    </row>
    <row r="146" spans="2:19" ht="25.5" customHeight="1">
      <c r="B146" s="1"/>
      <c r="C146" s="1"/>
      <c r="D146" s="1"/>
      <c r="E146" s="1"/>
      <c r="F146" s="1"/>
      <c r="G146" s="1"/>
      <c r="H146" s="2"/>
      <c r="I146" s="1"/>
      <c r="J146" s="1"/>
      <c r="K146" s="1"/>
      <c r="L146" s="1"/>
      <c r="M146" s="1"/>
      <c r="N146" s="1"/>
      <c r="O146" s="1"/>
      <c r="P146" s="1"/>
      <c r="Q146" s="1"/>
      <c r="R146" s="3"/>
      <c r="S146" s="3"/>
    </row>
    <row r="147" spans="2:19" ht="25.5" customHeight="1">
      <c r="B147" s="1"/>
      <c r="C147" s="1"/>
      <c r="D147" s="1"/>
      <c r="E147" s="1"/>
      <c r="F147" s="1"/>
      <c r="G147" s="1"/>
      <c r="H147" s="2"/>
      <c r="I147" s="1"/>
      <c r="J147" s="1"/>
      <c r="K147" s="1"/>
      <c r="L147" s="1"/>
      <c r="M147" s="1"/>
      <c r="N147" s="1"/>
      <c r="O147" s="1"/>
      <c r="P147" s="1"/>
      <c r="Q147" s="1"/>
      <c r="R147" s="3"/>
      <c r="S147" s="3"/>
    </row>
    <row r="148" spans="2:19" ht="25.5" customHeight="1">
      <c r="B148" s="1"/>
      <c r="C148" s="1"/>
      <c r="D148" s="1"/>
      <c r="E148" s="1"/>
      <c r="F148" s="1"/>
      <c r="G148" s="1"/>
      <c r="H148" s="2"/>
      <c r="I148" s="1"/>
      <c r="J148" s="1"/>
      <c r="K148" s="1"/>
      <c r="L148" s="1"/>
      <c r="M148" s="1"/>
      <c r="N148" s="1"/>
      <c r="O148" s="1"/>
      <c r="P148" s="1"/>
      <c r="Q148" s="1"/>
      <c r="R148" s="3"/>
      <c r="S148" s="3"/>
    </row>
    <row r="149" spans="2:19" ht="25.5" customHeight="1">
      <c r="B149" s="1"/>
      <c r="C149" s="1"/>
      <c r="D149" s="1"/>
      <c r="E149" s="1"/>
      <c r="F149" s="1"/>
      <c r="G149" s="1"/>
      <c r="H149" s="2"/>
      <c r="I149" s="1"/>
      <c r="J149" s="1"/>
      <c r="K149" s="1"/>
      <c r="L149" s="1"/>
      <c r="M149" s="1"/>
      <c r="N149" s="1"/>
      <c r="O149" s="1"/>
      <c r="P149" s="1"/>
      <c r="Q149" s="1"/>
      <c r="R149" s="3"/>
      <c r="S149" s="3"/>
    </row>
    <row r="150" spans="2:19" ht="25.5" customHeight="1">
      <c r="B150" s="1"/>
      <c r="C150" s="1"/>
      <c r="D150" s="1"/>
      <c r="E150" s="1"/>
      <c r="F150" s="1"/>
      <c r="G150" s="1"/>
      <c r="H150" s="2"/>
      <c r="I150" s="1"/>
      <c r="J150" s="1"/>
      <c r="K150" s="1"/>
      <c r="L150" s="1"/>
      <c r="M150" s="1"/>
      <c r="N150" s="1"/>
      <c r="O150" s="1"/>
      <c r="P150" s="1"/>
      <c r="Q150" s="1"/>
      <c r="R150" s="3"/>
      <c r="S150" s="3"/>
    </row>
    <row r="151" spans="2:19" ht="25.5" customHeight="1">
      <c r="B151" s="1"/>
      <c r="C151" s="1"/>
      <c r="D151" s="1"/>
      <c r="E151" s="1"/>
      <c r="F151" s="1"/>
      <c r="G151" s="1"/>
      <c r="H151" s="2"/>
      <c r="I151" s="1"/>
      <c r="J151" s="1"/>
      <c r="K151" s="1"/>
      <c r="L151" s="1"/>
      <c r="M151" s="1"/>
      <c r="N151" s="1"/>
      <c r="O151" s="1"/>
      <c r="P151" s="1"/>
      <c r="Q151" s="1"/>
      <c r="R151" s="3"/>
      <c r="S151" s="3"/>
    </row>
    <row r="152" spans="2:19" ht="25.5" customHeight="1">
      <c r="B152" s="1"/>
      <c r="C152" s="1"/>
      <c r="D152" s="1"/>
      <c r="E152" s="1"/>
      <c r="F152" s="1"/>
      <c r="G152" s="1"/>
      <c r="H152" s="2"/>
      <c r="I152" s="1"/>
      <c r="J152" s="1"/>
      <c r="K152" s="1"/>
      <c r="L152" s="1"/>
      <c r="M152" s="1"/>
      <c r="N152" s="1"/>
      <c r="O152" s="1"/>
      <c r="P152" s="1"/>
      <c r="Q152" s="1"/>
      <c r="R152" s="3"/>
      <c r="S152" s="3"/>
    </row>
    <row r="153" spans="2:19" ht="25.5" customHeight="1">
      <c r="B153" s="1"/>
      <c r="C153" s="1"/>
      <c r="D153" s="1"/>
      <c r="E153" s="1"/>
      <c r="F153" s="1"/>
      <c r="G153" s="1"/>
      <c r="H153" s="2"/>
      <c r="I153" s="1"/>
      <c r="J153" s="1"/>
      <c r="K153" s="1"/>
      <c r="L153" s="1"/>
      <c r="M153" s="1"/>
      <c r="N153" s="1"/>
      <c r="O153" s="1"/>
      <c r="P153" s="1"/>
      <c r="Q153" s="1"/>
      <c r="R153" s="3"/>
      <c r="S153" s="3"/>
    </row>
    <row r="154" spans="2:19" ht="15.75" customHeight="1"/>
    <row r="155" spans="2:19" ht="15.75" customHeight="1"/>
    <row r="156" spans="2:19" ht="15.75" customHeight="1"/>
    <row r="157" spans="2:19" ht="15.75" customHeight="1"/>
    <row r="158" spans="2:19" ht="15.75" customHeight="1"/>
    <row r="159" spans="2:19" ht="15.75" customHeight="1"/>
    <row r="160" spans="2:19"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D30" r:id="rId1"/>
  </hyperlinks>
  <pageMargins left="0.511811024" right="0.511811024" top="0.78740157499999996" bottom="0.78740157499999996" header="0" footer="0"/>
  <pageSetup paperSize="9" orientation="portrait"/>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FBFBF"/>
  </sheetPr>
  <dimension ref="A1:K1000"/>
  <sheetViews>
    <sheetView topLeftCell="A38" workbookViewId="0">
      <selection activeCell="L49" sqref="L49"/>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8.42578125" customWidth="1"/>
    <col min="8" max="8" width="16.42578125" customWidth="1"/>
    <col min="9" max="9" width="11.28515625" customWidth="1"/>
    <col min="10" max="10" width="16.5703125" customWidth="1"/>
    <col min="11" max="11" width="1.42578125" customWidth="1"/>
  </cols>
  <sheetData>
    <row r="1" spans="1:11" ht="11.25" customHeight="1">
      <c r="A1" s="574"/>
      <c r="B1" s="754"/>
      <c r="C1" s="754"/>
      <c r="D1" s="754"/>
      <c r="E1" s="754"/>
      <c r="F1" s="754"/>
      <c r="G1" s="754"/>
      <c r="H1" s="754"/>
      <c r="I1" s="754"/>
      <c r="J1" s="755"/>
      <c r="K1" s="754"/>
    </row>
    <row r="2" spans="1:11" ht="22.5" customHeight="1">
      <c r="A2" s="754"/>
      <c r="B2" s="1245" t="str">
        <f>'1-ABA-DE-CARREGAMENTO'!C11</f>
        <v xml:space="preserve"> S E R V I Ç O S     -   REFEITORIO_×_JARDINAGEM</v>
      </c>
      <c r="C2" s="1130"/>
      <c r="D2" s="1130"/>
      <c r="E2" s="1130"/>
      <c r="F2" s="1130"/>
      <c r="G2" s="1130"/>
      <c r="H2" s="1130"/>
      <c r="I2" s="1130"/>
      <c r="J2" s="1128"/>
      <c r="K2" s="756"/>
    </row>
    <row r="3" spans="1:11" ht="17.25" customHeight="1">
      <c r="A3" s="754"/>
      <c r="B3" s="1246" t="str">
        <f>'1-ABA-DE-CARREGAMENTO'!F33</f>
        <v>6220-10_JARDINEIRO_hs</v>
      </c>
      <c r="C3" s="1060"/>
      <c r="D3" s="1060"/>
      <c r="E3" s="1060"/>
      <c r="F3" s="1060"/>
      <c r="G3" s="1060"/>
      <c r="H3" s="1060"/>
      <c r="I3" s="1060"/>
      <c r="J3" s="1062"/>
      <c r="K3" s="757"/>
    </row>
    <row r="4" spans="1:11" ht="11.25" customHeight="1">
      <c r="A4" s="754"/>
      <c r="B4" s="1247" t="s">
        <v>511</v>
      </c>
      <c r="C4" s="1060"/>
      <c r="D4" s="1060"/>
      <c r="E4" s="1060"/>
      <c r="F4" s="1062"/>
      <c r="G4" s="1248">
        <f>'1-ABA-DE-CARREGAMENTO'!C12</f>
        <v>0</v>
      </c>
      <c r="H4" s="1060"/>
      <c r="I4" s="1060"/>
      <c r="J4" s="1062"/>
      <c r="K4" s="758"/>
    </row>
    <row r="5" spans="1:11" ht="11.25" customHeight="1">
      <c r="A5" s="754"/>
      <c r="B5" s="1178" t="s">
        <v>512</v>
      </c>
      <c r="C5" s="1009"/>
      <c r="D5" s="1009"/>
      <c r="E5" s="1009"/>
      <c r="F5" s="1010"/>
      <c r="G5" s="1249">
        <f>'1-ABA-DE-CARREGAMENTO'!C13</f>
        <v>0</v>
      </c>
      <c r="H5" s="1009"/>
      <c r="I5" s="1009"/>
      <c r="J5" s="1010"/>
      <c r="K5" s="758"/>
    </row>
    <row r="6" spans="1:11" ht="11.25" customHeight="1">
      <c r="A6" s="754"/>
      <c r="B6" s="1250">
        <f>'1-ABA-DE-CARREGAMENTO'!C16</f>
        <v>0</v>
      </c>
      <c r="C6" s="1009"/>
      <c r="D6" s="1009"/>
      <c r="E6" s="1009"/>
      <c r="F6" s="1009"/>
      <c r="G6" s="1009"/>
      <c r="H6" s="1009"/>
      <c r="I6" s="1009"/>
      <c r="J6" s="1010"/>
      <c r="K6" s="760"/>
    </row>
    <row r="7" spans="1:11" ht="11.25" customHeight="1">
      <c r="A7" s="754"/>
      <c r="B7" s="1086" t="s">
        <v>513</v>
      </c>
      <c r="C7" s="1009"/>
      <c r="D7" s="1009"/>
      <c r="E7" s="1009"/>
      <c r="F7" s="1009"/>
      <c r="G7" s="1009"/>
      <c r="H7" s="1009"/>
      <c r="I7" s="1009"/>
      <c r="J7" s="1010"/>
      <c r="K7" s="594"/>
    </row>
    <row r="8" spans="1:11" ht="11.25" customHeight="1">
      <c r="A8" s="754"/>
      <c r="B8" s="761" t="s">
        <v>514</v>
      </c>
      <c r="C8" s="1178" t="s">
        <v>515</v>
      </c>
      <c r="D8" s="1009"/>
      <c r="E8" s="1009"/>
      <c r="F8" s="1009"/>
      <c r="G8" s="1009"/>
      <c r="H8" s="1010"/>
      <c r="I8" s="1251">
        <f>'1-ABA-DE-CARREGAMENTO'!C16</f>
        <v>0</v>
      </c>
      <c r="J8" s="1010"/>
      <c r="K8" s="762"/>
    </row>
    <row r="9" spans="1:11" ht="11.25" customHeight="1">
      <c r="A9" s="754"/>
      <c r="B9" s="761" t="s">
        <v>516</v>
      </c>
      <c r="C9" s="1178" t="s">
        <v>517</v>
      </c>
      <c r="D9" s="1009"/>
      <c r="E9" s="1009"/>
      <c r="F9" s="1009"/>
      <c r="G9" s="1009"/>
      <c r="H9" s="1010"/>
      <c r="I9" s="1249" t="str">
        <f>'1-ABA-DE-CARREGAMENTO'!C14</f>
        <v xml:space="preserve">JULIO-DE-CASTILHOS </v>
      </c>
      <c r="J9" s="1010"/>
      <c r="K9" s="758"/>
    </row>
    <row r="10" spans="1:11" ht="11.25" customHeight="1">
      <c r="A10" s="754"/>
      <c r="B10" s="761" t="s">
        <v>518</v>
      </c>
      <c r="C10" s="1178" t="s">
        <v>519</v>
      </c>
      <c r="D10" s="1009"/>
      <c r="E10" s="1009"/>
      <c r="F10" s="1009"/>
      <c r="G10" s="1009"/>
      <c r="H10" s="1010"/>
      <c r="I10" s="1249" t="str">
        <f>'1-ABA-DE-CARREGAMENTO'!F35</f>
        <v>RS000044/2023</v>
      </c>
      <c r="J10" s="1010"/>
      <c r="K10" s="758"/>
    </row>
    <row r="11" spans="1:11" ht="11.25" customHeight="1">
      <c r="A11" s="754"/>
      <c r="B11" s="761" t="s">
        <v>520</v>
      </c>
      <c r="C11" s="1178" t="s">
        <v>521</v>
      </c>
      <c r="D11" s="1009"/>
      <c r="E11" s="1009"/>
      <c r="F11" s="1009"/>
      <c r="G11" s="1009"/>
      <c r="H11" s="1010"/>
      <c r="I11" s="1240">
        <f>'1-ABA-DE-CARREGAMENTO'!F94</f>
        <v>30</v>
      </c>
      <c r="J11" s="1010"/>
      <c r="K11" s="758"/>
    </row>
    <row r="12" spans="1:11" ht="11.25" customHeight="1">
      <c r="A12" s="754"/>
      <c r="B12" s="1140" t="s">
        <v>522</v>
      </c>
      <c r="C12" s="1009"/>
      <c r="D12" s="1009"/>
      <c r="E12" s="1009"/>
      <c r="F12" s="1009"/>
      <c r="G12" s="1009"/>
      <c r="H12" s="1009"/>
      <c r="I12" s="1009"/>
      <c r="J12" s="1010"/>
      <c r="K12" s="592"/>
    </row>
    <row r="13" spans="1:11" ht="11.25" customHeight="1">
      <c r="A13" s="754"/>
      <c r="B13" s="1185" t="str">
        <f>'1-ABA-DE-CARREGAMENTO'!C11</f>
        <v xml:space="preserve"> S E R V I Ç O S     -   REFEITORIO_×_JARDINAGEM</v>
      </c>
      <c r="C13" s="1009"/>
      <c r="D13" s="1009"/>
      <c r="E13" s="1009"/>
      <c r="F13" s="1030"/>
      <c r="G13" s="1185" t="s">
        <v>523</v>
      </c>
      <c r="H13" s="1010"/>
      <c r="I13" s="1185" t="s">
        <v>524</v>
      </c>
      <c r="J13" s="1010"/>
      <c r="K13" s="763"/>
    </row>
    <row r="14" spans="1:11" ht="11.25" hidden="1" customHeight="1" outlineLevel="1">
      <c r="A14" s="754"/>
      <c r="B14" s="1241" t="s">
        <v>525</v>
      </c>
      <c r="C14" s="1009"/>
      <c r="D14" s="1009"/>
      <c r="E14" s="1009"/>
      <c r="F14" s="1010"/>
      <c r="G14" s="1242" t="s">
        <v>526</v>
      </c>
      <c r="H14" s="1010"/>
      <c r="I14" s="1243" t="s">
        <v>527</v>
      </c>
      <c r="J14" s="1010"/>
      <c r="K14" s="764"/>
    </row>
    <row r="15" spans="1:11" ht="11.25" hidden="1" customHeight="1" outlineLevel="1">
      <c r="A15" s="754"/>
      <c r="B15" s="1241" t="s">
        <v>528</v>
      </c>
      <c r="C15" s="1009"/>
      <c r="D15" s="1009"/>
      <c r="E15" s="1009"/>
      <c r="F15" s="1010"/>
      <c r="G15" s="1242" t="s">
        <v>526</v>
      </c>
      <c r="H15" s="1010"/>
      <c r="I15" s="1243" t="s">
        <v>527</v>
      </c>
      <c r="J15" s="1010"/>
      <c r="K15" s="764"/>
    </row>
    <row r="16" spans="1:11" ht="11.25" hidden="1" customHeight="1" outlineLevel="1">
      <c r="A16" s="754"/>
      <c r="B16" s="1241" t="s">
        <v>529</v>
      </c>
      <c r="C16" s="1009"/>
      <c r="D16" s="1009"/>
      <c r="E16" s="1009"/>
      <c r="F16" s="1010"/>
      <c r="G16" s="1242" t="s">
        <v>526</v>
      </c>
      <c r="H16" s="1010"/>
      <c r="I16" s="1243" t="s">
        <v>527</v>
      </c>
      <c r="J16" s="1010"/>
      <c r="K16" s="764"/>
    </row>
    <row r="17" spans="1:11" ht="11.25" customHeight="1" collapsed="1">
      <c r="A17" s="754"/>
      <c r="B17" s="1241" t="str">
        <f>B3</f>
        <v>6220-10_JARDINEIRO_hs</v>
      </c>
      <c r="C17" s="1009"/>
      <c r="D17" s="1009"/>
      <c r="E17" s="1009"/>
      <c r="F17" s="1010"/>
      <c r="G17" s="1242" t="s">
        <v>526</v>
      </c>
      <c r="H17" s="1010"/>
      <c r="I17" s="1243">
        <f>'1-ABA-DE-CARREGAMENTO'!F92</f>
        <v>0</v>
      </c>
      <c r="J17" s="1010"/>
      <c r="K17" s="764"/>
    </row>
    <row r="18" spans="1:11" ht="11.25" hidden="1" customHeight="1" outlineLevel="1">
      <c r="A18" s="754"/>
      <c r="B18" s="1241" t="s">
        <v>530</v>
      </c>
      <c r="C18" s="1009"/>
      <c r="D18" s="1009"/>
      <c r="E18" s="1009"/>
      <c r="F18" s="1010"/>
      <c r="G18" s="1242" t="s">
        <v>526</v>
      </c>
      <c r="H18" s="1010"/>
      <c r="I18" s="1243" t="s">
        <v>527</v>
      </c>
      <c r="J18" s="1010"/>
      <c r="K18" s="764"/>
    </row>
    <row r="19" spans="1:11" ht="11.25" hidden="1" customHeight="1" outlineLevel="1">
      <c r="A19" s="754"/>
      <c r="B19" s="1241" t="s">
        <v>840</v>
      </c>
      <c r="C19" s="1009"/>
      <c r="D19" s="1009"/>
      <c r="E19" s="1009"/>
      <c r="F19" s="1010"/>
      <c r="G19" s="1242" t="s">
        <v>526</v>
      </c>
      <c r="H19" s="1010"/>
      <c r="I19" s="1243" t="s">
        <v>527</v>
      </c>
      <c r="J19" s="1010"/>
      <c r="K19" s="764"/>
    </row>
    <row r="20" spans="1:11" ht="11.25" customHeight="1" collapsed="1">
      <c r="A20" s="754"/>
      <c r="B20" s="1254" t="s">
        <v>532</v>
      </c>
      <c r="C20" s="1009"/>
      <c r="D20" s="1009"/>
      <c r="E20" s="1009"/>
      <c r="F20" s="1009"/>
      <c r="G20" s="1009"/>
      <c r="H20" s="1010"/>
      <c r="I20" s="1253">
        <f>SUM(I14:I19)</f>
        <v>0</v>
      </c>
      <c r="J20" s="1010"/>
      <c r="K20" s="765"/>
    </row>
    <row r="21" spans="1:11" ht="11.25" customHeight="1">
      <c r="A21" s="754"/>
      <c r="B21" s="1220"/>
      <c r="C21" s="1009"/>
      <c r="D21" s="1009"/>
      <c r="E21" s="1009"/>
      <c r="F21" s="1009"/>
      <c r="G21" s="1009"/>
      <c r="H21" s="1009"/>
      <c r="I21" s="1009"/>
      <c r="J21" s="1010"/>
      <c r="K21" s="763"/>
    </row>
    <row r="22" spans="1:11" ht="11.25" customHeight="1">
      <c r="A22" s="754"/>
      <c r="B22" s="1211" t="s">
        <v>533</v>
      </c>
      <c r="C22" s="1009"/>
      <c r="D22" s="1009"/>
      <c r="E22" s="1009"/>
      <c r="F22" s="1009"/>
      <c r="G22" s="1009"/>
      <c r="H22" s="1009"/>
      <c r="I22" s="1009"/>
      <c r="J22" s="1010"/>
      <c r="K22" s="766"/>
    </row>
    <row r="23" spans="1:11" ht="11.25" customHeight="1">
      <c r="A23" s="754"/>
      <c r="B23" s="1225"/>
      <c r="C23" s="1009"/>
      <c r="D23" s="1009"/>
      <c r="E23" s="1009"/>
      <c r="F23" s="1009"/>
      <c r="G23" s="1009"/>
      <c r="H23" s="1009"/>
      <c r="I23" s="1009"/>
      <c r="J23" s="1010"/>
      <c r="K23" s="376"/>
    </row>
    <row r="24" spans="1:11" ht="11.25" customHeight="1">
      <c r="A24" s="754"/>
      <c r="B24" s="1255" t="s">
        <v>841</v>
      </c>
      <c r="C24" s="1009"/>
      <c r="D24" s="1009"/>
      <c r="E24" s="1009"/>
      <c r="F24" s="1009"/>
      <c r="G24" s="1009"/>
      <c r="H24" s="1009"/>
      <c r="I24" s="1009"/>
      <c r="J24" s="1010"/>
      <c r="K24" s="767"/>
    </row>
    <row r="25" spans="1:11" ht="11.25" customHeight="1">
      <c r="A25" s="754"/>
      <c r="B25" s="1123"/>
      <c r="C25" s="1009"/>
      <c r="D25" s="1009"/>
      <c r="E25" s="1009"/>
      <c r="F25" s="1009"/>
      <c r="G25" s="1009"/>
      <c r="H25" s="1009"/>
      <c r="I25" s="1009"/>
      <c r="J25" s="1010"/>
      <c r="K25" s="602"/>
    </row>
    <row r="26" spans="1:11" ht="11.25" customHeight="1">
      <c r="A26" s="763"/>
      <c r="B26" s="1086" t="s">
        <v>535</v>
      </c>
      <c r="C26" s="1009"/>
      <c r="D26" s="1009"/>
      <c r="E26" s="1009"/>
      <c r="F26" s="1009"/>
      <c r="G26" s="1009"/>
      <c r="H26" s="1009"/>
      <c r="I26" s="1009"/>
      <c r="J26" s="1010"/>
      <c r="K26" s="594"/>
    </row>
    <row r="27" spans="1:11" ht="24" customHeight="1">
      <c r="A27" s="754"/>
      <c r="B27" s="761">
        <v>1</v>
      </c>
      <c r="C27" s="1178" t="s">
        <v>536</v>
      </c>
      <c r="D27" s="1009"/>
      <c r="E27" s="1009"/>
      <c r="F27" s="1009"/>
      <c r="G27" s="1009"/>
      <c r="H27" s="1010"/>
      <c r="I27" s="1256" t="str">
        <f>'1-ABA-DE-CARREGAMENTO'!F33</f>
        <v>6220-10_JARDINEIRO_hs</v>
      </c>
      <c r="J27" s="1010"/>
      <c r="K27" s="768"/>
    </row>
    <row r="28" spans="1:11" ht="11.25" customHeight="1">
      <c r="A28" s="754"/>
      <c r="B28" s="769">
        <v>2</v>
      </c>
      <c r="C28" s="1215" t="s">
        <v>537</v>
      </c>
      <c r="D28" s="1009"/>
      <c r="E28" s="1009"/>
      <c r="F28" s="1009"/>
      <c r="G28" s="1009"/>
      <c r="H28" s="1010"/>
      <c r="I28" s="1257"/>
      <c r="J28" s="1010"/>
      <c r="K28" s="770"/>
    </row>
    <row r="29" spans="1:11" ht="52.5" customHeight="1">
      <c r="A29" s="754"/>
      <c r="B29" s="761">
        <v>3</v>
      </c>
      <c r="C29" s="1258" t="s">
        <v>842</v>
      </c>
      <c r="D29" s="948"/>
      <c r="E29" s="748">
        <v>220</v>
      </c>
      <c r="F29" s="606">
        <f>'1-ABA-DE-CARREGAMENTO'!F37</f>
        <v>1431.04</v>
      </c>
      <c r="G29" s="771" t="s">
        <v>539</v>
      </c>
      <c r="H29" s="772">
        <f>'1-ABA-DE-CARREGAMENTO'!F52/I40</f>
        <v>220</v>
      </c>
      <c r="I29" s="1259">
        <f>F29/E29*H29</f>
        <v>1431.04</v>
      </c>
      <c r="J29" s="1010"/>
      <c r="K29" s="773"/>
    </row>
    <row r="30" spans="1:11" ht="11.25" customHeight="1">
      <c r="A30" s="754"/>
      <c r="B30" s="761">
        <v>4</v>
      </c>
      <c r="C30" s="1178" t="s">
        <v>540</v>
      </c>
      <c r="D30" s="1009"/>
      <c r="E30" s="1009"/>
      <c r="F30" s="1009"/>
      <c r="G30" s="1009"/>
      <c r="H30" s="1010"/>
      <c r="I30" s="1260"/>
      <c r="J30" s="1010"/>
      <c r="K30" s="774"/>
    </row>
    <row r="31" spans="1:11" ht="11.25" customHeight="1">
      <c r="A31" s="754"/>
      <c r="B31" s="761">
        <v>5</v>
      </c>
      <c r="C31" s="1178" t="s">
        <v>541</v>
      </c>
      <c r="D31" s="1009"/>
      <c r="E31" s="1009"/>
      <c r="F31" s="1009"/>
      <c r="G31" s="1009"/>
      <c r="H31" s="1010"/>
      <c r="I31" s="1244" t="str">
        <f>'1-ABA-DE-CARREGAMENTO'!F36</f>
        <v>01 de JANEIRO</v>
      </c>
      <c r="J31" s="1010"/>
      <c r="K31" s="775"/>
    </row>
    <row r="32" spans="1:11" ht="12.75" customHeight="1">
      <c r="A32" s="754"/>
      <c r="B32" s="776">
        <v>6</v>
      </c>
      <c r="C32" s="1229" t="s">
        <v>843</v>
      </c>
      <c r="D32" s="1009"/>
      <c r="E32" s="1009"/>
      <c r="F32" s="1009"/>
      <c r="G32" s="1009"/>
      <c r="H32" s="1010"/>
      <c r="I32" s="1231">
        <f>I29/H29</f>
        <v>6.5047272727272727</v>
      </c>
      <c r="J32" s="1010"/>
      <c r="K32" s="777"/>
    </row>
    <row r="33" spans="1:11" ht="40.5" customHeight="1">
      <c r="A33" s="754"/>
      <c r="B33" s="776">
        <v>7</v>
      </c>
      <c r="C33" s="1229" t="s">
        <v>844</v>
      </c>
      <c r="D33" s="1009"/>
      <c r="E33" s="1009"/>
      <c r="F33" s="1010"/>
      <c r="G33" s="1239"/>
      <c r="H33" s="1010"/>
      <c r="I33" s="1230">
        <f>(SUM(J47:J50)/H29)</f>
        <v>7.8056727272727278</v>
      </c>
      <c r="J33" s="1010"/>
      <c r="K33" s="777"/>
    </row>
    <row r="34" spans="1:11" ht="27" customHeight="1">
      <c r="A34" s="754"/>
      <c r="B34" s="776">
        <v>8</v>
      </c>
      <c r="C34" s="1229" t="s">
        <v>845</v>
      </c>
      <c r="D34" s="1009"/>
      <c r="E34" s="1009"/>
      <c r="F34" s="1010"/>
      <c r="G34" s="1239"/>
      <c r="H34" s="1010"/>
      <c r="I34" s="1231">
        <f t="shared" ref="I34:I35" si="0">I32*1.5</f>
        <v>9.757090909090909</v>
      </c>
      <c r="J34" s="1010"/>
      <c r="K34" s="777"/>
    </row>
    <row r="35" spans="1:11" ht="27" customHeight="1">
      <c r="A35" s="754"/>
      <c r="B35" s="776">
        <v>9</v>
      </c>
      <c r="C35" s="1229" t="s">
        <v>846</v>
      </c>
      <c r="D35" s="1009"/>
      <c r="E35" s="1009"/>
      <c r="F35" s="1010"/>
      <c r="G35" s="1239" t="s">
        <v>546</v>
      </c>
      <c r="H35" s="1010"/>
      <c r="I35" s="1230">
        <f t="shared" si="0"/>
        <v>11.708509090909091</v>
      </c>
      <c r="J35" s="1010"/>
      <c r="K35" s="778"/>
    </row>
    <row r="36" spans="1:11" ht="27" customHeight="1">
      <c r="A36" s="754"/>
      <c r="B36" s="776">
        <v>10</v>
      </c>
      <c r="C36" s="1229" t="s">
        <v>847</v>
      </c>
      <c r="D36" s="1009"/>
      <c r="E36" s="1009"/>
      <c r="F36" s="1009"/>
      <c r="G36" s="1009"/>
      <c r="H36" s="1010"/>
      <c r="I36" s="1231">
        <f>I35*1.2</f>
        <v>14.050210909090909</v>
      </c>
      <c r="J36" s="1010"/>
      <c r="K36" s="777"/>
    </row>
    <row r="37" spans="1:11" ht="27" customHeight="1">
      <c r="A37" s="754"/>
      <c r="B37" s="776">
        <v>11</v>
      </c>
      <c r="C37" s="1229" t="s">
        <v>848</v>
      </c>
      <c r="D37" s="1009"/>
      <c r="E37" s="1009"/>
      <c r="F37" s="1009"/>
      <c r="G37" s="1009"/>
      <c r="H37" s="1010"/>
      <c r="I37" s="1230">
        <f>I35*2</f>
        <v>23.417018181818182</v>
      </c>
      <c r="J37" s="1010"/>
      <c r="K37" s="777"/>
    </row>
    <row r="38" spans="1:11" ht="24" customHeight="1">
      <c r="A38" s="754"/>
      <c r="B38" s="776">
        <v>12</v>
      </c>
      <c r="C38" s="1229" t="s">
        <v>849</v>
      </c>
      <c r="D38" s="1009"/>
      <c r="E38" s="1009"/>
      <c r="F38" s="1009"/>
      <c r="G38" s="1009"/>
      <c r="H38" s="1010"/>
      <c r="I38" s="1231">
        <f>I32*2.5</f>
        <v>16.261818181818182</v>
      </c>
      <c r="J38" s="1010"/>
      <c r="K38" s="777"/>
    </row>
    <row r="39" spans="1:11" ht="15.75" customHeight="1">
      <c r="A39" s="754"/>
      <c r="B39" s="776">
        <v>13</v>
      </c>
      <c r="C39" s="1233" t="s">
        <v>550</v>
      </c>
      <c r="D39" s="1130"/>
      <c r="E39" s="1130"/>
      <c r="F39" s="1130"/>
      <c r="G39" s="1130"/>
      <c r="H39" s="1128"/>
      <c r="I39" s="1232">
        <f>ROUND(I32/6,2)*1.3*0</f>
        <v>0</v>
      </c>
      <c r="J39" s="1128"/>
      <c r="K39" s="777"/>
    </row>
    <row r="40" spans="1:11" ht="15.75" customHeight="1">
      <c r="A40" s="754"/>
      <c r="B40" s="779">
        <v>14</v>
      </c>
      <c r="C40" s="1234" t="s">
        <v>551</v>
      </c>
      <c r="D40" s="948"/>
      <c r="E40" s="948"/>
      <c r="F40" s="948"/>
      <c r="G40" s="948"/>
      <c r="H40" s="1235"/>
      <c r="I40" s="1236">
        <f>'1-ABA-DE-CARREGAMENTO'!F93</f>
        <v>1</v>
      </c>
      <c r="J40" s="949"/>
      <c r="K40" s="780"/>
    </row>
    <row r="41" spans="1:11" ht="11.25" customHeight="1">
      <c r="A41" s="754"/>
      <c r="B41" s="776">
        <v>15</v>
      </c>
      <c r="C41" s="1237" t="s">
        <v>552</v>
      </c>
      <c r="D41" s="1060"/>
      <c r="E41" s="1060"/>
      <c r="F41" s="1060"/>
      <c r="G41" s="1060"/>
      <c r="H41" s="1062"/>
      <c r="I41" s="1238">
        <f>'1-ABA-DE-CARREGAMENTO'!E42</f>
        <v>1320</v>
      </c>
      <c r="J41" s="1062"/>
      <c r="K41" s="781"/>
    </row>
    <row r="42" spans="1:11" ht="11.25" customHeight="1">
      <c r="A42" s="754"/>
      <c r="B42" s="1225"/>
      <c r="C42" s="1009"/>
      <c r="D42" s="1009"/>
      <c r="E42" s="1009"/>
      <c r="F42" s="1009"/>
      <c r="G42" s="1009"/>
      <c r="H42" s="1009"/>
      <c r="I42" s="1009"/>
      <c r="J42" s="1010"/>
      <c r="K42" s="376"/>
    </row>
    <row r="43" spans="1:11" ht="28.5" customHeight="1">
      <c r="A43" s="754"/>
      <c r="B43" s="1214" t="s">
        <v>553</v>
      </c>
      <c r="C43" s="1009"/>
      <c r="D43" s="1009"/>
      <c r="E43" s="1009"/>
      <c r="F43" s="1009"/>
      <c r="G43" s="1009"/>
      <c r="H43" s="1009"/>
      <c r="I43" s="1009"/>
      <c r="J43" s="1010"/>
      <c r="K43" s="782"/>
    </row>
    <row r="44" spans="1:11" ht="11.25" customHeight="1">
      <c r="A44" s="754"/>
      <c r="B44" s="1226"/>
      <c r="C44" s="1009"/>
      <c r="D44" s="1009"/>
      <c r="E44" s="1009"/>
      <c r="F44" s="1009"/>
      <c r="G44" s="1009"/>
      <c r="H44" s="1009"/>
      <c r="I44" s="1009"/>
      <c r="J44" s="1010"/>
      <c r="K44" s="783"/>
    </row>
    <row r="45" spans="1:11" ht="24" customHeight="1">
      <c r="A45" s="754"/>
      <c r="B45" s="1227" t="s">
        <v>554</v>
      </c>
      <c r="C45" s="1009"/>
      <c r="D45" s="1009"/>
      <c r="E45" s="1009"/>
      <c r="F45" s="1009"/>
      <c r="G45" s="1009"/>
      <c r="H45" s="1009"/>
      <c r="I45" s="1009"/>
      <c r="J45" s="1010"/>
      <c r="K45" s="784"/>
    </row>
    <row r="46" spans="1:11" ht="11.25" customHeight="1">
      <c r="A46" s="785"/>
      <c r="B46" s="622">
        <v>1</v>
      </c>
      <c r="C46" s="1083" t="s">
        <v>555</v>
      </c>
      <c r="D46" s="1009"/>
      <c r="E46" s="1009"/>
      <c r="F46" s="1009"/>
      <c r="G46" s="1009"/>
      <c r="H46" s="1010"/>
      <c r="I46" s="786" t="s">
        <v>556</v>
      </c>
      <c r="J46" s="622" t="s">
        <v>557</v>
      </c>
      <c r="K46" s="592"/>
    </row>
    <row r="47" spans="1:11" ht="12.75" customHeight="1">
      <c r="A47" s="754"/>
      <c r="B47" s="761" t="s">
        <v>514</v>
      </c>
      <c r="C47" s="1178" t="s">
        <v>558</v>
      </c>
      <c r="D47" s="1009"/>
      <c r="E47" s="1009"/>
      <c r="F47" s="1010"/>
      <c r="G47" s="787" t="s">
        <v>185</v>
      </c>
      <c r="H47" s="788">
        <f>'1-ABA-DE-CARREGAMENTO'!F52</f>
        <v>220</v>
      </c>
      <c r="I47" s="787"/>
      <c r="J47" s="789">
        <f>I29*I40</f>
        <v>1431.04</v>
      </c>
      <c r="K47" s="790"/>
    </row>
    <row r="48" spans="1:11" ht="11.25" customHeight="1">
      <c r="A48" s="754"/>
      <c r="B48" s="761" t="s">
        <v>516</v>
      </c>
      <c r="C48" s="1178" t="s">
        <v>790</v>
      </c>
      <c r="D48" s="1009"/>
      <c r="E48" s="1009"/>
      <c r="F48" s="1228" t="str">
        <f>'1-ABA-DE-CARREGAMENTO'!F38</f>
        <v>SEM ADICIONAL DE FUNÇÃO</v>
      </c>
      <c r="G48" s="1009"/>
      <c r="H48" s="1010"/>
      <c r="I48" s="791">
        <f>'1-ABA-DE-CARREGAMENTO'!F39</f>
        <v>0</v>
      </c>
      <c r="J48" s="789">
        <f>J47*I48</f>
        <v>0</v>
      </c>
      <c r="K48" s="790"/>
    </row>
    <row r="49" spans="1:11" ht="25.5" customHeight="1">
      <c r="A49" s="754"/>
      <c r="B49" s="761" t="s">
        <v>518</v>
      </c>
      <c r="C49" s="1178" t="s">
        <v>850</v>
      </c>
      <c r="D49" s="1009"/>
      <c r="E49" s="1009"/>
      <c r="F49" s="1009"/>
      <c r="G49" s="1009"/>
      <c r="H49" s="1010"/>
      <c r="I49" s="792">
        <f>'1-ABA-DE-CARREGAMENTO'!F44</f>
        <v>0</v>
      </c>
      <c r="J49" s="789">
        <f>ROUND(J47*I49,2)</f>
        <v>0</v>
      </c>
      <c r="K49" s="790"/>
    </row>
    <row r="50" spans="1:11" ht="13.5" customHeight="1">
      <c r="A50" s="754"/>
      <c r="B50" s="761" t="s">
        <v>520</v>
      </c>
      <c r="C50" s="1178" t="s">
        <v>792</v>
      </c>
      <c r="D50" s="1009"/>
      <c r="E50" s="1009"/>
      <c r="F50" s="1009"/>
      <c r="G50" s="1223" t="str">
        <f>'1-ABA-DE-CARREGAMENTO'!F40</f>
        <v>INSALUB S/NORMATIVO</v>
      </c>
      <c r="H50" s="1128"/>
      <c r="I50" s="793">
        <f>'1-ABA-DE-CARREGAMENTO'!F41</f>
        <v>0.2</v>
      </c>
      <c r="J50" s="789">
        <f>IF(G50="INSALUB S/MIN. NACION.",I50*I41,IF(G50="INSALUB S/NORMATIVO",I50*F29,IF(G50="PERICULOSIDADE",0,IF(G50="SEM ADICIONAL DE RISCO",0))))</f>
        <v>286.20800000000003</v>
      </c>
      <c r="K50" s="790"/>
    </row>
    <row r="51" spans="1:11" ht="30.75" customHeight="1">
      <c r="A51" s="754"/>
      <c r="B51" s="761" t="s">
        <v>562</v>
      </c>
      <c r="C51" s="1224" t="s">
        <v>851</v>
      </c>
      <c r="D51" s="1009"/>
      <c r="E51" s="1009"/>
      <c r="F51" s="794" t="s">
        <v>564</v>
      </c>
      <c r="G51" s="795">
        <v>0</v>
      </c>
      <c r="H51" s="794" t="s">
        <v>565</v>
      </c>
      <c r="I51" s="796">
        <f>I36</f>
        <v>14.050210909090909</v>
      </c>
      <c r="J51" s="797">
        <f>G51*I51</f>
        <v>0</v>
      </c>
      <c r="K51" s="790"/>
    </row>
    <row r="52" spans="1:11" ht="43.5" hidden="1" customHeight="1" outlineLevel="1">
      <c r="A52" s="754"/>
      <c r="B52" s="761" t="s">
        <v>566</v>
      </c>
      <c r="C52" s="1215" t="s">
        <v>852</v>
      </c>
      <c r="D52" s="1009"/>
      <c r="E52" s="1009"/>
      <c r="F52" s="1009"/>
      <c r="G52" s="1009"/>
      <c r="H52" s="1009"/>
      <c r="I52" s="1010"/>
      <c r="J52" s="789">
        <f>ROUND(I38*(((12*15)+15)-((44/6)*26))*I35,2)*0+ROUND(2*4.33*I35,2)*0</f>
        <v>0</v>
      </c>
      <c r="K52" s="790"/>
    </row>
    <row r="53" spans="1:11" ht="27" hidden="1" customHeight="1" outlineLevel="1">
      <c r="A53" s="754"/>
      <c r="B53" s="761" t="s">
        <v>568</v>
      </c>
      <c r="C53" s="1215" t="s">
        <v>853</v>
      </c>
      <c r="D53" s="1009"/>
      <c r="E53" s="1009"/>
      <c r="F53" s="1009"/>
      <c r="G53" s="1009"/>
      <c r="H53" s="1009"/>
      <c r="I53" s="1010"/>
      <c r="J53" s="789">
        <f>ROUND(I39*I40*15,2)*0</f>
        <v>0</v>
      </c>
      <c r="K53" s="790"/>
    </row>
    <row r="54" spans="1:11" ht="39" customHeight="1" collapsed="1">
      <c r="A54" s="754"/>
      <c r="B54" s="761" t="s">
        <v>570</v>
      </c>
      <c r="C54" s="1215" t="s">
        <v>854</v>
      </c>
      <c r="D54" s="1009"/>
      <c r="E54" s="1009"/>
      <c r="F54" s="794" t="s">
        <v>572</v>
      </c>
      <c r="G54" s="795">
        <v>0</v>
      </c>
      <c r="H54" s="794" t="s">
        <v>855</v>
      </c>
      <c r="I54" s="796">
        <f t="shared" ref="I54:I55" si="1">I37</f>
        <v>23.417018181818182</v>
      </c>
      <c r="J54" s="789">
        <f t="shared" ref="J54:J55" si="2">G54*I54</f>
        <v>0</v>
      </c>
      <c r="K54" s="790"/>
    </row>
    <row r="55" spans="1:11" ht="39" customHeight="1">
      <c r="A55" s="754"/>
      <c r="B55" s="761" t="s">
        <v>574</v>
      </c>
      <c r="C55" s="1215" t="s">
        <v>856</v>
      </c>
      <c r="D55" s="1009"/>
      <c r="E55" s="1009"/>
      <c r="F55" s="794" t="s">
        <v>576</v>
      </c>
      <c r="G55" s="795">
        <v>0</v>
      </c>
      <c r="H55" s="794" t="s">
        <v>857</v>
      </c>
      <c r="I55" s="796">
        <f t="shared" si="1"/>
        <v>16.261818181818182</v>
      </c>
      <c r="J55" s="789">
        <f t="shared" si="2"/>
        <v>0</v>
      </c>
      <c r="K55" s="790"/>
    </row>
    <row r="56" spans="1:11" ht="40.5" customHeight="1">
      <c r="A56" s="754"/>
      <c r="B56" s="761" t="s">
        <v>578</v>
      </c>
      <c r="C56" s="1178" t="s">
        <v>858</v>
      </c>
      <c r="D56" s="1009"/>
      <c r="E56" s="1009"/>
      <c r="F56" s="1009"/>
      <c r="G56" s="1009"/>
      <c r="H56" s="1009"/>
      <c r="I56" s="1010"/>
      <c r="J56" s="789">
        <f>ROUND(((J54+J55)/25)*5,2)</f>
        <v>0</v>
      </c>
      <c r="K56" s="790"/>
    </row>
    <row r="57" spans="1:11" ht="11.25" customHeight="1">
      <c r="A57" s="754"/>
      <c r="B57" s="761" t="s">
        <v>580</v>
      </c>
      <c r="C57" s="1178" t="s">
        <v>581</v>
      </c>
      <c r="D57" s="1009"/>
      <c r="E57" s="1009"/>
      <c r="F57" s="1009"/>
      <c r="G57" s="1009"/>
      <c r="H57" s="1009"/>
      <c r="I57" s="1010"/>
      <c r="J57" s="798" t="s">
        <v>527</v>
      </c>
      <c r="K57" s="799"/>
    </row>
    <row r="58" spans="1:11" ht="27.75" customHeight="1">
      <c r="A58" s="754"/>
      <c r="B58" s="1086" t="s">
        <v>582</v>
      </c>
      <c r="C58" s="1009"/>
      <c r="D58" s="1009"/>
      <c r="E58" s="1009"/>
      <c r="F58" s="1009"/>
      <c r="G58" s="1009"/>
      <c r="H58" s="1009"/>
      <c r="I58" s="1010"/>
      <c r="J58" s="640">
        <f>SUM(J47:J57)</f>
        <v>1717.248</v>
      </c>
      <c r="K58" s="626"/>
    </row>
    <row r="59" spans="1:11" ht="11.25" customHeight="1">
      <c r="A59" s="754"/>
      <c r="B59" s="800"/>
      <c r="C59" s="1219"/>
      <c r="D59" s="1009"/>
      <c r="E59" s="1009"/>
      <c r="F59" s="1009"/>
      <c r="G59" s="1009"/>
      <c r="H59" s="1009"/>
      <c r="I59" s="1010"/>
      <c r="J59" s="642"/>
      <c r="K59" s="626"/>
    </row>
    <row r="60" spans="1:11" ht="11.25" customHeight="1">
      <c r="A60" s="754"/>
      <c r="B60" s="761" t="s">
        <v>570</v>
      </c>
      <c r="C60" s="1178" t="s">
        <v>859</v>
      </c>
      <c r="D60" s="1009"/>
      <c r="E60" s="1009"/>
      <c r="F60" s="1009"/>
      <c r="G60" s="1009"/>
      <c r="H60" s="1009"/>
      <c r="I60" s="1010"/>
      <c r="J60" s="789">
        <f>ROUND(I34*15*I40*0.5,2)*0</f>
        <v>0</v>
      </c>
      <c r="K60" s="790"/>
    </row>
    <row r="61" spans="1:11" ht="31.5" customHeight="1">
      <c r="A61" s="754"/>
      <c r="B61" s="1086" t="s">
        <v>860</v>
      </c>
      <c r="C61" s="1009"/>
      <c r="D61" s="1009"/>
      <c r="E61" s="1009"/>
      <c r="F61" s="1009"/>
      <c r="G61" s="1009"/>
      <c r="H61" s="1009"/>
      <c r="I61" s="1010"/>
      <c r="J61" s="640">
        <f>J60</f>
        <v>0</v>
      </c>
      <c r="K61" s="626"/>
    </row>
    <row r="62" spans="1:11" ht="11.25" customHeight="1">
      <c r="A62" s="754"/>
      <c r="B62" s="1220"/>
      <c r="C62" s="1009"/>
      <c r="D62" s="1009"/>
      <c r="E62" s="1009"/>
      <c r="F62" s="1009"/>
      <c r="G62" s="1009"/>
      <c r="H62" s="1009"/>
      <c r="I62" s="1009"/>
      <c r="J62" s="1010"/>
      <c r="K62" s="763"/>
    </row>
    <row r="63" spans="1:11" ht="46.5" customHeight="1">
      <c r="A63" s="754"/>
      <c r="B63" s="1221" t="s">
        <v>861</v>
      </c>
      <c r="C63" s="1009"/>
      <c r="D63" s="1009"/>
      <c r="E63" s="1009"/>
      <c r="F63" s="1009"/>
      <c r="G63" s="1009"/>
      <c r="H63" s="1009"/>
      <c r="I63" s="1010"/>
      <c r="J63" s="801">
        <f>J58+J61</f>
        <v>1717.248</v>
      </c>
      <c r="K63" s="802"/>
    </row>
    <row r="64" spans="1:11" ht="11.25" customHeight="1">
      <c r="A64" s="754"/>
      <c r="B64" s="1219"/>
      <c r="C64" s="1009"/>
      <c r="D64" s="1009"/>
      <c r="E64" s="1009"/>
      <c r="F64" s="1009"/>
      <c r="G64" s="1009"/>
      <c r="H64" s="1009"/>
      <c r="I64" s="1009"/>
      <c r="J64" s="1010"/>
      <c r="K64" s="803"/>
    </row>
    <row r="65" spans="1:11" ht="11.25" customHeight="1">
      <c r="A65" s="754"/>
      <c r="B65" s="1222" t="s">
        <v>586</v>
      </c>
      <c r="C65" s="1009"/>
      <c r="D65" s="1009"/>
      <c r="E65" s="1009"/>
      <c r="F65" s="1009"/>
      <c r="G65" s="1009"/>
      <c r="H65" s="1009"/>
      <c r="I65" s="1009"/>
      <c r="J65" s="1010"/>
      <c r="K65" s="804"/>
    </row>
    <row r="66" spans="1:11" ht="11.25" customHeight="1">
      <c r="A66" s="754"/>
      <c r="B66" s="1219"/>
      <c r="C66" s="1009"/>
      <c r="D66" s="1009"/>
      <c r="E66" s="1009"/>
      <c r="F66" s="1009"/>
      <c r="G66" s="1009"/>
      <c r="H66" s="1009"/>
      <c r="I66" s="1009"/>
      <c r="J66" s="1010"/>
      <c r="K66" s="803"/>
    </row>
    <row r="67" spans="1:11" ht="17.25" customHeight="1">
      <c r="A67" s="754"/>
      <c r="B67" s="1201" t="s">
        <v>587</v>
      </c>
      <c r="C67" s="1009"/>
      <c r="D67" s="1009"/>
      <c r="E67" s="1009"/>
      <c r="F67" s="1009"/>
      <c r="G67" s="1009"/>
      <c r="H67" s="1009"/>
      <c r="I67" s="1009"/>
      <c r="J67" s="1010"/>
      <c r="K67" s="805"/>
    </row>
    <row r="68" spans="1:11" ht="16.5" customHeight="1">
      <c r="A68" s="754"/>
      <c r="B68" s="1112" t="s">
        <v>862</v>
      </c>
      <c r="C68" s="1009"/>
      <c r="D68" s="1009"/>
      <c r="E68" s="1009"/>
      <c r="F68" s="1009"/>
      <c r="G68" s="1009"/>
      <c r="H68" s="1009"/>
      <c r="I68" s="1009"/>
      <c r="J68" s="1010"/>
      <c r="K68" s="646"/>
    </row>
    <row r="69" spans="1:11" ht="17.25" customHeight="1">
      <c r="A69" s="754"/>
      <c r="B69" s="647" t="s">
        <v>589</v>
      </c>
      <c r="C69" s="1113" t="s">
        <v>863</v>
      </c>
      <c r="D69" s="1009"/>
      <c r="E69" s="1009"/>
      <c r="F69" s="1009"/>
      <c r="G69" s="1009"/>
      <c r="H69" s="1009"/>
      <c r="I69" s="1010"/>
      <c r="J69" s="604" t="s">
        <v>591</v>
      </c>
      <c r="K69" s="487"/>
    </row>
    <row r="70" spans="1:11" ht="22.5" customHeight="1">
      <c r="A70" s="754"/>
      <c r="B70" s="647" t="s">
        <v>514</v>
      </c>
      <c r="C70" s="1215" t="s">
        <v>864</v>
      </c>
      <c r="D70" s="1009"/>
      <c r="E70" s="1009"/>
      <c r="F70" s="1009"/>
      <c r="G70" s="1009"/>
      <c r="H70" s="1010"/>
      <c r="I70" s="648">
        <v>8.3299999999999999E-2</v>
      </c>
      <c r="J70" s="806">
        <f>ROUND(J58*I70,2)</f>
        <v>143.05000000000001</v>
      </c>
      <c r="K70" s="807"/>
    </row>
    <row r="71" spans="1:11" ht="97.5" customHeight="1">
      <c r="A71" s="754"/>
      <c r="B71" s="647" t="s">
        <v>516</v>
      </c>
      <c r="C71" s="1216" t="s">
        <v>865</v>
      </c>
      <c r="D71" s="1009"/>
      <c r="E71" s="1009"/>
      <c r="F71" s="1009"/>
      <c r="G71" s="1009"/>
      <c r="H71" s="1010"/>
      <c r="I71" s="651">
        <v>3.0249999999999999E-2</v>
      </c>
      <c r="J71" s="806">
        <f>ROUND(J58*I71,2)</f>
        <v>51.95</v>
      </c>
      <c r="K71" s="807"/>
    </row>
    <row r="72" spans="1:11" ht="11.25" customHeight="1">
      <c r="A72" s="754"/>
      <c r="B72" s="1199" t="s">
        <v>594</v>
      </c>
      <c r="C72" s="1009"/>
      <c r="D72" s="1009"/>
      <c r="E72" s="1009"/>
      <c r="F72" s="1009"/>
      <c r="G72" s="1009"/>
      <c r="H72" s="1009"/>
      <c r="I72" s="1010"/>
      <c r="J72" s="808">
        <f>SUM(J70+J71)</f>
        <v>195</v>
      </c>
      <c r="K72" s="809"/>
    </row>
    <row r="73" spans="1:11" ht="11.25" customHeight="1">
      <c r="A73" s="754"/>
      <c r="B73" s="1217"/>
      <c r="C73" s="1009"/>
      <c r="D73" s="1009"/>
      <c r="E73" s="1009"/>
      <c r="F73" s="1009"/>
      <c r="G73" s="1009"/>
      <c r="H73" s="1009"/>
      <c r="I73" s="1009"/>
      <c r="J73" s="1010"/>
      <c r="K73" s="810"/>
    </row>
    <row r="74" spans="1:11" ht="11.25" customHeight="1">
      <c r="A74" s="754"/>
      <c r="B74" s="1214" t="s">
        <v>866</v>
      </c>
      <c r="C74" s="1009"/>
      <c r="D74" s="1009"/>
      <c r="E74" s="1009"/>
      <c r="F74" s="1009"/>
      <c r="G74" s="1009"/>
      <c r="H74" s="1009"/>
      <c r="I74" s="1009"/>
      <c r="J74" s="1010"/>
      <c r="K74" s="782"/>
    </row>
    <row r="75" spans="1:11" ht="11.25" customHeight="1">
      <c r="A75" s="754"/>
      <c r="B75" s="1218"/>
      <c r="C75" s="1009"/>
      <c r="D75" s="1009"/>
      <c r="E75" s="1009"/>
      <c r="F75" s="1009"/>
      <c r="G75" s="1009"/>
      <c r="H75" s="1009"/>
      <c r="I75" s="1009"/>
      <c r="J75" s="1010"/>
      <c r="K75" s="782"/>
    </row>
    <row r="76" spans="1:11" ht="29.25" customHeight="1">
      <c r="A76" s="754"/>
      <c r="B76" s="1108" t="s">
        <v>867</v>
      </c>
      <c r="C76" s="1009"/>
      <c r="D76" s="1009"/>
      <c r="E76" s="1009"/>
      <c r="F76" s="1009"/>
      <c r="G76" s="1009"/>
      <c r="H76" s="1009"/>
      <c r="I76" s="1009"/>
      <c r="J76" s="1010"/>
      <c r="K76" s="655"/>
    </row>
    <row r="77" spans="1:11" ht="27" customHeight="1">
      <c r="A77" s="754"/>
      <c r="B77" s="656" t="s">
        <v>597</v>
      </c>
      <c r="C77" s="1165" t="s">
        <v>598</v>
      </c>
      <c r="D77" s="1009"/>
      <c r="E77" s="1009"/>
      <c r="F77" s="1009"/>
      <c r="G77" s="1009"/>
      <c r="H77" s="1010"/>
      <c r="I77" s="811" t="s">
        <v>556</v>
      </c>
      <c r="J77" s="657" t="s">
        <v>599</v>
      </c>
      <c r="K77" s="487"/>
    </row>
    <row r="78" spans="1:11" ht="11.25" customHeight="1">
      <c r="A78" s="754"/>
      <c r="B78" s="812" t="s">
        <v>514</v>
      </c>
      <c r="C78" s="1178" t="s">
        <v>600</v>
      </c>
      <c r="D78" s="1009"/>
      <c r="E78" s="1009"/>
      <c r="F78" s="1009"/>
      <c r="G78" s="1009"/>
      <c r="H78" s="1010"/>
      <c r="I78" s="813">
        <v>0.2</v>
      </c>
      <c r="J78" s="814">
        <f>ROUND((J58+J72)*I78,2)</f>
        <v>382.45</v>
      </c>
      <c r="K78" s="809"/>
    </row>
    <row r="79" spans="1:11" ht="20.25" customHeight="1">
      <c r="A79" s="754"/>
      <c r="B79" s="812" t="s">
        <v>516</v>
      </c>
      <c r="C79" s="1178" t="s">
        <v>601</v>
      </c>
      <c r="D79" s="1009"/>
      <c r="E79" s="1009"/>
      <c r="F79" s="1009"/>
      <c r="G79" s="1009"/>
      <c r="H79" s="1010"/>
      <c r="I79" s="813">
        <v>2.5000000000000001E-2</v>
      </c>
      <c r="J79" s="814">
        <f>ROUND((J58+J72)*I79,2)</f>
        <v>47.81</v>
      </c>
      <c r="K79" s="809"/>
    </row>
    <row r="80" spans="1:11" ht="33" customHeight="1">
      <c r="A80" s="754"/>
      <c r="B80" s="812" t="s">
        <v>518</v>
      </c>
      <c r="C80" s="1178" t="s">
        <v>868</v>
      </c>
      <c r="D80" s="1010"/>
      <c r="E80" s="815" t="s">
        <v>603</v>
      </c>
      <c r="F80" s="816">
        <f>'1-ABA-DE-CARREGAMENTO'!F57</f>
        <v>0.03</v>
      </c>
      <c r="G80" s="815" t="s">
        <v>604</v>
      </c>
      <c r="H80" s="817">
        <f>'1-ABA-DE-CARREGAMENTO'!F58</f>
        <v>1</v>
      </c>
      <c r="I80" s="818">
        <f>ROUND((F80*H80),6)</f>
        <v>0.03</v>
      </c>
      <c r="J80" s="814">
        <f>ROUND((J58+J72)*I80,2)</f>
        <v>57.37</v>
      </c>
      <c r="K80" s="809"/>
    </row>
    <row r="81" spans="1:11" ht="11.25" customHeight="1">
      <c r="A81" s="754"/>
      <c r="B81" s="812" t="s">
        <v>520</v>
      </c>
      <c r="C81" s="1178" t="s">
        <v>605</v>
      </c>
      <c r="D81" s="1009"/>
      <c r="E81" s="1009"/>
      <c r="F81" s="1009"/>
      <c r="G81" s="1009"/>
      <c r="H81" s="1010"/>
      <c r="I81" s="813">
        <v>1.4999999999999999E-2</v>
      </c>
      <c r="J81" s="814">
        <f>ROUND((J58+J72)*I81,2)</f>
        <v>28.68</v>
      </c>
      <c r="K81" s="809"/>
    </row>
    <row r="82" spans="1:11" ht="11.25" customHeight="1">
      <c r="A82" s="754"/>
      <c r="B82" s="812" t="s">
        <v>562</v>
      </c>
      <c r="C82" s="1178" t="s">
        <v>606</v>
      </c>
      <c r="D82" s="1009"/>
      <c r="E82" s="1009"/>
      <c r="F82" s="1009"/>
      <c r="G82" s="1009"/>
      <c r="H82" s="1010"/>
      <c r="I82" s="813">
        <v>0.01</v>
      </c>
      <c r="J82" s="814">
        <f>ROUND((J58+J72)*I82,2)</f>
        <v>19.12</v>
      </c>
      <c r="K82" s="809"/>
    </row>
    <row r="83" spans="1:11" ht="11.25" customHeight="1">
      <c r="A83" s="754"/>
      <c r="B83" s="812" t="s">
        <v>566</v>
      </c>
      <c r="C83" s="1178" t="s">
        <v>607</v>
      </c>
      <c r="D83" s="1009"/>
      <c r="E83" s="1009"/>
      <c r="F83" s="1009"/>
      <c r="G83" s="1009"/>
      <c r="H83" s="1010"/>
      <c r="I83" s="813">
        <v>6.0000000000000001E-3</v>
      </c>
      <c r="J83" s="814">
        <f>ROUND((J58+J72)*I83,2)</f>
        <v>11.47</v>
      </c>
      <c r="K83" s="809"/>
    </row>
    <row r="84" spans="1:11" ht="11.25" customHeight="1">
      <c r="A84" s="754"/>
      <c r="B84" s="812" t="s">
        <v>568</v>
      </c>
      <c r="C84" s="1178" t="s">
        <v>608</v>
      </c>
      <c r="D84" s="1009"/>
      <c r="E84" s="1009"/>
      <c r="F84" s="1009"/>
      <c r="G84" s="1009"/>
      <c r="H84" s="1010"/>
      <c r="I84" s="813">
        <v>2E-3</v>
      </c>
      <c r="J84" s="814">
        <f>ROUND((J58+J72)*I84,2)</f>
        <v>3.82</v>
      </c>
      <c r="K84" s="809"/>
    </row>
    <row r="85" spans="1:11" ht="11.25" customHeight="1">
      <c r="A85" s="754"/>
      <c r="B85" s="812" t="s">
        <v>570</v>
      </c>
      <c r="C85" s="1178" t="s">
        <v>609</v>
      </c>
      <c r="D85" s="1009"/>
      <c r="E85" s="1009"/>
      <c r="F85" s="1009"/>
      <c r="G85" s="1009"/>
      <c r="H85" s="1010"/>
      <c r="I85" s="813">
        <v>0.08</v>
      </c>
      <c r="J85" s="814">
        <f>ROUND((J58+J72)*I85,2)</f>
        <v>152.97999999999999</v>
      </c>
      <c r="K85" s="809"/>
    </row>
    <row r="86" spans="1:11" ht="11.25" customHeight="1">
      <c r="A86" s="754"/>
      <c r="B86" s="1204" t="s">
        <v>594</v>
      </c>
      <c r="C86" s="1009"/>
      <c r="D86" s="1009"/>
      <c r="E86" s="1009"/>
      <c r="F86" s="1009"/>
      <c r="G86" s="1009"/>
      <c r="H86" s="1010"/>
      <c r="I86" s="819">
        <f t="shared" ref="I86:J86" si="3">SUM(I78:I85)</f>
        <v>0.36800000000000005</v>
      </c>
      <c r="J86" s="808">
        <f t="shared" si="3"/>
        <v>703.7</v>
      </c>
      <c r="K86" s="809"/>
    </row>
    <row r="87" spans="1:11" ht="11.25" customHeight="1">
      <c r="A87" s="754"/>
      <c r="B87" s="820"/>
      <c r="C87" s="666"/>
      <c r="D87" s="666"/>
      <c r="E87" s="666"/>
      <c r="F87" s="666"/>
      <c r="G87" s="666"/>
      <c r="H87" s="666"/>
      <c r="I87" s="821"/>
      <c r="J87" s="822"/>
      <c r="K87" s="809"/>
    </row>
    <row r="88" spans="1:11" ht="11.25" customHeight="1">
      <c r="A88" s="754"/>
      <c r="B88" s="1214" t="s">
        <v>610</v>
      </c>
      <c r="C88" s="1009"/>
      <c r="D88" s="1009"/>
      <c r="E88" s="1009"/>
      <c r="F88" s="1009"/>
      <c r="G88" s="1009"/>
      <c r="H88" s="1009"/>
      <c r="I88" s="1009"/>
      <c r="J88" s="1010"/>
      <c r="K88" s="782"/>
    </row>
    <row r="89" spans="1:11" ht="11.25" customHeight="1">
      <c r="A89" s="754"/>
      <c r="B89" s="1225"/>
      <c r="C89" s="1009"/>
      <c r="D89" s="1009"/>
      <c r="E89" s="1009"/>
      <c r="F89" s="1009"/>
      <c r="G89" s="1009"/>
      <c r="H89" s="1009"/>
      <c r="I89" s="1009"/>
      <c r="J89" s="1010"/>
      <c r="K89" s="376"/>
    </row>
    <row r="90" spans="1:11" ht="18" customHeight="1">
      <c r="A90" s="754"/>
      <c r="B90" s="1096" t="s">
        <v>611</v>
      </c>
      <c r="C90" s="1009"/>
      <c r="D90" s="1009"/>
      <c r="E90" s="1009"/>
      <c r="F90" s="1009"/>
      <c r="G90" s="1009"/>
      <c r="H90" s="1009"/>
      <c r="I90" s="1009"/>
      <c r="J90" s="1010"/>
      <c r="K90" s="646"/>
    </row>
    <row r="91" spans="1:11" ht="11.25" customHeight="1">
      <c r="A91" s="754"/>
      <c r="B91" s="669" t="s">
        <v>612</v>
      </c>
      <c r="C91" s="1083" t="s">
        <v>613</v>
      </c>
      <c r="D91" s="1009"/>
      <c r="E91" s="1009"/>
      <c r="F91" s="1009"/>
      <c r="G91" s="1009"/>
      <c r="H91" s="1009"/>
      <c r="I91" s="1010"/>
      <c r="J91" s="670" t="s">
        <v>591</v>
      </c>
      <c r="K91" s="592"/>
    </row>
    <row r="92" spans="1:11" ht="12.75" customHeight="1">
      <c r="A92" s="754"/>
      <c r="B92" s="823" t="s">
        <v>514</v>
      </c>
      <c r="C92" s="1178" t="s">
        <v>869</v>
      </c>
      <c r="D92" s="1009"/>
      <c r="E92" s="1009"/>
      <c r="F92" s="1009"/>
      <c r="G92" s="1009"/>
      <c r="H92" s="1010"/>
      <c r="I92" s="794">
        <f>J47</f>
        <v>1431.04</v>
      </c>
      <c r="J92" s="824">
        <f>IF(ROUND((I93*I94*I95)-(I92*H96),2)&lt;0,0,ROUND((I93*I94*I95)-(I92*H96),2))</f>
        <v>54.94</v>
      </c>
      <c r="K92" s="809"/>
    </row>
    <row r="93" spans="1:11" ht="27" customHeight="1">
      <c r="A93" s="754"/>
      <c r="B93" s="823" t="s">
        <v>516</v>
      </c>
      <c r="C93" s="1178" t="s">
        <v>870</v>
      </c>
      <c r="D93" s="1009"/>
      <c r="E93" s="1009"/>
      <c r="F93" s="1009"/>
      <c r="G93" s="1009"/>
      <c r="H93" s="1009"/>
      <c r="I93" s="825">
        <f>'1-ABA-DE-CARREGAMENTO'!F72</f>
        <v>3.2</v>
      </c>
      <c r="J93" s="826" t="s">
        <v>527</v>
      </c>
      <c r="K93" s="799"/>
    </row>
    <row r="94" spans="1:11" ht="18" customHeight="1">
      <c r="A94" s="754"/>
      <c r="B94" s="823" t="s">
        <v>518</v>
      </c>
      <c r="C94" s="1178" t="s">
        <v>871</v>
      </c>
      <c r="D94" s="1009"/>
      <c r="E94" s="1009"/>
      <c r="F94" s="1009"/>
      <c r="G94" s="1009"/>
      <c r="H94" s="1010"/>
      <c r="I94" s="827">
        <f>'1-ABA-DE-CARREGAMENTO'!F73</f>
        <v>2</v>
      </c>
      <c r="J94" s="826" t="s">
        <v>527</v>
      </c>
      <c r="K94" s="799"/>
    </row>
    <row r="95" spans="1:11" ht="18" customHeight="1">
      <c r="A95" s="754"/>
      <c r="B95" s="823" t="s">
        <v>520</v>
      </c>
      <c r="C95" s="1229" t="s">
        <v>617</v>
      </c>
      <c r="D95" s="1009"/>
      <c r="E95" s="1009"/>
      <c r="F95" s="1009"/>
      <c r="G95" s="1009"/>
      <c r="H95" s="1010"/>
      <c r="I95" s="827">
        <f>'1-ABA-DE-CARREGAMENTO'!F74</f>
        <v>22</v>
      </c>
      <c r="J95" s="826" t="s">
        <v>527</v>
      </c>
      <c r="K95" s="799"/>
    </row>
    <row r="96" spans="1:11" ht="24" customHeight="1">
      <c r="A96" s="754"/>
      <c r="B96" s="823" t="s">
        <v>562</v>
      </c>
      <c r="C96" s="1229" t="s">
        <v>618</v>
      </c>
      <c r="D96" s="1009"/>
      <c r="E96" s="1009"/>
      <c r="F96" s="1009"/>
      <c r="G96" s="1009"/>
      <c r="H96" s="828">
        <v>0.06</v>
      </c>
      <c r="I96" s="829">
        <f>H96*I92</f>
        <v>85.862399999999994</v>
      </c>
      <c r="J96" s="830" t="s">
        <v>527</v>
      </c>
      <c r="K96" s="799"/>
    </row>
    <row r="97" spans="1:11" ht="14.25" customHeight="1">
      <c r="A97" s="754"/>
      <c r="B97" s="823" t="s">
        <v>566</v>
      </c>
      <c r="C97" s="1178" t="s">
        <v>872</v>
      </c>
      <c r="D97" s="1009"/>
      <c r="E97" s="1009"/>
      <c r="F97" s="1009"/>
      <c r="G97" s="1009"/>
      <c r="H97" s="1009"/>
      <c r="I97" s="1009"/>
      <c r="J97" s="824">
        <f>ROUND(I98*I99,2)-ROUND((I98*I99)*I100,2)</f>
        <v>392.04</v>
      </c>
      <c r="K97" s="809"/>
    </row>
    <row r="98" spans="1:11" ht="18" customHeight="1">
      <c r="A98" s="754"/>
      <c r="B98" s="823" t="s">
        <v>568</v>
      </c>
      <c r="C98" s="1178" t="s">
        <v>873</v>
      </c>
      <c r="D98" s="1009"/>
      <c r="E98" s="1009"/>
      <c r="F98" s="1009"/>
      <c r="G98" s="1009"/>
      <c r="H98" s="1009"/>
      <c r="I98" s="825">
        <f>IF('1-ABA-DE-CARREGAMENTO'!F60&gt;0,'1-ABA-DE-CARREGAMENTO'!F60,'1-ABA-DE-CARREGAMENTO'!F64)</f>
        <v>22</v>
      </c>
      <c r="J98" s="831"/>
      <c r="K98" s="799"/>
    </row>
    <row r="99" spans="1:11" ht="24.75" customHeight="1">
      <c r="A99" s="754"/>
      <c r="B99" s="823" t="s">
        <v>570</v>
      </c>
      <c r="C99" s="1178" t="s">
        <v>874</v>
      </c>
      <c r="D99" s="1009"/>
      <c r="E99" s="1009"/>
      <c r="F99" s="1009"/>
      <c r="G99" s="1009"/>
      <c r="H99" s="1009"/>
      <c r="I99" s="827">
        <f>'1-ABA-DE-CARREGAMENTO'!F62</f>
        <v>22</v>
      </c>
      <c r="J99" s="831"/>
      <c r="K99" s="799"/>
    </row>
    <row r="100" spans="1:11" ht="27.75" customHeight="1">
      <c r="A100" s="754"/>
      <c r="B100" s="823" t="s">
        <v>574</v>
      </c>
      <c r="C100" s="1266" t="s">
        <v>875</v>
      </c>
      <c r="D100" s="1009"/>
      <c r="E100" s="1009"/>
      <c r="F100" s="1009"/>
      <c r="G100" s="1009"/>
      <c r="H100" s="1010"/>
      <c r="I100" s="832">
        <f>'1-ABA-DE-CARREGAMENTO'!F61</f>
        <v>0.19</v>
      </c>
      <c r="J100" s="833"/>
      <c r="K100" s="799"/>
    </row>
    <row r="101" spans="1:11" ht="13.5" customHeight="1" outlineLevel="1">
      <c r="A101" s="754"/>
      <c r="B101" s="823" t="s">
        <v>578</v>
      </c>
      <c r="C101" s="1178" t="s">
        <v>623</v>
      </c>
      <c r="D101" s="1009"/>
      <c r="E101" s="1009"/>
      <c r="F101" s="1009"/>
      <c r="G101" s="1009"/>
      <c r="H101" s="1009"/>
      <c r="I101" s="1009"/>
      <c r="J101" s="814">
        <f>'1-ABA-DE-CARREGAMENTO'!F79/12</f>
        <v>0</v>
      </c>
      <c r="K101" s="809"/>
    </row>
    <row r="102" spans="1:11" ht="13.5" customHeight="1" outlineLevel="1">
      <c r="A102" s="754"/>
      <c r="B102" s="823" t="s">
        <v>580</v>
      </c>
      <c r="C102" s="1178" t="s">
        <v>876</v>
      </c>
      <c r="D102" s="1009"/>
      <c r="E102" s="1009"/>
      <c r="F102" s="1009"/>
      <c r="G102" s="1009"/>
      <c r="H102" s="1009"/>
      <c r="I102" s="1009"/>
      <c r="J102" s="814">
        <f>'1-ABA-DE-CARREGAMENTO'!F77</f>
        <v>0</v>
      </c>
      <c r="K102" s="809"/>
    </row>
    <row r="103" spans="1:11" ht="13.5" customHeight="1" outlineLevel="1">
      <c r="A103" s="754"/>
      <c r="B103" s="823" t="s">
        <v>625</v>
      </c>
      <c r="C103" s="1178" t="s">
        <v>877</v>
      </c>
      <c r="D103" s="1009"/>
      <c r="E103" s="1009"/>
      <c r="F103" s="1009"/>
      <c r="G103" s="1009"/>
      <c r="H103" s="1009"/>
      <c r="I103" s="1010"/>
      <c r="J103" s="814">
        <v>0</v>
      </c>
      <c r="K103" s="809"/>
    </row>
    <row r="104" spans="1:11" ht="13.5" customHeight="1" outlineLevel="1">
      <c r="A104" s="754"/>
      <c r="B104" s="823" t="s">
        <v>627</v>
      </c>
      <c r="C104" s="1178" t="s">
        <v>818</v>
      </c>
      <c r="D104" s="1009"/>
      <c r="E104" s="1009"/>
      <c r="F104" s="1009"/>
      <c r="G104" s="1009"/>
      <c r="H104" s="1009"/>
      <c r="I104" s="1010"/>
      <c r="J104" s="814">
        <f>'1-ABA-DE-CARREGAMENTO'!F76</f>
        <v>18.5</v>
      </c>
      <c r="K104" s="809"/>
    </row>
    <row r="105" spans="1:11" ht="13.5" customHeight="1">
      <c r="A105" s="754"/>
      <c r="B105" s="823" t="s">
        <v>129</v>
      </c>
      <c r="C105" s="1212" t="s">
        <v>668</v>
      </c>
      <c r="D105" s="1009"/>
      <c r="E105" s="1009"/>
      <c r="F105" s="1009"/>
      <c r="G105" s="1009"/>
      <c r="H105" s="1009"/>
      <c r="I105" s="1009"/>
      <c r="J105" s="834">
        <v>0</v>
      </c>
      <c r="K105" s="835"/>
    </row>
    <row r="106" spans="1:11" ht="11.25" customHeight="1">
      <c r="A106" s="754"/>
      <c r="B106" s="836"/>
      <c r="C106" s="1204" t="s">
        <v>594</v>
      </c>
      <c r="D106" s="1009"/>
      <c r="E106" s="1009"/>
      <c r="F106" s="1009"/>
      <c r="G106" s="1009"/>
      <c r="H106" s="1009"/>
      <c r="I106" s="1030"/>
      <c r="J106" s="808">
        <f>SUM(J92:J105)</f>
        <v>465.48</v>
      </c>
      <c r="K106" s="809"/>
    </row>
    <row r="107" spans="1:11" ht="11.25" customHeight="1">
      <c r="A107" s="754"/>
      <c r="B107" s="1225"/>
      <c r="C107" s="1009"/>
      <c r="D107" s="1009"/>
      <c r="E107" s="1009"/>
      <c r="F107" s="1009"/>
      <c r="G107" s="1009"/>
      <c r="H107" s="1009"/>
      <c r="I107" s="1009"/>
      <c r="J107" s="1010"/>
      <c r="K107" s="376"/>
    </row>
    <row r="108" spans="1:11" ht="11.25" customHeight="1">
      <c r="A108" s="754"/>
      <c r="B108" s="1214" t="s">
        <v>630</v>
      </c>
      <c r="C108" s="1009"/>
      <c r="D108" s="1009"/>
      <c r="E108" s="1009"/>
      <c r="F108" s="1009"/>
      <c r="G108" s="1009"/>
      <c r="H108" s="1009"/>
      <c r="I108" s="1009"/>
      <c r="J108" s="1010"/>
      <c r="K108" s="782"/>
    </row>
    <row r="109" spans="1:11" ht="11.25" customHeight="1">
      <c r="A109" s="754"/>
      <c r="B109" s="1220"/>
      <c r="C109" s="1009"/>
      <c r="D109" s="1009"/>
      <c r="E109" s="1009"/>
      <c r="F109" s="1009"/>
      <c r="G109" s="1009"/>
      <c r="H109" s="1009"/>
      <c r="I109" s="1009"/>
      <c r="J109" s="1010"/>
      <c r="K109" s="763"/>
    </row>
    <row r="110" spans="1:11" ht="17.25" customHeight="1">
      <c r="A110" s="754"/>
      <c r="B110" s="1265" t="s">
        <v>631</v>
      </c>
      <c r="C110" s="1009"/>
      <c r="D110" s="1009"/>
      <c r="E110" s="1009"/>
      <c r="F110" s="1009"/>
      <c r="G110" s="1009"/>
      <c r="H110" s="1009"/>
      <c r="I110" s="1009"/>
      <c r="J110" s="1010"/>
      <c r="K110" s="837"/>
    </row>
    <row r="111" spans="1:11" ht="11.25" customHeight="1">
      <c r="A111" s="754"/>
      <c r="B111" s="657">
        <v>2</v>
      </c>
      <c r="C111" s="1165" t="s">
        <v>632</v>
      </c>
      <c r="D111" s="1009"/>
      <c r="E111" s="1009"/>
      <c r="F111" s="1009"/>
      <c r="G111" s="1009"/>
      <c r="H111" s="1009"/>
      <c r="I111" s="1010"/>
      <c r="J111" s="657" t="s">
        <v>591</v>
      </c>
      <c r="K111" s="487"/>
    </row>
    <row r="112" spans="1:11" ht="24.75" customHeight="1">
      <c r="A112" s="754"/>
      <c r="B112" s="769" t="s">
        <v>589</v>
      </c>
      <c r="C112" s="1215" t="s">
        <v>878</v>
      </c>
      <c r="D112" s="1009"/>
      <c r="E112" s="1009"/>
      <c r="F112" s="1009"/>
      <c r="G112" s="1009"/>
      <c r="H112" s="1009"/>
      <c r="I112" s="1010"/>
      <c r="J112" s="838">
        <f>J72</f>
        <v>195</v>
      </c>
      <c r="K112" s="839"/>
    </row>
    <row r="113" spans="1:11" ht="14.25" customHeight="1">
      <c r="A113" s="754"/>
      <c r="B113" s="769" t="s">
        <v>597</v>
      </c>
      <c r="C113" s="1215" t="s">
        <v>598</v>
      </c>
      <c r="D113" s="1009"/>
      <c r="E113" s="1009"/>
      <c r="F113" s="1009"/>
      <c r="G113" s="1009"/>
      <c r="H113" s="1009"/>
      <c r="I113" s="1010"/>
      <c r="J113" s="838">
        <f>J86</f>
        <v>703.7</v>
      </c>
      <c r="K113" s="839"/>
    </row>
    <row r="114" spans="1:11" ht="11.25" customHeight="1">
      <c r="A114" s="754"/>
      <c r="B114" s="769" t="s">
        <v>612</v>
      </c>
      <c r="C114" s="1215" t="s">
        <v>613</v>
      </c>
      <c r="D114" s="1009"/>
      <c r="E114" s="1009"/>
      <c r="F114" s="1009"/>
      <c r="G114" s="1009"/>
      <c r="H114" s="1009"/>
      <c r="I114" s="1010"/>
      <c r="J114" s="838">
        <f>J106</f>
        <v>465.48</v>
      </c>
      <c r="K114" s="839"/>
    </row>
    <row r="115" spans="1:11" ht="11.25" customHeight="1">
      <c r="A115" s="754"/>
      <c r="B115" s="1261" t="s">
        <v>594</v>
      </c>
      <c r="C115" s="1009"/>
      <c r="D115" s="1009"/>
      <c r="E115" s="1009"/>
      <c r="F115" s="1009"/>
      <c r="G115" s="1009"/>
      <c r="H115" s="1009"/>
      <c r="I115" s="1010"/>
      <c r="J115" s="840">
        <f>SUM(J112+J113+J114)</f>
        <v>1364.18</v>
      </c>
      <c r="K115" s="839"/>
    </row>
    <row r="116" spans="1:11" ht="11.25" customHeight="1">
      <c r="A116" s="754"/>
      <c r="B116" s="1262"/>
      <c r="C116" s="1009"/>
      <c r="D116" s="1009"/>
      <c r="E116" s="1009"/>
      <c r="F116" s="1009"/>
      <c r="G116" s="1009"/>
      <c r="H116" s="1009"/>
      <c r="I116" s="1009"/>
      <c r="J116" s="1010"/>
      <c r="K116" s="841"/>
    </row>
    <row r="117" spans="1:11" ht="21.75" customHeight="1">
      <c r="A117" s="754"/>
      <c r="B117" s="1252" t="s">
        <v>634</v>
      </c>
      <c r="C117" s="1009"/>
      <c r="D117" s="1009"/>
      <c r="E117" s="1009"/>
      <c r="F117" s="1009"/>
      <c r="G117" s="1009"/>
      <c r="H117" s="1009"/>
      <c r="I117" s="1009"/>
      <c r="J117" s="1010"/>
      <c r="K117" s="842"/>
    </row>
    <row r="118" spans="1:11" ht="15.75" customHeight="1">
      <c r="A118" s="754"/>
      <c r="B118" s="669">
        <v>3</v>
      </c>
      <c r="C118" s="1162" t="s">
        <v>635</v>
      </c>
      <c r="D118" s="1009"/>
      <c r="E118" s="1009"/>
      <c r="F118" s="1009"/>
      <c r="G118" s="1009"/>
      <c r="H118" s="1009"/>
      <c r="I118" s="1010"/>
      <c r="J118" s="669" t="s">
        <v>591</v>
      </c>
      <c r="K118" s="601"/>
    </row>
    <row r="119" spans="1:11" ht="47.25" customHeight="1">
      <c r="A119" s="754"/>
      <c r="B119" s="823" t="s">
        <v>514</v>
      </c>
      <c r="C119" s="1178" t="s">
        <v>879</v>
      </c>
      <c r="D119" s="1009"/>
      <c r="E119" s="1009"/>
      <c r="F119" s="1009"/>
      <c r="G119" s="1009"/>
      <c r="H119" s="1009"/>
      <c r="I119" s="1010"/>
      <c r="J119" s="814">
        <f>ROUND((($J$58/12)+($J$70/12)+(J58/12/12)+($J$71/12))*(30/30)*0.05,2)</f>
        <v>8.56</v>
      </c>
      <c r="K119" s="809"/>
    </row>
    <row r="120" spans="1:11" ht="14.25" customHeight="1">
      <c r="A120" s="754"/>
      <c r="B120" s="823" t="s">
        <v>516</v>
      </c>
      <c r="C120" s="1212" t="s">
        <v>637</v>
      </c>
      <c r="D120" s="1009"/>
      <c r="E120" s="1009"/>
      <c r="F120" s="1009"/>
      <c r="G120" s="1009"/>
      <c r="H120" s="1009"/>
      <c r="I120" s="1010"/>
      <c r="J120" s="814">
        <f>ROUND($I$85*J119,2)</f>
        <v>0.68</v>
      </c>
      <c r="K120" s="809"/>
    </row>
    <row r="121" spans="1:11" ht="11.25" customHeight="1">
      <c r="A121" s="754"/>
      <c r="B121" s="823" t="s">
        <v>518</v>
      </c>
      <c r="C121" s="1213" t="s">
        <v>880</v>
      </c>
      <c r="D121" s="1009"/>
      <c r="E121" s="1009"/>
      <c r="F121" s="1009"/>
      <c r="G121" s="1009"/>
      <c r="H121" s="1009"/>
      <c r="I121" s="1010"/>
      <c r="J121" s="814">
        <f>ROUND(((7/30)/$I$11)*$J$58*1,2)</f>
        <v>13.36</v>
      </c>
      <c r="K121" s="809"/>
    </row>
    <row r="122" spans="1:11" ht="11.25" customHeight="1">
      <c r="A122" s="754"/>
      <c r="B122" s="823" t="s">
        <v>520</v>
      </c>
      <c r="C122" s="1212" t="s">
        <v>639</v>
      </c>
      <c r="D122" s="1009"/>
      <c r="E122" s="1009"/>
      <c r="F122" s="1009"/>
      <c r="G122" s="1009"/>
      <c r="H122" s="1009"/>
      <c r="I122" s="1010"/>
      <c r="J122" s="814">
        <f>ROUND($I$86*J121,2)</f>
        <v>4.92</v>
      </c>
      <c r="K122" s="809"/>
    </row>
    <row r="123" spans="1:11" ht="41.25" customHeight="1">
      <c r="A123" s="754"/>
      <c r="B123" s="823" t="s">
        <v>562</v>
      </c>
      <c r="C123" s="1178" t="s">
        <v>881</v>
      </c>
      <c r="D123" s="1009"/>
      <c r="E123" s="1009"/>
      <c r="F123" s="1009"/>
      <c r="G123" s="1009"/>
      <c r="H123" s="1010"/>
      <c r="I123" s="843">
        <v>0.04</v>
      </c>
      <c r="J123" s="814">
        <f>ROUND(J58*I123,2)</f>
        <v>68.69</v>
      </c>
      <c r="K123" s="809"/>
    </row>
    <row r="124" spans="1:11" ht="11.25" customHeight="1">
      <c r="A124" s="754"/>
      <c r="B124" s="1204" t="s">
        <v>641</v>
      </c>
      <c r="C124" s="1009"/>
      <c r="D124" s="1009"/>
      <c r="E124" s="1009"/>
      <c r="F124" s="1009"/>
      <c r="G124" s="1009"/>
      <c r="H124" s="1009"/>
      <c r="I124" s="1010"/>
      <c r="J124" s="808">
        <f>SUM(J119:J123)</f>
        <v>96.210000000000008</v>
      </c>
      <c r="K124" s="809"/>
    </row>
    <row r="125" spans="1:11" ht="11.25" customHeight="1">
      <c r="A125" s="754"/>
      <c r="B125" s="1186"/>
      <c r="C125" s="1009"/>
      <c r="D125" s="1009"/>
      <c r="E125" s="1009"/>
      <c r="F125" s="1009"/>
      <c r="G125" s="1009"/>
      <c r="H125" s="1009"/>
      <c r="I125" s="1009"/>
      <c r="J125" s="1010"/>
      <c r="K125" s="844"/>
    </row>
    <row r="126" spans="1:11" ht="15" customHeight="1">
      <c r="A126" s="754"/>
      <c r="B126" s="1187" t="s">
        <v>642</v>
      </c>
      <c r="C126" s="1009"/>
      <c r="D126" s="1009"/>
      <c r="E126" s="1009"/>
      <c r="F126" s="1009"/>
      <c r="G126" s="1009"/>
      <c r="H126" s="1009"/>
      <c r="I126" s="1009"/>
      <c r="J126" s="1010"/>
      <c r="K126" s="845"/>
    </row>
    <row r="127" spans="1:11" ht="36.75" customHeight="1">
      <c r="A127" s="754"/>
      <c r="B127" s="1214" t="s">
        <v>643</v>
      </c>
      <c r="C127" s="1009"/>
      <c r="D127" s="1009"/>
      <c r="E127" s="1009"/>
      <c r="F127" s="1009"/>
      <c r="G127" s="1009"/>
      <c r="H127" s="1009"/>
      <c r="I127" s="1009"/>
      <c r="J127" s="1010"/>
      <c r="K127" s="782"/>
    </row>
    <row r="128" spans="1:11" ht="56.25" customHeight="1">
      <c r="A128" s="754"/>
      <c r="B128" s="1108" t="s">
        <v>882</v>
      </c>
      <c r="C128" s="1009"/>
      <c r="D128" s="1009"/>
      <c r="E128" s="1009"/>
      <c r="F128" s="1009"/>
      <c r="G128" s="1009"/>
      <c r="H128" s="1009"/>
      <c r="I128" s="1009"/>
      <c r="J128" s="1010"/>
      <c r="K128" s="655"/>
    </row>
    <row r="129" spans="1:11" ht="33.75" customHeight="1">
      <c r="A129" s="754"/>
      <c r="B129" s="694" t="s">
        <v>645</v>
      </c>
      <c r="C129" s="695">
        <f>J58</f>
        <v>1717.248</v>
      </c>
      <c r="D129" s="846" t="s">
        <v>646</v>
      </c>
      <c r="E129" s="694" t="s">
        <v>883</v>
      </c>
      <c r="F129" s="695">
        <f>J115-J92-J97</f>
        <v>917.2</v>
      </c>
      <c r="G129" s="846" t="s">
        <v>646</v>
      </c>
      <c r="H129" s="694" t="s">
        <v>648</v>
      </c>
      <c r="I129" s="695">
        <f>J124</f>
        <v>96.210000000000008</v>
      </c>
      <c r="J129" s="847">
        <f>C129+F129+I129</f>
        <v>2730.6580000000004</v>
      </c>
      <c r="K129" s="848"/>
    </row>
    <row r="130" spans="1:11" ht="11.25" customHeight="1">
      <c r="A130" s="754"/>
      <c r="B130" s="1263"/>
      <c r="C130" s="1009"/>
      <c r="D130" s="1009"/>
      <c r="E130" s="1009"/>
      <c r="F130" s="1009"/>
      <c r="G130" s="1009"/>
      <c r="H130" s="1009"/>
      <c r="I130" s="1009"/>
      <c r="J130" s="1010"/>
      <c r="K130" s="849"/>
    </row>
    <row r="131" spans="1:11" ht="16.5" customHeight="1">
      <c r="A131" s="754"/>
      <c r="B131" s="1069" t="s">
        <v>649</v>
      </c>
      <c r="C131" s="1009"/>
      <c r="D131" s="1009"/>
      <c r="E131" s="1009"/>
      <c r="F131" s="1009"/>
      <c r="G131" s="1009"/>
      <c r="H131" s="1009"/>
      <c r="I131" s="1009"/>
      <c r="J131" s="1010"/>
      <c r="K131" s="698"/>
    </row>
    <row r="132" spans="1:11" ht="23.25" customHeight="1">
      <c r="A132" s="754"/>
      <c r="B132" s="699" t="s">
        <v>650</v>
      </c>
      <c r="C132" s="1162" t="s">
        <v>651</v>
      </c>
      <c r="D132" s="1009"/>
      <c r="E132" s="1009"/>
      <c r="F132" s="1009"/>
      <c r="G132" s="1009"/>
      <c r="H132" s="1009"/>
      <c r="I132" s="1010"/>
      <c r="J132" s="699" t="s">
        <v>591</v>
      </c>
      <c r="K132" s="700"/>
    </row>
    <row r="133" spans="1:11" ht="50.25" customHeight="1">
      <c r="A133" s="754"/>
      <c r="B133" s="823" t="s">
        <v>514</v>
      </c>
      <c r="C133" s="1215" t="s">
        <v>884</v>
      </c>
      <c r="D133" s="1009"/>
      <c r="E133" s="1009"/>
      <c r="F133" s="1009"/>
      <c r="G133" s="1009"/>
      <c r="H133" s="701">
        <v>9.0749999999999997E-2</v>
      </c>
      <c r="I133" s="702">
        <f>I86</f>
        <v>0.36800000000000005</v>
      </c>
      <c r="J133" s="814">
        <f>ROUND(H133*J58,2)*(1+I133)</f>
        <v>213.18912000000003</v>
      </c>
      <c r="K133" s="809"/>
    </row>
    <row r="134" spans="1:11" ht="11.25" customHeight="1">
      <c r="A134" s="754"/>
      <c r="B134" s="823" t="s">
        <v>516</v>
      </c>
      <c r="C134" s="1178" t="s">
        <v>885</v>
      </c>
      <c r="D134" s="1009"/>
      <c r="E134" s="1009"/>
      <c r="F134" s="1009"/>
      <c r="G134" s="1009"/>
      <c r="H134" s="1009"/>
      <c r="I134" s="1010"/>
      <c r="J134" s="814">
        <f>ROUND((1/30)/12*(J129),2)</f>
        <v>7.59</v>
      </c>
      <c r="K134" s="809"/>
    </row>
    <row r="135" spans="1:11" ht="11.25" customHeight="1">
      <c r="A135" s="754"/>
      <c r="B135" s="823" t="s">
        <v>518</v>
      </c>
      <c r="C135" s="1178" t="s">
        <v>886</v>
      </c>
      <c r="D135" s="1009"/>
      <c r="E135" s="1009"/>
      <c r="F135" s="1009"/>
      <c r="G135" s="1009"/>
      <c r="H135" s="1009"/>
      <c r="I135" s="1010"/>
      <c r="J135" s="814">
        <f>ROUND((5/30)/12*0.015*(J129),2)</f>
        <v>0.56999999999999995</v>
      </c>
      <c r="K135" s="809"/>
    </row>
    <row r="136" spans="1:11" ht="11.25" customHeight="1">
      <c r="A136" s="754"/>
      <c r="B136" s="823" t="s">
        <v>520</v>
      </c>
      <c r="C136" s="1178" t="s">
        <v>887</v>
      </c>
      <c r="D136" s="1009"/>
      <c r="E136" s="1009"/>
      <c r="F136" s="1009"/>
      <c r="G136" s="1009"/>
      <c r="H136" s="1009"/>
      <c r="I136" s="1010"/>
      <c r="J136" s="814">
        <f>ROUND(((15/30)/12)*0.0078*(J129),2)</f>
        <v>0.89</v>
      </c>
      <c r="K136" s="809"/>
    </row>
    <row r="137" spans="1:11" ht="11.25" customHeight="1">
      <c r="A137" s="754"/>
      <c r="B137" s="850" t="s">
        <v>562</v>
      </c>
      <c r="C137" s="1264" t="s">
        <v>888</v>
      </c>
      <c r="D137" s="1009"/>
      <c r="E137" s="1009"/>
      <c r="F137" s="1009"/>
      <c r="G137" s="1009"/>
      <c r="H137" s="1009"/>
      <c r="I137" s="1010"/>
      <c r="J137" s="704">
        <f>ROUND(((((C129+C129/3)+(I86)*(C129+C129/3))*(4/12))/12)*0.02,2) + ((J106 -J92-J97+ J124)*4/12)*0.02</f>
        <v>2.5047333333333333</v>
      </c>
      <c r="K137" s="653"/>
    </row>
    <row r="138" spans="1:11" ht="11.25" customHeight="1">
      <c r="A138" s="754"/>
      <c r="B138" s="823" t="s">
        <v>566</v>
      </c>
      <c r="C138" s="1178" t="s">
        <v>889</v>
      </c>
      <c r="D138" s="1009"/>
      <c r="E138" s="1009"/>
      <c r="F138" s="1009"/>
      <c r="G138" s="1009"/>
      <c r="H138" s="1009"/>
      <c r="I138" s="1010"/>
      <c r="J138" s="814">
        <f>ROUND(((3/30)/12)*(J129),2)</f>
        <v>22.76</v>
      </c>
      <c r="K138" s="809"/>
    </row>
    <row r="139" spans="1:11" ht="11.25" customHeight="1">
      <c r="A139" s="754"/>
      <c r="B139" s="1204" t="s">
        <v>594</v>
      </c>
      <c r="C139" s="1009"/>
      <c r="D139" s="1009"/>
      <c r="E139" s="1009"/>
      <c r="F139" s="1009"/>
      <c r="G139" s="1009"/>
      <c r="H139" s="1009"/>
      <c r="I139" s="1010"/>
      <c r="J139" s="808">
        <f>SUM(J133:J138)</f>
        <v>247.50385333333332</v>
      </c>
      <c r="K139" s="809"/>
    </row>
    <row r="140" spans="1:11" ht="11.25" customHeight="1">
      <c r="A140" s="754"/>
      <c r="B140" s="1186"/>
      <c r="C140" s="1009"/>
      <c r="D140" s="1009"/>
      <c r="E140" s="1009"/>
      <c r="F140" s="1009"/>
      <c r="G140" s="1009"/>
      <c r="H140" s="1009"/>
      <c r="I140" s="1009"/>
      <c r="J140" s="1010"/>
      <c r="K140" s="844"/>
    </row>
    <row r="141" spans="1:11" ht="20.25" customHeight="1">
      <c r="A141" s="754"/>
      <c r="B141" s="1096" t="s">
        <v>658</v>
      </c>
      <c r="C141" s="1009"/>
      <c r="D141" s="1009"/>
      <c r="E141" s="1009"/>
      <c r="F141" s="1009"/>
      <c r="G141" s="1009"/>
      <c r="H141" s="1009"/>
      <c r="I141" s="1009"/>
      <c r="J141" s="1010"/>
      <c r="K141" s="646"/>
    </row>
    <row r="142" spans="1:11" ht="11.25" customHeight="1">
      <c r="A142" s="754"/>
      <c r="B142" s="705" t="s">
        <v>659</v>
      </c>
      <c r="C142" s="1097" t="s">
        <v>660</v>
      </c>
      <c r="D142" s="1009"/>
      <c r="E142" s="1009"/>
      <c r="F142" s="1009"/>
      <c r="G142" s="1009"/>
      <c r="H142" s="1009"/>
      <c r="I142" s="1010"/>
      <c r="J142" s="706" t="s">
        <v>591</v>
      </c>
      <c r="K142" s="707"/>
    </row>
    <row r="143" spans="1:11" ht="11.25" customHeight="1">
      <c r="A143" s="754"/>
      <c r="B143" s="851" t="s">
        <v>514</v>
      </c>
      <c r="C143" s="1202" t="s">
        <v>661</v>
      </c>
      <c r="D143" s="1009"/>
      <c r="E143" s="1009"/>
      <c r="F143" s="1009"/>
      <c r="G143" s="1009"/>
      <c r="H143" s="1009"/>
      <c r="I143" s="1010"/>
      <c r="J143" s="852">
        <v>0</v>
      </c>
      <c r="K143" s="853"/>
    </row>
    <row r="144" spans="1:11" ht="11.25" customHeight="1">
      <c r="A144" s="754"/>
      <c r="B144" s="1199" t="s">
        <v>594</v>
      </c>
      <c r="C144" s="1009"/>
      <c r="D144" s="1009"/>
      <c r="E144" s="1009"/>
      <c r="F144" s="1009"/>
      <c r="G144" s="1009"/>
      <c r="H144" s="1009"/>
      <c r="I144" s="1010"/>
      <c r="J144" s="854">
        <v>0</v>
      </c>
      <c r="K144" s="853"/>
    </row>
    <row r="145" spans="1:11" ht="11.25" customHeight="1">
      <c r="A145" s="754"/>
      <c r="B145" s="1200"/>
      <c r="C145" s="1009"/>
      <c r="D145" s="1009"/>
      <c r="E145" s="1009"/>
      <c r="F145" s="1009"/>
      <c r="G145" s="1009"/>
      <c r="H145" s="1009"/>
      <c r="I145" s="1009"/>
      <c r="J145" s="1010"/>
      <c r="K145" s="855"/>
    </row>
    <row r="146" spans="1:11" ht="33.75" customHeight="1">
      <c r="A146" s="754"/>
      <c r="B146" s="1201" t="s">
        <v>662</v>
      </c>
      <c r="C146" s="1009"/>
      <c r="D146" s="1009"/>
      <c r="E146" s="1009"/>
      <c r="F146" s="1009"/>
      <c r="G146" s="1009"/>
      <c r="H146" s="1009"/>
      <c r="I146" s="1009"/>
      <c r="J146" s="1010"/>
      <c r="K146" s="805"/>
    </row>
    <row r="147" spans="1:11" ht="11.25" customHeight="1">
      <c r="A147" s="754"/>
      <c r="B147" s="657">
        <v>4</v>
      </c>
      <c r="C147" s="1097" t="s">
        <v>663</v>
      </c>
      <c r="D147" s="1009"/>
      <c r="E147" s="1009"/>
      <c r="F147" s="1009"/>
      <c r="G147" s="1009"/>
      <c r="H147" s="1009"/>
      <c r="I147" s="1010"/>
      <c r="J147" s="706" t="s">
        <v>591</v>
      </c>
      <c r="K147" s="707"/>
    </row>
    <row r="148" spans="1:11" ht="11.25" customHeight="1">
      <c r="A148" s="754"/>
      <c r="B148" s="769" t="s">
        <v>650</v>
      </c>
      <c r="C148" s="1202" t="s">
        <v>651</v>
      </c>
      <c r="D148" s="1009"/>
      <c r="E148" s="1009"/>
      <c r="F148" s="1009"/>
      <c r="G148" s="1009"/>
      <c r="H148" s="1009"/>
      <c r="I148" s="1010"/>
      <c r="J148" s="852">
        <f>J139</f>
        <v>247.50385333333332</v>
      </c>
      <c r="K148" s="853"/>
    </row>
    <row r="149" spans="1:11" ht="11.25" customHeight="1">
      <c r="A149" s="754"/>
      <c r="B149" s="769" t="s">
        <v>664</v>
      </c>
      <c r="C149" s="1202" t="s">
        <v>660</v>
      </c>
      <c r="D149" s="1009"/>
      <c r="E149" s="1009"/>
      <c r="F149" s="1009"/>
      <c r="G149" s="1009"/>
      <c r="H149" s="1009"/>
      <c r="I149" s="1010"/>
      <c r="J149" s="852">
        <f>J144</f>
        <v>0</v>
      </c>
      <c r="K149" s="853"/>
    </row>
    <row r="150" spans="1:11" ht="11.25" customHeight="1">
      <c r="A150" s="754"/>
      <c r="B150" s="1261" t="s">
        <v>594</v>
      </c>
      <c r="C150" s="1009"/>
      <c r="D150" s="1009"/>
      <c r="E150" s="1009"/>
      <c r="F150" s="1009"/>
      <c r="G150" s="1009"/>
      <c r="H150" s="1009"/>
      <c r="I150" s="1010"/>
      <c r="J150" s="854">
        <f>SUM(J148+J149)</f>
        <v>247.50385333333332</v>
      </c>
      <c r="K150" s="853"/>
    </row>
    <row r="151" spans="1:11" ht="11.25" customHeight="1">
      <c r="A151" s="754"/>
      <c r="B151" s="1200"/>
      <c r="C151" s="1009"/>
      <c r="D151" s="1009"/>
      <c r="E151" s="1009"/>
      <c r="F151" s="1009"/>
      <c r="G151" s="1009"/>
      <c r="H151" s="1009"/>
      <c r="I151" s="1009"/>
      <c r="J151" s="1010"/>
      <c r="K151" s="855"/>
    </row>
    <row r="152" spans="1:11" ht="21.75" customHeight="1">
      <c r="A152" s="754"/>
      <c r="B152" s="1187" t="s">
        <v>665</v>
      </c>
      <c r="C152" s="1009"/>
      <c r="D152" s="1009"/>
      <c r="E152" s="1009"/>
      <c r="F152" s="1009"/>
      <c r="G152" s="1009"/>
      <c r="H152" s="1009"/>
      <c r="I152" s="1009"/>
      <c r="J152" s="1010"/>
      <c r="K152" s="845"/>
    </row>
    <row r="153" spans="1:11" ht="18" customHeight="1">
      <c r="A153" s="754"/>
      <c r="B153" s="669">
        <v>3</v>
      </c>
      <c r="C153" s="1083" t="s">
        <v>666</v>
      </c>
      <c r="D153" s="1009"/>
      <c r="E153" s="1009"/>
      <c r="F153" s="1009"/>
      <c r="G153" s="1009"/>
      <c r="H153" s="1009"/>
      <c r="I153" s="1010"/>
      <c r="J153" s="669" t="s">
        <v>591</v>
      </c>
      <c r="K153" s="601"/>
    </row>
    <row r="154" spans="1:11" ht="12.75" customHeight="1">
      <c r="A154" s="754"/>
      <c r="B154" s="823" t="s">
        <v>514</v>
      </c>
      <c r="C154" s="1178" t="s">
        <v>769</v>
      </c>
      <c r="D154" s="1009"/>
      <c r="E154" s="1009"/>
      <c r="F154" s="1009"/>
      <c r="G154" s="1009"/>
      <c r="H154" s="1009"/>
      <c r="I154" s="1010"/>
      <c r="J154" s="856">
        <f>'Uniformes - EPIs_TODOS'!E110</f>
        <v>0</v>
      </c>
      <c r="K154" s="809"/>
    </row>
    <row r="155" spans="1:11" ht="12.75" customHeight="1">
      <c r="A155" s="754"/>
      <c r="B155" s="823" t="s">
        <v>516</v>
      </c>
      <c r="C155" s="1178" t="s">
        <v>770</v>
      </c>
      <c r="D155" s="1009"/>
      <c r="E155" s="1009"/>
      <c r="F155" s="1009"/>
      <c r="G155" s="1009"/>
      <c r="H155" s="1009"/>
      <c r="I155" s="1010"/>
      <c r="J155" s="834">
        <f>'Uniformes - EPIs_TODOS'!E128</f>
        <v>0</v>
      </c>
      <c r="K155" s="835"/>
    </row>
    <row r="156" spans="1:11" ht="12.75" customHeight="1">
      <c r="A156" s="754"/>
      <c r="B156" s="823" t="s">
        <v>518</v>
      </c>
      <c r="C156" s="1178" t="s">
        <v>668</v>
      </c>
      <c r="D156" s="1009"/>
      <c r="E156" s="1009"/>
      <c r="F156" s="1009"/>
      <c r="G156" s="1009"/>
      <c r="H156" s="1009"/>
      <c r="I156" s="1010"/>
      <c r="J156" s="834" t="s">
        <v>669</v>
      </c>
      <c r="K156" s="835"/>
    </row>
    <row r="157" spans="1:11" ht="11.25" customHeight="1">
      <c r="A157" s="754"/>
      <c r="B157" s="1204" t="s">
        <v>670</v>
      </c>
      <c r="C157" s="1009"/>
      <c r="D157" s="1009"/>
      <c r="E157" s="1009"/>
      <c r="F157" s="1009"/>
      <c r="G157" s="1009"/>
      <c r="H157" s="1009"/>
      <c r="I157" s="1010"/>
      <c r="J157" s="857">
        <f>ROUND(SUM(J154:J156),2)</f>
        <v>0</v>
      </c>
      <c r="K157" s="835"/>
    </row>
    <row r="158" spans="1:11" ht="11.25" customHeight="1">
      <c r="A158" s="754"/>
      <c r="B158" s="1267"/>
      <c r="C158" s="1009"/>
      <c r="D158" s="1009"/>
      <c r="E158" s="1009"/>
      <c r="F158" s="1009"/>
      <c r="G158" s="1009"/>
      <c r="H158" s="1009"/>
      <c r="I158" s="1009"/>
      <c r="J158" s="1010"/>
      <c r="K158" s="858"/>
    </row>
    <row r="159" spans="1:11" ht="11.25" customHeight="1">
      <c r="A159" s="754"/>
      <c r="B159" s="1268" t="s">
        <v>671</v>
      </c>
      <c r="C159" s="1009"/>
      <c r="D159" s="1009"/>
      <c r="E159" s="1009"/>
      <c r="F159" s="1009"/>
      <c r="G159" s="1009"/>
      <c r="H159" s="1009"/>
      <c r="I159" s="1009"/>
      <c r="J159" s="1010"/>
      <c r="K159" s="859"/>
    </row>
    <row r="160" spans="1:11" ht="11.25" customHeight="1">
      <c r="A160" s="754"/>
      <c r="B160" s="860"/>
      <c r="C160" s="714"/>
      <c r="D160" s="714"/>
      <c r="E160" s="714"/>
      <c r="F160" s="714"/>
      <c r="G160" s="714"/>
      <c r="H160" s="714"/>
      <c r="I160" s="714"/>
      <c r="J160" s="715"/>
      <c r="K160" s="329"/>
    </row>
    <row r="161" spans="1:11" ht="28.5" customHeight="1">
      <c r="A161" s="754"/>
      <c r="B161" s="1252" t="s">
        <v>672</v>
      </c>
      <c r="C161" s="1009"/>
      <c r="D161" s="1009"/>
      <c r="E161" s="1009"/>
      <c r="F161" s="1009"/>
      <c r="G161" s="1009"/>
      <c r="H161" s="1009"/>
      <c r="I161" s="1009"/>
      <c r="J161" s="1010"/>
      <c r="K161" s="842"/>
    </row>
    <row r="162" spans="1:11" ht="21.75" customHeight="1">
      <c r="A162" s="754"/>
      <c r="B162" s="669">
        <v>6</v>
      </c>
      <c r="C162" s="1162" t="s">
        <v>673</v>
      </c>
      <c r="D162" s="1009"/>
      <c r="E162" s="1009"/>
      <c r="F162" s="1009"/>
      <c r="G162" s="1009"/>
      <c r="H162" s="1010"/>
      <c r="I162" s="861" t="s">
        <v>556</v>
      </c>
      <c r="J162" s="716" t="s">
        <v>599</v>
      </c>
      <c r="K162" s="717"/>
    </row>
    <row r="163" spans="1:11" ht="38.25" customHeight="1">
      <c r="A163" s="754"/>
      <c r="B163" s="1229" t="s">
        <v>674</v>
      </c>
      <c r="C163" s="1009"/>
      <c r="D163" s="1009"/>
      <c r="E163" s="1009"/>
      <c r="F163" s="1009"/>
      <c r="G163" s="1009"/>
      <c r="H163" s="1010"/>
      <c r="I163" s="355" t="s">
        <v>527</v>
      </c>
      <c r="J163" s="862">
        <f>SUM(J63+J115+J124+J150+J157)</f>
        <v>3425.1418533333331</v>
      </c>
      <c r="K163" s="863"/>
    </row>
    <row r="164" spans="1:11" ht="11.25" customHeight="1">
      <c r="A164" s="754"/>
      <c r="B164" s="823" t="s">
        <v>514</v>
      </c>
      <c r="C164" s="1109" t="s">
        <v>675</v>
      </c>
      <c r="D164" s="1009"/>
      <c r="E164" s="1009"/>
      <c r="F164" s="1009"/>
      <c r="G164" s="1009"/>
      <c r="H164" s="1010"/>
      <c r="I164" s="813">
        <f>'1-ABA-DE-CARREGAMENTO'!F85</f>
        <v>0.06</v>
      </c>
      <c r="J164" s="814">
        <f>ROUND(I164*J163,2)</f>
        <v>205.51</v>
      </c>
      <c r="K164" s="809"/>
    </row>
    <row r="165" spans="1:11" ht="47.25" customHeight="1">
      <c r="A165" s="754"/>
      <c r="B165" s="1229" t="s">
        <v>676</v>
      </c>
      <c r="C165" s="1009"/>
      <c r="D165" s="1009"/>
      <c r="E165" s="1009"/>
      <c r="F165" s="1009"/>
      <c r="G165" s="1009"/>
      <c r="H165" s="1010"/>
      <c r="I165" s="864" t="s">
        <v>527</v>
      </c>
      <c r="J165" s="862">
        <f>SUM(J63+J115+J124+J150+J157+J164)</f>
        <v>3630.6518533333328</v>
      </c>
      <c r="K165" s="863"/>
    </row>
    <row r="166" spans="1:11" ht="11.25" customHeight="1">
      <c r="A166" s="754"/>
      <c r="B166" s="823" t="s">
        <v>516</v>
      </c>
      <c r="C166" s="1109" t="s">
        <v>312</v>
      </c>
      <c r="D166" s="1009"/>
      <c r="E166" s="1009"/>
      <c r="F166" s="1009"/>
      <c r="G166" s="1009"/>
      <c r="H166" s="1010"/>
      <c r="I166" s="813">
        <f>'1-ABA-DE-CARREGAMENTO'!F86</f>
        <v>0.06</v>
      </c>
      <c r="J166" s="814">
        <f>ROUND(I166*J165,2)</f>
        <v>217.84</v>
      </c>
      <c r="K166" s="809"/>
    </row>
    <row r="167" spans="1:11" ht="54" customHeight="1">
      <c r="A167" s="754"/>
      <c r="B167" s="1229" t="s">
        <v>677</v>
      </c>
      <c r="C167" s="1009"/>
      <c r="D167" s="1009"/>
      <c r="E167" s="1009"/>
      <c r="F167" s="1009"/>
      <c r="G167" s="1009"/>
      <c r="H167" s="1010"/>
      <c r="I167" s="864" t="s">
        <v>527</v>
      </c>
      <c r="J167" s="862">
        <f>SUM(J163+J164+J166)</f>
        <v>3848.491853333333</v>
      </c>
      <c r="K167" s="863"/>
    </row>
    <row r="168" spans="1:11" ht="20.25" customHeight="1">
      <c r="A168" s="754"/>
      <c r="B168" s="865" t="s">
        <v>518</v>
      </c>
      <c r="C168" s="1252" t="s">
        <v>678</v>
      </c>
      <c r="D168" s="1009"/>
      <c r="E168" s="1009"/>
      <c r="F168" s="1009"/>
      <c r="G168" s="1009"/>
      <c r="H168" s="1010"/>
      <c r="I168" s="792" t="s">
        <v>527</v>
      </c>
      <c r="J168" s="798" t="s">
        <v>527</v>
      </c>
      <c r="K168" s="799"/>
    </row>
    <row r="169" spans="1:11" ht="11.25" customHeight="1">
      <c r="A169" s="754"/>
      <c r="B169" s="823"/>
      <c r="C169" s="1212" t="s">
        <v>679</v>
      </c>
      <c r="D169" s="1009"/>
      <c r="E169" s="1009"/>
      <c r="F169" s="1009"/>
      <c r="G169" s="1009"/>
      <c r="H169" s="1010"/>
      <c r="I169" s="792" t="s">
        <v>527</v>
      </c>
      <c r="J169" s="798" t="s">
        <v>527</v>
      </c>
      <c r="K169" s="799"/>
    </row>
    <row r="170" spans="1:11" ht="15" customHeight="1">
      <c r="A170" s="754"/>
      <c r="B170" s="823"/>
      <c r="C170" s="1099" t="s">
        <v>890</v>
      </c>
      <c r="D170" s="1009"/>
      <c r="E170" s="1009"/>
      <c r="F170" s="1009"/>
      <c r="G170" s="1009"/>
      <c r="H170" s="1010"/>
      <c r="I170" s="866">
        <f>'1-ABA-DE-CARREGAMENTO'!E28</f>
        <v>1.6500000000000001E-2</v>
      </c>
      <c r="J170" s="867">
        <f t="shared" ref="J170:J171" si="4">ROUND(($J$167/(1-$I$179))*I170,2)</f>
        <v>73.2</v>
      </c>
      <c r="K170" s="868"/>
    </row>
    <row r="171" spans="1:11" ht="15" customHeight="1">
      <c r="A171" s="754"/>
      <c r="B171" s="823"/>
      <c r="C171" s="1099" t="s">
        <v>891</v>
      </c>
      <c r="D171" s="1009"/>
      <c r="E171" s="1009"/>
      <c r="F171" s="1009"/>
      <c r="G171" s="1009"/>
      <c r="H171" s="1010"/>
      <c r="I171" s="866">
        <f>'1-ABA-DE-CARREGAMENTO'!F28</f>
        <v>7.5999999999999998E-2</v>
      </c>
      <c r="J171" s="867">
        <f t="shared" si="4"/>
        <v>337.16</v>
      </c>
      <c r="K171" s="868"/>
    </row>
    <row r="172" spans="1:11" ht="11.25" customHeight="1">
      <c r="A172" s="754"/>
      <c r="B172" s="823"/>
      <c r="C172" s="1178" t="s">
        <v>892</v>
      </c>
      <c r="D172" s="1009"/>
      <c r="E172" s="1009"/>
      <c r="F172" s="1009"/>
      <c r="G172" s="1009"/>
      <c r="H172" s="1010"/>
      <c r="I172" s="869" t="s">
        <v>527</v>
      </c>
      <c r="J172" s="798" t="s">
        <v>527</v>
      </c>
      <c r="K172" s="799"/>
    </row>
    <row r="173" spans="1:11" ht="11.25" customHeight="1">
      <c r="A173" s="754"/>
      <c r="B173" s="823"/>
      <c r="C173" s="1178" t="s">
        <v>893</v>
      </c>
      <c r="D173" s="1009"/>
      <c r="E173" s="1009"/>
      <c r="F173" s="1009"/>
      <c r="G173" s="1009"/>
      <c r="H173" s="1010"/>
      <c r="I173" s="869" t="s">
        <v>527</v>
      </c>
      <c r="J173" s="798" t="s">
        <v>527</v>
      </c>
      <c r="K173" s="799"/>
    </row>
    <row r="174" spans="1:11" ht="11.25" customHeight="1">
      <c r="A174" s="754"/>
      <c r="B174" s="823"/>
      <c r="C174" s="1178" t="s">
        <v>684</v>
      </c>
      <c r="D174" s="1009"/>
      <c r="E174" s="1009"/>
      <c r="F174" s="1009"/>
      <c r="G174" s="1009"/>
      <c r="H174" s="1009"/>
      <c r="I174" s="870" t="s">
        <v>527</v>
      </c>
      <c r="J174" s="871" t="s">
        <v>527</v>
      </c>
      <c r="K174" s="872"/>
    </row>
    <row r="175" spans="1:11" ht="11.25" customHeight="1">
      <c r="A175" s="754"/>
      <c r="B175" s="823"/>
      <c r="C175" s="1178" t="s">
        <v>685</v>
      </c>
      <c r="D175" s="1009"/>
      <c r="E175" s="1009"/>
      <c r="F175" s="1009"/>
      <c r="G175" s="1009"/>
      <c r="H175" s="1009"/>
      <c r="I175" s="870" t="s">
        <v>527</v>
      </c>
      <c r="J175" s="871" t="s">
        <v>527</v>
      </c>
      <c r="K175" s="872"/>
    </row>
    <row r="176" spans="1:11" ht="11.25" customHeight="1">
      <c r="A176" s="754"/>
      <c r="B176" s="823"/>
      <c r="C176" s="1178" t="s">
        <v>894</v>
      </c>
      <c r="D176" s="1009"/>
      <c r="E176" s="1009"/>
      <c r="F176" s="1009"/>
      <c r="G176" s="1009"/>
      <c r="H176" s="1010"/>
      <c r="I176" s="873">
        <f>'1-ABA-DE-CARREGAMENTO'!D87</f>
        <v>0.04</v>
      </c>
      <c r="J176" s="867">
        <f>ROUND(($J$167/(1-$I$179))*I176,2)</f>
        <v>177.45</v>
      </c>
      <c r="K176" s="868"/>
    </row>
    <row r="177" spans="1:11" ht="11.25" customHeight="1">
      <c r="A177" s="754"/>
      <c r="B177" s="1204" t="s">
        <v>641</v>
      </c>
      <c r="C177" s="1009"/>
      <c r="D177" s="1009"/>
      <c r="E177" s="1009"/>
      <c r="F177" s="1009"/>
      <c r="G177" s="1009"/>
      <c r="H177" s="1009"/>
      <c r="I177" s="1010"/>
      <c r="J177" s="808">
        <f>SUM(J164+J166+J170+J171+J176)</f>
        <v>1011.1600000000001</v>
      </c>
      <c r="K177" s="809"/>
    </row>
    <row r="178" spans="1:11" ht="11.25" customHeight="1">
      <c r="A178" s="754"/>
      <c r="B178" s="1186"/>
      <c r="C178" s="1009"/>
      <c r="D178" s="1009"/>
      <c r="E178" s="1009"/>
      <c r="F178" s="1009"/>
      <c r="G178" s="1009"/>
      <c r="H178" s="1009"/>
      <c r="I178" s="1009"/>
      <c r="J178" s="1010"/>
      <c r="K178" s="844"/>
    </row>
    <row r="179" spans="1:11" ht="11.25" customHeight="1">
      <c r="A179" s="754"/>
      <c r="B179" s="1205" t="s">
        <v>687</v>
      </c>
      <c r="C179" s="1009"/>
      <c r="D179" s="1009"/>
      <c r="E179" s="1009"/>
      <c r="F179" s="1009"/>
      <c r="G179" s="1009"/>
      <c r="H179" s="1010"/>
      <c r="I179" s="874">
        <f t="shared" ref="I179:J179" si="5">SUM(I170:I176)</f>
        <v>0.13250000000000001</v>
      </c>
      <c r="J179" s="862">
        <f t="shared" si="5"/>
        <v>587.80999999999995</v>
      </c>
      <c r="K179" s="863"/>
    </row>
    <row r="180" spans="1:11" ht="11.25" customHeight="1">
      <c r="A180" s="754"/>
      <c r="B180" s="1206" t="s">
        <v>688</v>
      </c>
      <c r="C180" s="1023"/>
      <c r="D180" s="1207" t="s">
        <v>689</v>
      </c>
      <c r="E180" s="1023"/>
      <c r="F180" s="1023"/>
      <c r="G180" s="1023"/>
      <c r="H180" s="1023"/>
      <c r="I180" s="1023"/>
      <c r="J180" s="1040"/>
      <c r="K180" s="875"/>
    </row>
    <row r="181" spans="1:11" ht="11.25" customHeight="1">
      <c r="A181" s="754"/>
      <c r="B181" s="1102"/>
      <c r="C181" s="1023"/>
      <c r="D181" s="1208" t="s">
        <v>690</v>
      </c>
      <c r="E181" s="1023"/>
      <c r="F181" s="1023"/>
      <c r="G181" s="1023"/>
      <c r="H181" s="1023"/>
      <c r="I181" s="1023"/>
      <c r="J181" s="1040"/>
      <c r="K181" s="876"/>
    </row>
    <row r="182" spans="1:11" ht="11.25" customHeight="1">
      <c r="A182" s="754"/>
      <c r="B182" s="1103"/>
      <c r="C182" s="1060"/>
      <c r="D182" s="1209" t="s">
        <v>691</v>
      </c>
      <c r="E182" s="1060"/>
      <c r="F182" s="1060"/>
      <c r="G182" s="1060"/>
      <c r="H182" s="1060"/>
      <c r="I182" s="1060"/>
      <c r="J182" s="1062"/>
      <c r="K182" s="875"/>
    </row>
    <row r="183" spans="1:11" ht="8.25" customHeight="1">
      <c r="A183" s="754"/>
      <c r="B183" s="1210"/>
      <c r="C183" s="1009"/>
      <c r="D183" s="1009"/>
      <c r="E183" s="1009"/>
      <c r="F183" s="1009"/>
      <c r="G183" s="1009"/>
      <c r="H183" s="1009"/>
      <c r="I183" s="1009"/>
      <c r="J183" s="1010"/>
      <c r="K183" s="877"/>
    </row>
    <row r="184" spans="1:11" ht="11.25" customHeight="1">
      <c r="A184" s="754"/>
      <c r="B184" s="1211" t="s">
        <v>692</v>
      </c>
      <c r="C184" s="1009"/>
      <c r="D184" s="1009"/>
      <c r="E184" s="1009"/>
      <c r="F184" s="1009"/>
      <c r="G184" s="1009"/>
      <c r="H184" s="1009"/>
      <c r="I184" s="1009"/>
      <c r="J184" s="1010"/>
      <c r="K184" s="766"/>
    </row>
    <row r="185" spans="1:11" ht="9" customHeight="1">
      <c r="A185" s="754"/>
      <c r="B185" s="1186"/>
      <c r="C185" s="1009"/>
      <c r="D185" s="1009"/>
      <c r="E185" s="1009"/>
      <c r="F185" s="1009"/>
      <c r="G185" s="1009"/>
      <c r="H185" s="1009"/>
      <c r="I185" s="1009"/>
      <c r="J185" s="1010"/>
      <c r="K185" s="844"/>
    </row>
    <row r="186" spans="1:11" ht="11.25" customHeight="1">
      <c r="A186" s="754"/>
      <c r="B186" s="1187" t="s">
        <v>895</v>
      </c>
      <c r="C186" s="1009"/>
      <c r="D186" s="1009"/>
      <c r="E186" s="1009"/>
      <c r="F186" s="1009"/>
      <c r="G186" s="1009"/>
      <c r="H186" s="1009"/>
      <c r="I186" s="1009"/>
      <c r="J186" s="1010"/>
      <c r="K186" s="845"/>
    </row>
    <row r="187" spans="1:11" ht="11.25" customHeight="1">
      <c r="A187" s="754"/>
      <c r="B187" s="1086" t="s">
        <v>694</v>
      </c>
      <c r="C187" s="1009"/>
      <c r="D187" s="1009"/>
      <c r="E187" s="1009"/>
      <c r="F187" s="1009"/>
      <c r="G187" s="1009"/>
      <c r="H187" s="1009"/>
      <c r="I187" s="1010"/>
      <c r="J187" s="861" t="s">
        <v>591</v>
      </c>
      <c r="K187" s="763"/>
    </row>
    <row r="188" spans="1:11" ht="11.25" customHeight="1">
      <c r="A188" s="754"/>
      <c r="B188" s="878" t="s">
        <v>514</v>
      </c>
      <c r="C188" s="1181" t="s">
        <v>695</v>
      </c>
      <c r="D188" s="1009"/>
      <c r="E188" s="1009"/>
      <c r="F188" s="1009"/>
      <c r="G188" s="1009"/>
      <c r="H188" s="1009"/>
      <c r="I188" s="1009"/>
      <c r="J188" s="834">
        <f>J63</f>
        <v>1717.248</v>
      </c>
      <c r="K188" s="835"/>
    </row>
    <row r="189" spans="1:11" ht="11.25" customHeight="1">
      <c r="A189" s="754"/>
      <c r="B189" s="878" t="s">
        <v>516</v>
      </c>
      <c r="C189" s="1181" t="s">
        <v>696</v>
      </c>
      <c r="D189" s="1009"/>
      <c r="E189" s="1009"/>
      <c r="F189" s="1009"/>
      <c r="G189" s="1009"/>
      <c r="H189" s="1009"/>
      <c r="I189" s="1009"/>
      <c r="J189" s="834">
        <f>J115</f>
        <v>1364.18</v>
      </c>
      <c r="K189" s="835"/>
    </row>
    <row r="190" spans="1:11" ht="11.25" customHeight="1">
      <c r="A190" s="754"/>
      <c r="B190" s="878" t="s">
        <v>518</v>
      </c>
      <c r="C190" s="1181" t="s">
        <v>697</v>
      </c>
      <c r="D190" s="1009"/>
      <c r="E190" s="1009"/>
      <c r="F190" s="1009"/>
      <c r="G190" s="1009"/>
      <c r="H190" s="1009"/>
      <c r="I190" s="1009"/>
      <c r="J190" s="834">
        <f>J124</f>
        <v>96.210000000000008</v>
      </c>
      <c r="K190" s="835"/>
    </row>
    <row r="191" spans="1:11" ht="11.25" customHeight="1">
      <c r="A191" s="754"/>
      <c r="B191" s="878" t="s">
        <v>520</v>
      </c>
      <c r="C191" s="1181" t="s">
        <v>698</v>
      </c>
      <c r="D191" s="1009"/>
      <c r="E191" s="1009"/>
      <c r="F191" s="1009"/>
      <c r="G191" s="1009"/>
      <c r="H191" s="1009"/>
      <c r="I191" s="1009"/>
      <c r="J191" s="834">
        <f>J150</f>
        <v>247.50385333333332</v>
      </c>
      <c r="K191" s="835"/>
    </row>
    <row r="192" spans="1:11" ht="11.25" customHeight="1">
      <c r="A192" s="754"/>
      <c r="B192" s="878" t="s">
        <v>562</v>
      </c>
      <c r="C192" s="1181" t="s">
        <v>699</v>
      </c>
      <c r="D192" s="1009"/>
      <c r="E192" s="1009"/>
      <c r="F192" s="1009"/>
      <c r="G192" s="1009"/>
      <c r="H192" s="1009"/>
      <c r="I192" s="1009"/>
      <c r="J192" s="834">
        <f>J157</f>
        <v>0</v>
      </c>
      <c r="K192" s="835"/>
    </row>
    <row r="193" spans="1:11" ht="11.25" customHeight="1">
      <c r="A193" s="754"/>
      <c r="B193" s="1182" t="s">
        <v>700</v>
      </c>
      <c r="C193" s="1009"/>
      <c r="D193" s="1009"/>
      <c r="E193" s="1009"/>
      <c r="F193" s="1009"/>
      <c r="G193" s="1009"/>
      <c r="H193" s="1009"/>
      <c r="I193" s="1030"/>
      <c r="J193" s="857">
        <f>ROUND(SUM(J188:J192),2)</f>
        <v>3425.14</v>
      </c>
      <c r="K193" s="835"/>
    </row>
    <row r="194" spans="1:11" ht="11.25" customHeight="1">
      <c r="A194" s="754"/>
      <c r="B194" s="879" t="s">
        <v>566</v>
      </c>
      <c r="C194" s="1181" t="s">
        <v>672</v>
      </c>
      <c r="D194" s="1009"/>
      <c r="E194" s="1009"/>
      <c r="F194" s="1009"/>
      <c r="G194" s="1009"/>
      <c r="H194" s="1009"/>
      <c r="I194" s="1009"/>
      <c r="J194" s="834">
        <f>J177</f>
        <v>1011.1600000000001</v>
      </c>
      <c r="K194" s="835"/>
    </row>
    <row r="195" spans="1:11" ht="11.25" customHeight="1">
      <c r="A195" s="754"/>
      <c r="B195" s="1182" t="s">
        <v>777</v>
      </c>
      <c r="C195" s="1009"/>
      <c r="D195" s="1009"/>
      <c r="E195" s="1009"/>
      <c r="F195" s="1009"/>
      <c r="G195" s="1009"/>
      <c r="H195" s="1009"/>
      <c r="I195" s="1030"/>
      <c r="J195" s="857">
        <f>J193+J194</f>
        <v>4436.3</v>
      </c>
      <c r="K195" s="835"/>
    </row>
    <row r="196" spans="1:11" ht="15.75" customHeight="1">
      <c r="A196" s="754"/>
      <c r="B196" s="1183" t="s">
        <v>702</v>
      </c>
      <c r="C196" s="1009"/>
      <c r="D196" s="1009"/>
      <c r="E196" s="1009"/>
      <c r="F196" s="1009"/>
      <c r="G196" s="1009"/>
      <c r="H196" s="1009"/>
      <c r="I196" s="1009"/>
      <c r="J196" s="1010"/>
      <c r="K196" s="880"/>
    </row>
    <row r="197" spans="1:11" ht="6.75" customHeight="1">
      <c r="A197" s="754"/>
      <c r="B197" s="1184"/>
      <c r="C197" s="1009"/>
      <c r="D197" s="1009"/>
      <c r="E197" s="1009"/>
      <c r="F197" s="1009"/>
      <c r="G197" s="1009"/>
      <c r="H197" s="1009"/>
      <c r="I197" s="1009"/>
      <c r="J197" s="1010"/>
      <c r="K197" s="881"/>
    </row>
    <row r="198" spans="1:11" ht="11.25" customHeight="1">
      <c r="A198" s="754"/>
      <c r="B198" s="882"/>
      <c r="C198" s="760"/>
      <c r="D198" s="760"/>
      <c r="E198" s="760"/>
      <c r="F198" s="760"/>
      <c r="G198" s="760"/>
      <c r="H198" s="760"/>
      <c r="I198" s="883"/>
      <c r="J198" s="884"/>
      <c r="K198" s="883"/>
    </row>
    <row r="199" spans="1:11" ht="11.25" customHeight="1">
      <c r="A199" s="754"/>
      <c r="B199" s="1082" t="s">
        <v>703</v>
      </c>
      <c r="C199" s="1023"/>
      <c r="D199" s="1023"/>
      <c r="E199" s="1023"/>
      <c r="F199" s="1023"/>
      <c r="G199" s="1023"/>
      <c r="H199" s="1023"/>
      <c r="I199" s="1023"/>
      <c r="J199" s="1040"/>
      <c r="K199" s="594"/>
    </row>
    <row r="200" spans="1:11" ht="11.25" customHeight="1">
      <c r="A200" s="754"/>
      <c r="B200" s="1185" t="s">
        <v>704</v>
      </c>
      <c r="C200" s="1009"/>
      <c r="D200" s="1009"/>
      <c r="E200" s="1010"/>
      <c r="F200" s="1185" t="s">
        <v>778</v>
      </c>
      <c r="G200" s="1010"/>
      <c r="H200" s="861" t="s">
        <v>707</v>
      </c>
      <c r="I200" s="1185" t="s">
        <v>708</v>
      </c>
      <c r="J200" s="1010"/>
      <c r="K200" s="763"/>
    </row>
    <row r="201" spans="1:11" ht="24.75" hidden="1" customHeight="1" outlineLevel="1">
      <c r="A201" s="754"/>
      <c r="B201" s="1178" t="s">
        <v>709</v>
      </c>
      <c r="C201" s="1009"/>
      <c r="D201" s="1009"/>
      <c r="E201" s="1010"/>
      <c r="F201" s="1176">
        <v>0</v>
      </c>
      <c r="G201" s="1010"/>
      <c r="H201" s="885">
        <f t="shared" ref="H201:H202" si="6">E201*F201</f>
        <v>0</v>
      </c>
      <c r="I201" s="1176">
        <f t="shared" ref="I201:I203" si="7">F201*H201</f>
        <v>0</v>
      </c>
      <c r="J201" s="1010"/>
      <c r="K201" s="886"/>
    </row>
    <row r="202" spans="1:11" ht="24.75" hidden="1" customHeight="1" outlineLevel="1">
      <c r="A202" s="754"/>
      <c r="B202" s="1178" t="s">
        <v>710</v>
      </c>
      <c r="C202" s="1009"/>
      <c r="D202" s="1009"/>
      <c r="E202" s="1010"/>
      <c r="F202" s="1176">
        <v>0</v>
      </c>
      <c r="G202" s="1010"/>
      <c r="H202" s="885">
        <f t="shared" si="6"/>
        <v>0</v>
      </c>
      <c r="I202" s="1176">
        <f t="shared" si="7"/>
        <v>0</v>
      </c>
      <c r="J202" s="1010"/>
      <c r="K202" s="886"/>
    </row>
    <row r="203" spans="1:11" ht="24.75" customHeight="1" collapsed="1">
      <c r="A203" s="754"/>
      <c r="B203" s="1179" t="str">
        <f>B3</f>
        <v>6220-10_JARDINEIRO_hs</v>
      </c>
      <c r="C203" s="1009"/>
      <c r="D203" s="1009"/>
      <c r="E203" s="1010"/>
      <c r="F203" s="1180">
        <f>J195</f>
        <v>4436.3</v>
      </c>
      <c r="G203" s="1010"/>
      <c r="H203" s="885">
        <f>I17</f>
        <v>0</v>
      </c>
      <c r="I203" s="1176">
        <f t="shared" si="7"/>
        <v>0</v>
      </c>
      <c r="J203" s="1010"/>
      <c r="K203" s="886"/>
    </row>
    <row r="204" spans="1:11" ht="24.75" hidden="1" customHeight="1" outlineLevel="1">
      <c r="A204" s="754"/>
      <c r="B204" s="1178" t="s">
        <v>711</v>
      </c>
      <c r="C204" s="1009"/>
      <c r="D204" s="1009"/>
      <c r="E204" s="1010"/>
      <c r="F204" s="1180">
        <v>0</v>
      </c>
      <c r="G204" s="1010"/>
      <c r="H204" s="885">
        <f t="shared" ref="H204:I204" si="8">E204*G204</f>
        <v>0</v>
      </c>
      <c r="I204" s="1176">
        <f t="shared" si="8"/>
        <v>0</v>
      </c>
      <c r="J204" s="1010"/>
      <c r="K204" s="886"/>
    </row>
    <row r="205" spans="1:11" ht="24.75" hidden="1" customHeight="1" outlineLevel="1">
      <c r="A205" s="754"/>
      <c r="B205" s="1178" t="s">
        <v>712</v>
      </c>
      <c r="C205" s="1009"/>
      <c r="D205" s="1009"/>
      <c r="E205" s="1010"/>
      <c r="F205" s="1180">
        <v>0</v>
      </c>
      <c r="G205" s="1010"/>
      <c r="H205" s="885">
        <f t="shared" ref="H205:I205" si="9">E205*G205</f>
        <v>0</v>
      </c>
      <c r="I205" s="1176">
        <f t="shared" si="9"/>
        <v>0</v>
      </c>
      <c r="J205" s="1010"/>
      <c r="K205" s="886"/>
    </row>
    <row r="206" spans="1:11" ht="11.25" hidden="1" customHeight="1" outlineLevel="1">
      <c r="A206" s="754"/>
      <c r="B206" s="1203" t="s">
        <v>896</v>
      </c>
      <c r="C206" s="1009"/>
      <c r="D206" s="1009"/>
      <c r="E206" s="1010"/>
      <c r="F206" s="1176">
        <v>0</v>
      </c>
      <c r="G206" s="1010"/>
      <c r="H206" s="885">
        <f t="shared" ref="H206:I206" si="10">E206*G206</f>
        <v>0</v>
      </c>
      <c r="I206" s="1176">
        <f t="shared" si="10"/>
        <v>0</v>
      </c>
      <c r="J206" s="1010"/>
      <c r="K206" s="886"/>
    </row>
    <row r="207" spans="1:11" ht="19.5" customHeight="1" collapsed="1">
      <c r="A207" s="754"/>
      <c r="B207" s="1188" t="s">
        <v>714</v>
      </c>
      <c r="C207" s="1009"/>
      <c r="D207" s="1009"/>
      <c r="E207" s="1009"/>
      <c r="F207" s="1009"/>
      <c r="G207" s="1010"/>
      <c r="H207" s="887">
        <f>SUM(H201:H206)</f>
        <v>0</v>
      </c>
      <c r="I207" s="1177">
        <f>SUM(I201:J206)</f>
        <v>0</v>
      </c>
      <c r="J207" s="1010"/>
      <c r="K207" s="888"/>
    </row>
    <row r="208" spans="1:11" ht="9" customHeight="1">
      <c r="A208" s="754"/>
      <c r="B208" s="1189"/>
      <c r="C208" s="1092"/>
      <c r="D208" s="1092"/>
      <c r="E208" s="1092"/>
      <c r="F208" s="1092"/>
      <c r="G208" s="1092"/>
      <c r="H208" s="1092"/>
      <c r="I208" s="1092"/>
      <c r="J208" s="1093"/>
      <c r="K208" s="844"/>
    </row>
    <row r="209" spans="1:11" ht="15" customHeight="1">
      <c r="A209" s="754"/>
      <c r="B209" s="1190" t="s">
        <v>715</v>
      </c>
      <c r="C209" s="1060"/>
      <c r="D209" s="1060"/>
      <c r="E209" s="1060"/>
      <c r="F209" s="1060"/>
      <c r="G209" s="1060"/>
      <c r="H209" s="1060"/>
      <c r="I209" s="1060"/>
      <c r="J209" s="1062"/>
      <c r="K209" s="766"/>
    </row>
    <row r="210" spans="1:11" ht="6" customHeight="1">
      <c r="A210" s="754"/>
      <c r="B210" s="1194"/>
      <c r="C210" s="1009"/>
      <c r="D210" s="1009"/>
      <c r="E210" s="1009"/>
      <c r="F210" s="1009"/>
      <c r="G210" s="1009"/>
      <c r="H210" s="1009"/>
      <c r="I210" s="1009"/>
      <c r="J210" s="1010"/>
      <c r="K210" s="889"/>
    </row>
    <row r="211" spans="1:11" ht="26.25" customHeight="1">
      <c r="A211" s="754"/>
      <c r="B211" s="1191" t="s">
        <v>716</v>
      </c>
      <c r="C211" s="1009"/>
      <c r="D211" s="1009"/>
      <c r="E211" s="1009"/>
      <c r="F211" s="1009"/>
      <c r="G211" s="1010"/>
      <c r="H211" s="1195">
        <f>$I$207</f>
        <v>0</v>
      </c>
      <c r="I211" s="1009"/>
      <c r="J211" s="1010"/>
      <c r="K211" s="890"/>
    </row>
    <row r="212" spans="1:11" ht="10.5" customHeight="1">
      <c r="A212" s="754"/>
      <c r="B212" s="1196"/>
      <c r="C212" s="1015"/>
      <c r="D212" s="1015"/>
      <c r="E212" s="1015"/>
      <c r="F212" s="1015"/>
      <c r="G212" s="1015"/>
      <c r="H212" s="1015"/>
      <c r="I212" s="1015"/>
      <c r="J212" s="1075"/>
      <c r="K212" s="891"/>
    </row>
    <row r="213" spans="1:11" ht="25.5" customHeight="1">
      <c r="A213" s="754"/>
      <c r="B213" s="1191" t="s">
        <v>717</v>
      </c>
      <c r="C213" s="1009"/>
      <c r="D213" s="1009"/>
      <c r="E213" s="1009"/>
      <c r="F213" s="1009"/>
      <c r="G213" s="1010"/>
      <c r="H213" s="1197">
        <f>$I$11</f>
        <v>30</v>
      </c>
      <c r="I213" s="1009"/>
      <c r="J213" s="1010"/>
      <c r="K213" s="892"/>
    </row>
    <row r="214" spans="1:11" ht="10.5" customHeight="1">
      <c r="A214" s="754"/>
      <c r="B214" s="1198"/>
      <c r="C214" s="1009"/>
      <c r="D214" s="1009"/>
      <c r="E214" s="1009"/>
      <c r="F214" s="1009"/>
      <c r="G214" s="1009"/>
      <c r="H214" s="1009"/>
      <c r="I214" s="1009"/>
      <c r="J214" s="1010"/>
      <c r="K214" s="893"/>
    </row>
    <row r="215" spans="1:11" ht="38.25" customHeight="1">
      <c r="A215" s="754"/>
      <c r="B215" s="1191" t="s">
        <v>897</v>
      </c>
      <c r="C215" s="1009"/>
      <c r="D215" s="1009"/>
      <c r="E215" s="1009"/>
      <c r="F215" s="1009"/>
      <c r="G215" s="1010"/>
      <c r="H215" s="1192">
        <f>ROUND(H211*H213,2)</f>
        <v>0</v>
      </c>
      <c r="I215" s="1009"/>
      <c r="J215" s="1010"/>
      <c r="K215" s="894"/>
    </row>
    <row r="216" spans="1:11" ht="9" customHeight="1">
      <c r="A216" s="754"/>
      <c r="B216" s="1193"/>
      <c r="C216" s="1009"/>
      <c r="D216" s="1009"/>
      <c r="E216" s="1009"/>
      <c r="F216" s="1009"/>
      <c r="G216" s="1009"/>
      <c r="H216" s="1009"/>
      <c r="I216" s="1009"/>
      <c r="J216" s="1010"/>
      <c r="K216" s="760"/>
    </row>
    <row r="217" spans="1:11" ht="11.25" customHeight="1">
      <c r="A217" s="754"/>
      <c r="B217" s="754"/>
      <c r="C217" s="754"/>
      <c r="D217" s="754"/>
      <c r="E217" s="754"/>
      <c r="F217" s="754"/>
      <c r="G217" s="754"/>
      <c r="H217" s="754"/>
      <c r="I217" s="754"/>
      <c r="J217" s="754"/>
      <c r="K217" s="754"/>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C96:G96"/>
    <mergeCell ref="C149:I149"/>
    <mergeCell ref="B150:I150"/>
    <mergeCell ref="B151:J151"/>
    <mergeCell ref="B152:J152"/>
    <mergeCell ref="C153:I153"/>
    <mergeCell ref="C154:I154"/>
    <mergeCell ref="C155:I155"/>
    <mergeCell ref="C156:I156"/>
    <mergeCell ref="B86:H86"/>
    <mergeCell ref="B88:J88"/>
    <mergeCell ref="B89:J89"/>
    <mergeCell ref="B90:J90"/>
    <mergeCell ref="C91:I91"/>
    <mergeCell ref="C92:H92"/>
    <mergeCell ref="C93:H93"/>
    <mergeCell ref="C94:H94"/>
    <mergeCell ref="C95:H95"/>
    <mergeCell ref="C77:H77"/>
    <mergeCell ref="C78:H78"/>
    <mergeCell ref="C79:H79"/>
    <mergeCell ref="C80:D80"/>
    <mergeCell ref="C81:H81"/>
    <mergeCell ref="C82:H82"/>
    <mergeCell ref="C83:H83"/>
    <mergeCell ref="C84:H84"/>
    <mergeCell ref="C85:H85"/>
    <mergeCell ref="C98:H98"/>
    <mergeCell ref="C99:H99"/>
    <mergeCell ref="C100:H100"/>
    <mergeCell ref="C101:I101"/>
    <mergeCell ref="C102:I102"/>
    <mergeCell ref="C103:I103"/>
    <mergeCell ref="C104:I104"/>
    <mergeCell ref="C105:I105"/>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46:H46"/>
    <mergeCell ref="C47:F47"/>
    <mergeCell ref="C48:E48"/>
    <mergeCell ref="F48:H48"/>
    <mergeCell ref="C49:H49"/>
    <mergeCell ref="C50:F50"/>
    <mergeCell ref="G50:H50"/>
    <mergeCell ref="C51:E51"/>
    <mergeCell ref="C52:I52"/>
    <mergeCell ref="C53:I53"/>
    <mergeCell ref="C54:E54"/>
    <mergeCell ref="C55:E55"/>
    <mergeCell ref="C56:I56"/>
    <mergeCell ref="C57:I57"/>
    <mergeCell ref="B58:I58"/>
    <mergeCell ref="C59:I59"/>
    <mergeCell ref="C60:I60"/>
    <mergeCell ref="B61:I61"/>
    <mergeCell ref="B62:J62"/>
    <mergeCell ref="B63:I63"/>
    <mergeCell ref="B64:J64"/>
    <mergeCell ref="B65:J65"/>
    <mergeCell ref="B66:J66"/>
    <mergeCell ref="B67:J67"/>
    <mergeCell ref="B68:J68"/>
    <mergeCell ref="C69:I69"/>
    <mergeCell ref="C70:H70"/>
    <mergeCell ref="C71:H71"/>
    <mergeCell ref="B72:I72"/>
    <mergeCell ref="B73:J73"/>
    <mergeCell ref="B74:J74"/>
    <mergeCell ref="B75:J75"/>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144:I144"/>
    <mergeCell ref="B145:J145"/>
    <mergeCell ref="B146:J146"/>
    <mergeCell ref="C147:I147"/>
    <mergeCell ref="C148:I148"/>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208:J208"/>
    <mergeCell ref="B209:J209"/>
    <mergeCell ref="B215:G215"/>
    <mergeCell ref="H215:J215"/>
    <mergeCell ref="B216:J216"/>
    <mergeCell ref="B210:J210"/>
    <mergeCell ref="B211:G211"/>
    <mergeCell ref="H211:J211"/>
    <mergeCell ref="B212:J212"/>
    <mergeCell ref="B213:G213"/>
    <mergeCell ref="H213:J213"/>
    <mergeCell ref="B214:J214"/>
    <mergeCell ref="B185:J185"/>
    <mergeCell ref="B186:J186"/>
    <mergeCell ref="B187:I187"/>
    <mergeCell ref="C188:I188"/>
    <mergeCell ref="C189:I189"/>
    <mergeCell ref="C190:I190"/>
    <mergeCell ref="C191:I191"/>
    <mergeCell ref="C192:I192"/>
    <mergeCell ref="B193:I193"/>
    <mergeCell ref="C194:I194"/>
    <mergeCell ref="B195:I195"/>
    <mergeCell ref="B196:J196"/>
    <mergeCell ref="B197:J197"/>
    <mergeCell ref="B199:J199"/>
    <mergeCell ref="B200:E200"/>
    <mergeCell ref="F200:G200"/>
    <mergeCell ref="I200:J200"/>
    <mergeCell ref="B201:E201"/>
    <mergeCell ref="F201:G201"/>
    <mergeCell ref="I201:J201"/>
    <mergeCell ref="I203:J203"/>
    <mergeCell ref="I204:J204"/>
    <mergeCell ref="I205:J205"/>
    <mergeCell ref="I206:J206"/>
    <mergeCell ref="I207:J207"/>
    <mergeCell ref="B202:E202"/>
    <mergeCell ref="F202:G202"/>
    <mergeCell ref="I202:J202"/>
    <mergeCell ref="B203:E203"/>
    <mergeCell ref="F203:G203"/>
    <mergeCell ref="B204:E204"/>
    <mergeCell ref="F204:G204"/>
    <mergeCell ref="B207:G207"/>
  </mergeCells>
  <conditionalFormatting sqref="I49:I50">
    <cfRule type="cellIs" dxfId="113" priority="1" operator="equal">
      <formula>0</formula>
    </cfRule>
  </conditionalFormatting>
  <conditionalFormatting sqref="I48">
    <cfRule type="cellIs" dxfId="112" priority="2" operator="equal">
      <formula>0</formula>
    </cfRule>
  </conditionalFormatting>
  <pageMargins left="0.511811024" right="0.511811024" top="0.78740157499999996" bottom="0.78740157499999996" header="0" footer="0"/>
  <pageSetup orientation="landscape"/>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3.7109375" customWidth="1"/>
    <col min="8" max="8" width="14.42578125" customWidth="1"/>
    <col min="9" max="9" width="11.28515625" customWidth="1"/>
    <col min="10" max="10" width="17.28515625" customWidth="1"/>
    <col min="11" max="11" width="1.42578125" customWidth="1"/>
  </cols>
  <sheetData>
    <row r="1" spans="1:11" ht="11.25" customHeight="1">
      <c r="A1" s="754"/>
      <c r="B1" s="754"/>
      <c r="C1" s="754"/>
      <c r="D1" s="754"/>
      <c r="E1" s="754"/>
      <c r="F1" s="754"/>
      <c r="G1" s="754"/>
      <c r="H1" s="754"/>
      <c r="I1" s="754"/>
      <c r="J1" s="755"/>
      <c r="K1" s="754"/>
    </row>
    <row r="2" spans="1:11" ht="18" customHeight="1">
      <c r="A2" s="754"/>
      <c r="B2" s="1245" t="str">
        <f>'1-ABA-DE-CARREGAMENTO'!C11</f>
        <v xml:space="preserve"> S E R V I Ç O S     -   REFEITORIO_×_JARDINAGEM</v>
      </c>
      <c r="C2" s="1130"/>
      <c r="D2" s="1130"/>
      <c r="E2" s="1130"/>
      <c r="F2" s="1130"/>
      <c r="G2" s="1130"/>
      <c r="H2" s="1130"/>
      <c r="I2" s="1130"/>
      <c r="J2" s="1128"/>
      <c r="K2" s="756"/>
    </row>
    <row r="3" spans="1:11" ht="27" customHeight="1">
      <c r="A3" s="754"/>
      <c r="B3" s="1246" t="str">
        <f>'1-ABA-DE-CARREGAMENTO'!G33</f>
        <v>A NÃO TEM MAIS POSTOS-22</v>
      </c>
      <c r="C3" s="1060"/>
      <c r="D3" s="1060"/>
      <c r="E3" s="1060"/>
      <c r="F3" s="1060"/>
      <c r="G3" s="1060"/>
      <c r="H3" s="1060"/>
      <c r="I3" s="1060"/>
      <c r="J3" s="1062"/>
      <c r="K3" s="757"/>
    </row>
    <row r="4" spans="1:11" ht="11.25" customHeight="1">
      <c r="A4" s="754"/>
      <c r="B4" s="1247" t="s">
        <v>511</v>
      </c>
      <c r="C4" s="1060"/>
      <c r="D4" s="1060"/>
      <c r="E4" s="1060"/>
      <c r="F4" s="1062"/>
      <c r="G4" s="1248">
        <f>'1-ABA-DE-CARREGAMENTO'!C12</f>
        <v>0</v>
      </c>
      <c r="H4" s="1060"/>
      <c r="I4" s="1060"/>
      <c r="J4" s="1062"/>
      <c r="K4" s="758"/>
    </row>
    <row r="5" spans="1:11" ht="11.25" customHeight="1">
      <c r="A5" s="754"/>
      <c r="B5" s="1178" t="s">
        <v>512</v>
      </c>
      <c r="C5" s="1009"/>
      <c r="D5" s="1009"/>
      <c r="E5" s="1009"/>
      <c r="F5" s="1010"/>
      <c r="G5" s="1249">
        <f>'1-ABA-DE-CARREGAMENTO'!C13</f>
        <v>0</v>
      </c>
      <c r="H5" s="1009"/>
      <c r="I5" s="1009"/>
      <c r="J5" s="1010"/>
      <c r="K5" s="758"/>
    </row>
    <row r="6" spans="1:11" ht="11.25" customHeight="1">
      <c r="A6" s="754"/>
      <c r="B6" s="1250">
        <f>'1-ABA-DE-CARREGAMENTO'!C16</f>
        <v>0</v>
      </c>
      <c r="C6" s="1009"/>
      <c r="D6" s="1009"/>
      <c r="E6" s="1009"/>
      <c r="F6" s="1009"/>
      <c r="G6" s="1009"/>
      <c r="H6" s="1009"/>
      <c r="I6" s="1009"/>
      <c r="J6" s="1010"/>
      <c r="K6" s="760"/>
    </row>
    <row r="7" spans="1:11" ht="15.75" customHeight="1">
      <c r="A7" s="754"/>
      <c r="B7" s="1086" t="s">
        <v>513</v>
      </c>
      <c r="C7" s="1009"/>
      <c r="D7" s="1009"/>
      <c r="E7" s="1009"/>
      <c r="F7" s="1009"/>
      <c r="G7" s="1009"/>
      <c r="H7" s="1009"/>
      <c r="I7" s="1009"/>
      <c r="J7" s="1010"/>
      <c r="K7" s="594"/>
    </row>
    <row r="8" spans="1:11" ht="15.75" customHeight="1">
      <c r="A8" s="754"/>
      <c r="B8" s="761" t="s">
        <v>514</v>
      </c>
      <c r="C8" s="1178" t="s">
        <v>515</v>
      </c>
      <c r="D8" s="1009"/>
      <c r="E8" s="1009"/>
      <c r="F8" s="1009"/>
      <c r="G8" s="1009"/>
      <c r="H8" s="1010"/>
      <c r="I8" s="1251">
        <f>'1-ABA-DE-CARREGAMENTO'!C16</f>
        <v>0</v>
      </c>
      <c r="J8" s="1010"/>
      <c r="K8" s="762"/>
    </row>
    <row r="9" spans="1:11" ht="15.75" customHeight="1">
      <c r="A9" s="754"/>
      <c r="B9" s="761" t="s">
        <v>516</v>
      </c>
      <c r="C9" s="1178" t="s">
        <v>517</v>
      </c>
      <c r="D9" s="1009"/>
      <c r="E9" s="1009"/>
      <c r="F9" s="1009"/>
      <c r="G9" s="1009"/>
      <c r="H9" s="1010"/>
      <c r="I9" s="1249" t="str">
        <f>'1-ABA-DE-CARREGAMENTO'!C14</f>
        <v xml:space="preserve">JULIO-DE-CASTILHOS </v>
      </c>
      <c r="J9" s="1010"/>
      <c r="K9" s="758"/>
    </row>
    <row r="10" spans="1:11" ht="15.75" customHeight="1">
      <c r="A10" s="754"/>
      <c r="B10" s="761" t="s">
        <v>518</v>
      </c>
      <c r="C10" s="1178" t="s">
        <v>519</v>
      </c>
      <c r="D10" s="1009"/>
      <c r="E10" s="1009"/>
      <c r="F10" s="1009"/>
      <c r="G10" s="1009"/>
      <c r="H10" s="1010"/>
      <c r="I10" s="1249" t="str">
        <f>'1-ABA-DE-CARREGAMENTO'!G35</f>
        <v>RS000947/2019</v>
      </c>
      <c r="J10" s="1010"/>
      <c r="K10" s="758"/>
    </row>
    <row r="11" spans="1:11" ht="15.75" customHeight="1">
      <c r="A11" s="754"/>
      <c r="B11" s="761" t="s">
        <v>520</v>
      </c>
      <c r="C11" s="1178" t="s">
        <v>521</v>
      </c>
      <c r="D11" s="1009"/>
      <c r="E11" s="1009"/>
      <c r="F11" s="1009"/>
      <c r="G11" s="1009"/>
      <c r="H11" s="1010"/>
      <c r="I11" s="1240">
        <f>'1-ABA-DE-CARREGAMENTO'!G94</f>
        <v>30</v>
      </c>
      <c r="J11" s="1010"/>
      <c r="K11" s="758"/>
    </row>
    <row r="12" spans="1:11" ht="15.75" customHeight="1">
      <c r="A12" s="754"/>
      <c r="B12" s="1140" t="s">
        <v>522</v>
      </c>
      <c r="C12" s="1009"/>
      <c r="D12" s="1009"/>
      <c r="E12" s="1009"/>
      <c r="F12" s="1009"/>
      <c r="G12" s="1009"/>
      <c r="H12" s="1009"/>
      <c r="I12" s="1009"/>
      <c r="J12" s="1010"/>
      <c r="K12" s="592"/>
    </row>
    <row r="13" spans="1:11" ht="24.75" customHeight="1">
      <c r="A13" s="754"/>
      <c r="B13" s="1185" t="str">
        <f>'1-ABA-DE-CARREGAMENTO'!C11</f>
        <v xml:space="preserve"> S E R V I Ç O S     -   REFEITORIO_×_JARDINAGEM</v>
      </c>
      <c r="C13" s="1009"/>
      <c r="D13" s="1009"/>
      <c r="E13" s="1009"/>
      <c r="F13" s="1030"/>
      <c r="G13" s="1185" t="s">
        <v>523</v>
      </c>
      <c r="H13" s="1010"/>
      <c r="I13" s="1185" t="s">
        <v>524</v>
      </c>
      <c r="J13" s="1010"/>
      <c r="K13" s="763"/>
    </row>
    <row r="14" spans="1:11" ht="11.25" hidden="1" customHeight="1" outlineLevel="1">
      <c r="A14" s="754"/>
      <c r="B14" s="1241" t="s">
        <v>525</v>
      </c>
      <c r="C14" s="1009"/>
      <c r="D14" s="1009"/>
      <c r="E14" s="1009"/>
      <c r="F14" s="1010"/>
      <c r="G14" s="1242" t="s">
        <v>526</v>
      </c>
      <c r="H14" s="1010"/>
      <c r="I14" s="1243" t="s">
        <v>527</v>
      </c>
      <c r="J14" s="1010"/>
      <c r="K14" s="764"/>
    </row>
    <row r="15" spans="1:11" ht="11.25" hidden="1" customHeight="1" outlineLevel="1">
      <c r="A15" s="754"/>
      <c r="B15" s="1241" t="s">
        <v>528</v>
      </c>
      <c r="C15" s="1009"/>
      <c r="D15" s="1009"/>
      <c r="E15" s="1009"/>
      <c r="F15" s="1010"/>
      <c r="G15" s="1242" t="s">
        <v>526</v>
      </c>
      <c r="H15" s="1010"/>
      <c r="I15" s="1243" t="s">
        <v>527</v>
      </c>
      <c r="J15" s="1010"/>
      <c r="K15" s="764"/>
    </row>
    <row r="16" spans="1:11" ht="11.25" hidden="1" customHeight="1" outlineLevel="1">
      <c r="A16" s="754"/>
      <c r="B16" s="1241" t="s">
        <v>529</v>
      </c>
      <c r="C16" s="1009"/>
      <c r="D16" s="1009"/>
      <c r="E16" s="1009"/>
      <c r="F16" s="1010"/>
      <c r="G16" s="1242" t="s">
        <v>526</v>
      </c>
      <c r="H16" s="1010"/>
      <c r="I16" s="1243" t="s">
        <v>527</v>
      </c>
      <c r="J16" s="1010"/>
      <c r="K16" s="764"/>
    </row>
    <row r="17" spans="1:11" ht="20.25" customHeight="1" collapsed="1">
      <c r="A17" s="754"/>
      <c r="B17" s="1241" t="str">
        <f>B3</f>
        <v>A NÃO TEM MAIS POSTOS-22</v>
      </c>
      <c r="C17" s="1009"/>
      <c r="D17" s="1009"/>
      <c r="E17" s="1009"/>
      <c r="F17" s="1010"/>
      <c r="G17" s="1242" t="s">
        <v>526</v>
      </c>
      <c r="H17" s="1010"/>
      <c r="I17" s="1243">
        <f>'1-ABA-DE-CARREGAMENTO'!G92</f>
        <v>0</v>
      </c>
      <c r="J17" s="1010"/>
      <c r="K17" s="764"/>
    </row>
    <row r="18" spans="1:11" ht="11.25" hidden="1" customHeight="1" outlineLevel="1">
      <c r="A18" s="754"/>
      <c r="B18" s="1241" t="s">
        <v>530</v>
      </c>
      <c r="C18" s="1009"/>
      <c r="D18" s="1009"/>
      <c r="E18" s="1009"/>
      <c r="F18" s="1010"/>
      <c r="G18" s="1242" t="s">
        <v>526</v>
      </c>
      <c r="H18" s="1010"/>
      <c r="I18" s="1243" t="s">
        <v>527</v>
      </c>
      <c r="J18" s="1010"/>
      <c r="K18" s="764"/>
    </row>
    <row r="19" spans="1:11" ht="11.25" hidden="1" customHeight="1" outlineLevel="1">
      <c r="A19" s="754"/>
      <c r="B19" s="1241" t="s">
        <v>898</v>
      </c>
      <c r="C19" s="1009"/>
      <c r="D19" s="1009"/>
      <c r="E19" s="1009"/>
      <c r="F19" s="1010"/>
      <c r="G19" s="1242" t="s">
        <v>526</v>
      </c>
      <c r="H19" s="1010"/>
      <c r="I19" s="1243" t="s">
        <v>527</v>
      </c>
      <c r="J19" s="1010"/>
      <c r="K19" s="764"/>
    </row>
    <row r="20" spans="1:11" ht="11.25" customHeight="1" collapsed="1">
      <c r="A20" s="754"/>
      <c r="B20" s="1254" t="s">
        <v>532</v>
      </c>
      <c r="C20" s="1009"/>
      <c r="D20" s="1009"/>
      <c r="E20" s="1009"/>
      <c r="F20" s="1009"/>
      <c r="G20" s="1009"/>
      <c r="H20" s="1010"/>
      <c r="I20" s="1253">
        <f>SUM(I14:I19)</f>
        <v>0</v>
      </c>
      <c r="J20" s="1010"/>
      <c r="K20" s="765"/>
    </row>
    <row r="21" spans="1:11" ht="11.25" customHeight="1">
      <c r="A21" s="754"/>
      <c r="B21" s="1220"/>
      <c r="C21" s="1009"/>
      <c r="D21" s="1009"/>
      <c r="E21" s="1009"/>
      <c r="F21" s="1009"/>
      <c r="G21" s="1009"/>
      <c r="H21" s="1009"/>
      <c r="I21" s="1009"/>
      <c r="J21" s="1010"/>
      <c r="K21" s="763"/>
    </row>
    <row r="22" spans="1:11" ht="45.75" customHeight="1">
      <c r="A22" s="754"/>
      <c r="B22" s="1211" t="s">
        <v>533</v>
      </c>
      <c r="C22" s="1009"/>
      <c r="D22" s="1009"/>
      <c r="E22" s="1009"/>
      <c r="F22" s="1009"/>
      <c r="G22" s="1009"/>
      <c r="H22" s="1009"/>
      <c r="I22" s="1009"/>
      <c r="J22" s="1010"/>
      <c r="K22" s="766"/>
    </row>
    <row r="23" spans="1:11" ht="11.25" customHeight="1">
      <c r="A23" s="754"/>
      <c r="B23" s="1225"/>
      <c r="C23" s="1009"/>
      <c r="D23" s="1009"/>
      <c r="E23" s="1009"/>
      <c r="F23" s="1009"/>
      <c r="G23" s="1009"/>
      <c r="H23" s="1009"/>
      <c r="I23" s="1009"/>
      <c r="J23" s="1010"/>
      <c r="K23" s="376"/>
    </row>
    <row r="24" spans="1:11" ht="51.75" customHeight="1">
      <c r="A24" s="754"/>
      <c r="B24" s="1255" t="s">
        <v>899</v>
      </c>
      <c r="C24" s="1009"/>
      <c r="D24" s="1009"/>
      <c r="E24" s="1009"/>
      <c r="F24" s="1009"/>
      <c r="G24" s="1009"/>
      <c r="H24" s="1009"/>
      <c r="I24" s="1009"/>
      <c r="J24" s="1010"/>
      <c r="K24" s="767"/>
    </row>
    <row r="25" spans="1:11" ht="15" customHeight="1">
      <c r="A25" s="754"/>
      <c r="B25" s="1123"/>
      <c r="C25" s="1009"/>
      <c r="D25" s="1009"/>
      <c r="E25" s="1009"/>
      <c r="F25" s="1009"/>
      <c r="G25" s="1009"/>
      <c r="H25" s="1009"/>
      <c r="I25" s="1009"/>
      <c r="J25" s="1010"/>
      <c r="K25" s="602"/>
    </row>
    <row r="26" spans="1:11" ht="18.75" customHeight="1">
      <c r="A26" s="763"/>
      <c r="B26" s="1086" t="s">
        <v>535</v>
      </c>
      <c r="C26" s="1009"/>
      <c r="D26" s="1009"/>
      <c r="E26" s="1009"/>
      <c r="F26" s="1009"/>
      <c r="G26" s="1009"/>
      <c r="H26" s="1009"/>
      <c r="I26" s="1009"/>
      <c r="J26" s="1010"/>
      <c r="K26" s="594"/>
    </row>
    <row r="27" spans="1:11" ht="26.25" customHeight="1">
      <c r="A27" s="754"/>
      <c r="B27" s="761">
        <v>1</v>
      </c>
      <c r="C27" s="1178" t="s">
        <v>536</v>
      </c>
      <c r="D27" s="1009"/>
      <c r="E27" s="1009"/>
      <c r="F27" s="1009"/>
      <c r="G27" s="1009"/>
      <c r="H27" s="1010"/>
      <c r="I27" s="1256" t="str">
        <f>'1-ABA-DE-CARREGAMENTO'!G33</f>
        <v>A NÃO TEM MAIS POSTOS-22</v>
      </c>
      <c r="J27" s="1010"/>
      <c r="K27" s="768"/>
    </row>
    <row r="28" spans="1:11" ht="21" customHeight="1">
      <c r="A28" s="754"/>
      <c r="B28" s="769">
        <v>2</v>
      </c>
      <c r="C28" s="1215" t="s">
        <v>537</v>
      </c>
      <c r="D28" s="1009"/>
      <c r="E28" s="1009"/>
      <c r="F28" s="1009"/>
      <c r="G28" s="1009"/>
      <c r="H28" s="1010"/>
      <c r="I28" s="1257"/>
      <c r="J28" s="1010"/>
      <c r="K28" s="770"/>
    </row>
    <row r="29" spans="1:11" ht="54" customHeight="1">
      <c r="A29" s="754"/>
      <c r="B29" s="761">
        <v>3</v>
      </c>
      <c r="C29" s="1258" t="s">
        <v>538</v>
      </c>
      <c r="D29" s="948"/>
      <c r="E29" s="748">
        <v>220</v>
      </c>
      <c r="F29" s="606">
        <f>'1-ABA-DE-CARREGAMENTO'!G37</f>
        <v>2461.8000000000002</v>
      </c>
      <c r="G29" s="759" t="s">
        <v>539</v>
      </c>
      <c r="H29" s="895">
        <f>'1-ABA-DE-CARREGAMENTO'!G52/I40</f>
        <v>220</v>
      </c>
      <c r="I29" s="1259">
        <f>F29/E29*H29</f>
        <v>2461.8000000000002</v>
      </c>
      <c r="J29" s="1010"/>
      <c r="K29" s="773"/>
    </row>
    <row r="30" spans="1:11" ht="11.25" customHeight="1">
      <c r="A30" s="754"/>
      <c r="B30" s="761">
        <v>4</v>
      </c>
      <c r="C30" s="1178" t="s">
        <v>540</v>
      </c>
      <c r="D30" s="1009"/>
      <c r="E30" s="1009"/>
      <c r="F30" s="1009"/>
      <c r="G30" s="1009"/>
      <c r="H30" s="1010"/>
      <c r="I30" s="1260"/>
      <c r="J30" s="1010"/>
      <c r="K30" s="774"/>
    </row>
    <row r="31" spans="1:11" ht="11.25" customHeight="1">
      <c r="A31" s="754"/>
      <c r="B31" s="761">
        <v>5</v>
      </c>
      <c r="C31" s="1178" t="s">
        <v>541</v>
      </c>
      <c r="D31" s="1009"/>
      <c r="E31" s="1009"/>
      <c r="F31" s="1009"/>
      <c r="G31" s="1009"/>
      <c r="H31" s="1010"/>
      <c r="I31" s="1244" t="str">
        <f>'1-ABA-DE-CARREGAMENTO'!G36</f>
        <v>01 de FEVEREIRO</v>
      </c>
      <c r="J31" s="1010"/>
      <c r="K31" s="775"/>
    </row>
    <row r="32" spans="1:11" ht="12.75" customHeight="1">
      <c r="A32" s="754"/>
      <c r="B32" s="776">
        <v>6</v>
      </c>
      <c r="C32" s="1229" t="s">
        <v>900</v>
      </c>
      <c r="D32" s="1009"/>
      <c r="E32" s="1009"/>
      <c r="F32" s="1009"/>
      <c r="G32" s="1009"/>
      <c r="H32" s="1010"/>
      <c r="I32" s="1231">
        <f>I29/H29</f>
        <v>11.190000000000001</v>
      </c>
      <c r="J32" s="1010"/>
      <c r="K32" s="777"/>
    </row>
    <row r="33" spans="1:11" ht="42.75" customHeight="1">
      <c r="A33" s="754"/>
      <c r="B33" s="776">
        <v>7</v>
      </c>
      <c r="C33" s="1229" t="s">
        <v>901</v>
      </c>
      <c r="D33" s="1009"/>
      <c r="E33" s="1009"/>
      <c r="F33" s="1010"/>
      <c r="G33" s="1239"/>
      <c r="H33" s="1010"/>
      <c r="I33" s="1230">
        <f>(SUM(J47:J50)/H29)</f>
        <v>12.39</v>
      </c>
      <c r="J33" s="1010"/>
      <c r="K33" s="777"/>
    </row>
    <row r="34" spans="1:11" ht="24.75" customHeight="1">
      <c r="A34" s="754"/>
      <c r="B34" s="776">
        <v>8</v>
      </c>
      <c r="C34" s="1229" t="s">
        <v>902</v>
      </c>
      <c r="D34" s="1009"/>
      <c r="E34" s="1009"/>
      <c r="F34" s="1010"/>
      <c r="G34" s="1239"/>
      <c r="H34" s="1010"/>
      <c r="I34" s="1231">
        <f t="shared" ref="I34:I35" si="0">I32*1.5</f>
        <v>16.785000000000004</v>
      </c>
      <c r="J34" s="1010"/>
      <c r="K34" s="777"/>
    </row>
    <row r="35" spans="1:11" ht="24.75" customHeight="1">
      <c r="A35" s="754"/>
      <c r="B35" s="776">
        <v>9</v>
      </c>
      <c r="C35" s="1229" t="s">
        <v>903</v>
      </c>
      <c r="D35" s="1009"/>
      <c r="E35" s="1009"/>
      <c r="F35" s="1010"/>
      <c r="G35" s="1239" t="s">
        <v>546</v>
      </c>
      <c r="H35" s="1010"/>
      <c r="I35" s="1230">
        <f t="shared" si="0"/>
        <v>18.585000000000001</v>
      </c>
      <c r="J35" s="1010"/>
      <c r="K35" s="778"/>
    </row>
    <row r="36" spans="1:11" ht="24.75" customHeight="1">
      <c r="A36" s="754"/>
      <c r="B36" s="776">
        <v>10</v>
      </c>
      <c r="C36" s="1229" t="s">
        <v>904</v>
      </c>
      <c r="D36" s="1009"/>
      <c r="E36" s="1009"/>
      <c r="F36" s="1009"/>
      <c r="G36" s="1009"/>
      <c r="H36" s="1010"/>
      <c r="I36" s="1231">
        <f>I35*1.2</f>
        <v>22.302</v>
      </c>
      <c r="J36" s="1010"/>
      <c r="K36" s="777"/>
    </row>
    <row r="37" spans="1:11" ht="24.75" customHeight="1">
      <c r="A37" s="754"/>
      <c r="B37" s="776">
        <v>11</v>
      </c>
      <c r="C37" s="1229" t="s">
        <v>905</v>
      </c>
      <c r="D37" s="1009"/>
      <c r="E37" s="1009"/>
      <c r="F37" s="1009"/>
      <c r="G37" s="1009"/>
      <c r="H37" s="1010"/>
      <c r="I37" s="1230">
        <f>I35*2</f>
        <v>37.17</v>
      </c>
      <c r="J37" s="1010"/>
      <c r="K37" s="777"/>
    </row>
    <row r="38" spans="1:11" ht="14.25" customHeight="1">
      <c r="A38" s="754"/>
      <c r="B38" s="776">
        <v>12</v>
      </c>
      <c r="C38" s="1229" t="s">
        <v>906</v>
      </c>
      <c r="D38" s="1009"/>
      <c r="E38" s="1009"/>
      <c r="F38" s="1009"/>
      <c r="G38" s="1009"/>
      <c r="H38" s="1010"/>
      <c r="I38" s="1231">
        <f>I32*2.5</f>
        <v>27.975000000000001</v>
      </c>
      <c r="J38" s="1010"/>
      <c r="K38" s="777"/>
    </row>
    <row r="39" spans="1:11" ht="14.25" customHeight="1">
      <c r="A39" s="754"/>
      <c r="B39" s="776">
        <v>13</v>
      </c>
      <c r="C39" s="1229" t="s">
        <v>550</v>
      </c>
      <c r="D39" s="1009"/>
      <c r="E39" s="1009"/>
      <c r="F39" s="1009"/>
      <c r="G39" s="1009"/>
      <c r="H39" s="1010"/>
      <c r="I39" s="1232">
        <f>ROUND(I32/6,2)*1.3*0</f>
        <v>0</v>
      </c>
      <c r="J39" s="1128"/>
      <c r="K39" s="777"/>
    </row>
    <row r="40" spans="1:11" ht="13.5" customHeight="1">
      <c r="A40" s="754"/>
      <c r="B40" s="776">
        <v>14</v>
      </c>
      <c r="C40" s="1234" t="s">
        <v>551</v>
      </c>
      <c r="D40" s="948"/>
      <c r="E40" s="948"/>
      <c r="F40" s="948"/>
      <c r="G40" s="948"/>
      <c r="H40" s="1235"/>
      <c r="I40" s="1236">
        <f>'1-ABA-DE-CARREGAMENTO'!G93</f>
        <v>1</v>
      </c>
      <c r="J40" s="949"/>
      <c r="K40" s="780"/>
    </row>
    <row r="41" spans="1:11" ht="11.25" customHeight="1">
      <c r="A41" s="754"/>
      <c r="B41" s="776">
        <v>15</v>
      </c>
      <c r="C41" s="1269" t="s">
        <v>907</v>
      </c>
      <c r="D41" s="1009"/>
      <c r="E41" s="1009"/>
      <c r="F41" s="1009"/>
      <c r="G41" s="1009"/>
      <c r="H41" s="1010"/>
      <c r="I41" s="1270">
        <f>'1-ABA-DE-CARREGAMENTO'!E42</f>
        <v>1320</v>
      </c>
      <c r="J41" s="1010"/>
      <c r="K41" s="781"/>
    </row>
    <row r="42" spans="1:11" ht="11.25" customHeight="1">
      <c r="A42" s="754"/>
      <c r="B42" s="1225"/>
      <c r="C42" s="1009"/>
      <c r="D42" s="1009"/>
      <c r="E42" s="1009"/>
      <c r="F42" s="1009"/>
      <c r="G42" s="1009"/>
      <c r="H42" s="1009"/>
      <c r="I42" s="1009"/>
      <c r="J42" s="1010"/>
      <c r="K42" s="376"/>
    </row>
    <row r="43" spans="1:11" ht="24.75" customHeight="1">
      <c r="A43" s="754"/>
      <c r="B43" s="1214" t="s">
        <v>553</v>
      </c>
      <c r="C43" s="1009"/>
      <c r="D43" s="1009"/>
      <c r="E43" s="1009"/>
      <c r="F43" s="1009"/>
      <c r="G43" s="1009"/>
      <c r="H43" s="1009"/>
      <c r="I43" s="1009"/>
      <c r="J43" s="1010"/>
      <c r="K43" s="782"/>
    </row>
    <row r="44" spans="1:11" ht="14.25" customHeight="1">
      <c r="A44" s="754"/>
      <c r="B44" s="1226"/>
      <c r="C44" s="1009"/>
      <c r="D44" s="1009"/>
      <c r="E44" s="1009"/>
      <c r="F44" s="1009"/>
      <c r="G44" s="1009"/>
      <c r="H44" s="1009"/>
      <c r="I44" s="1009"/>
      <c r="J44" s="1010"/>
      <c r="K44" s="783"/>
    </row>
    <row r="45" spans="1:11" ht="18" customHeight="1">
      <c r="A45" s="754"/>
      <c r="B45" s="1227" t="s">
        <v>554</v>
      </c>
      <c r="C45" s="1009"/>
      <c r="D45" s="1009"/>
      <c r="E45" s="1009"/>
      <c r="F45" s="1009"/>
      <c r="G45" s="1009"/>
      <c r="H45" s="1009"/>
      <c r="I45" s="1009"/>
      <c r="J45" s="1010"/>
      <c r="K45" s="784"/>
    </row>
    <row r="46" spans="1:11" ht="15" customHeight="1">
      <c r="A46" s="785"/>
      <c r="B46" s="622">
        <v>1</v>
      </c>
      <c r="C46" s="1083" t="s">
        <v>555</v>
      </c>
      <c r="D46" s="1009"/>
      <c r="E46" s="1009"/>
      <c r="F46" s="1009"/>
      <c r="G46" s="1009"/>
      <c r="H46" s="1010"/>
      <c r="I46" s="786" t="s">
        <v>556</v>
      </c>
      <c r="J46" s="622" t="s">
        <v>557</v>
      </c>
      <c r="K46" s="592"/>
    </row>
    <row r="47" spans="1:11" ht="12.75" customHeight="1">
      <c r="A47" s="754"/>
      <c r="B47" s="761" t="s">
        <v>514</v>
      </c>
      <c r="C47" s="1178" t="s">
        <v>558</v>
      </c>
      <c r="D47" s="1009"/>
      <c r="E47" s="1009"/>
      <c r="F47" s="1010"/>
      <c r="G47" s="787" t="s">
        <v>185</v>
      </c>
      <c r="H47" s="788">
        <f>'1-ABA-DE-CARREGAMENTO'!G52</f>
        <v>220</v>
      </c>
      <c r="I47" s="787"/>
      <c r="J47" s="789">
        <f>I29*I40</f>
        <v>2461.8000000000002</v>
      </c>
      <c r="K47" s="790"/>
    </row>
    <row r="48" spans="1:11" ht="11.25" customHeight="1">
      <c r="A48" s="754"/>
      <c r="B48" s="761" t="s">
        <v>516</v>
      </c>
      <c r="C48" s="1178" t="s">
        <v>790</v>
      </c>
      <c r="D48" s="1009"/>
      <c r="E48" s="1009"/>
      <c r="F48" s="1228" t="str">
        <f>'1-ABA-DE-CARREGAMENTO'!G38</f>
        <v>SEM ADICIONAL DE FUNÇÃO</v>
      </c>
      <c r="G48" s="1009"/>
      <c r="H48" s="1010"/>
      <c r="I48" s="791">
        <f>'1-ABA-DE-CARREGAMENTO'!G39</f>
        <v>0</v>
      </c>
      <c r="J48" s="789">
        <f>J47*I48</f>
        <v>0</v>
      </c>
      <c r="K48" s="790"/>
    </row>
    <row r="49" spans="1:11" ht="30" customHeight="1">
      <c r="A49" s="754"/>
      <c r="B49" s="761" t="s">
        <v>518</v>
      </c>
      <c r="C49" s="1178" t="s">
        <v>908</v>
      </c>
      <c r="D49" s="1009"/>
      <c r="E49" s="1009"/>
      <c r="F49" s="1009"/>
      <c r="G49" s="1009"/>
      <c r="H49" s="1010"/>
      <c r="I49" s="792">
        <f>'1-ABA-DE-CARREGAMENTO'!G44</f>
        <v>0</v>
      </c>
      <c r="J49" s="789">
        <f>ROUND(J47*I49,2)</f>
        <v>0</v>
      </c>
      <c r="K49" s="790"/>
    </row>
    <row r="50" spans="1:11" ht="14.25" customHeight="1">
      <c r="A50" s="754"/>
      <c r="B50" s="761" t="s">
        <v>520</v>
      </c>
      <c r="C50" s="1178" t="s">
        <v>909</v>
      </c>
      <c r="D50" s="1009"/>
      <c r="E50" s="1009"/>
      <c r="F50" s="1009"/>
      <c r="G50" s="1228" t="str">
        <f>'1-ABA-DE-CARREGAMENTO'!G40</f>
        <v>INSALUB S/MIN. NACION.</v>
      </c>
      <c r="H50" s="1010"/>
      <c r="I50" s="896">
        <f>'1-ABA-DE-CARREGAMENTO'!G41</f>
        <v>0.2</v>
      </c>
      <c r="J50" s="789">
        <f>ROUND(I50*I41,2)</f>
        <v>264</v>
      </c>
      <c r="K50" s="790"/>
    </row>
    <row r="51" spans="1:11" ht="33.75" customHeight="1">
      <c r="A51" s="754"/>
      <c r="B51" s="761" t="s">
        <v>562</v>
      </c>
      <c r="C51" s="1224" t="s">
        <v>910</v>
      </c>
      <c r="D51" s="1009"/>
      <c r="E51" s="1009"/>
      <c r="F51" s="794" t="s">
        <v>564</v>
      </c>
      <c r="G51" s="795">
        <v>0</v>
      </c>
      <c r="H51" s="794" t="s">
        <v>565</v>
      </c>
      <c r="I51" s="796">
        <f>I36</f>
        <v>22.302</v>
      </c>
      <c r="J51" s="797">
        <f>G51*I51</f>
        <v>0</v>
      </c>
      <c r="K51" s="790"/>
    </row>
    <row r="52" spans="1:11" ht="45" hidden="1" customHeight="1" outlineLevel="1">
      <c r="A52" s="754"/>
      <c r="B52" s="761" t="s">
        <v>566</v>
      </c>
      <c r="C52" s="1215" t="s">
        <v>911</v>
      </c>
      <c r="D52" s="1009"/>
      <c r="E52" s="1009"/>
      <c r="F52" s="1009"/>
      <c r="G52" s="1009"/>
      <c r="H52" s="1009"/>
      <c r="I52" s="1010"/>
      <c r="J52" s="789">
        <f>ROUND(I38*(((12*15)+15)-((44/6)*26))*I35,2)*0+ROUND(2*4.33*I35,2)*0</f>
        <v>0</v>
      </c>
      <c r="K52" s="790"/>
    </row>
    <row r="53" spans="1:11" ht="30" hidden="1" customHeight="1" outlineLevel="1">
      <c r="A53" s="754"/>
      <c r="B53" s="761" t="s">
        <v>568</v>
      </c>
      <c r="C53" s="1215" t="s">
        <v>912</v>
      </c>
      <c r="D53" s="1009"/>
      <c r="E53" s="1009"/>
      <c r="F53" s="1009"/>
      <c r="G53" s="1009"/>
      <c r="H53" s="1009"/>
      <c r="I53" s="1010"/>
      <c r="J53" s="789">
        <f>ROUND(I39*I40*15,2)*0</f>
        <v>0</v>
      </c>
      <c r="K53" s="790"/>
    </row>
    <row r="54" spans="1:11" ht="24.75" customHeight="1" collapsed="1">
      <c r="A54" s="754"/>
      <c r="B54" s="761" t="s">
        <v>570</v>
      </c>
      <c r="C54" s="1215" t="s">
        <v>913</v>
      </c>
      <c r="D54" s="1009"/>
      <c r="E54" s="1009"/>
      <c r="F54" s="794" t="s">
        <v>572</v>
      </c>
      <c r="G54" s="795">
        <v>0</v>
      </c>
      <c r="H54" s="794" t="s">
        <v>914</v>
      </c>
      <c r="I54" s="796">
        <f t="shared" ref="I54:I55" si="1">I37</f>
        <v>37.17</v>
      </c>
      <c r="J54" s="789">
        <f t="shared" ref="J54:J55" si="2">G54*I54</f>
        <v>0</v>
      </c>
      <c r="K54" s="790"/>
    </row>
    <row r="55" spans="1:11" ht="24.75" customHeight="1">
      <c r="A55" s="754"/>
      <c r="B55" s="761" t="s">
        <v>574</v>
      </c>
      <c r="C55" s="1215" t="s">
        <v>915</v>
      </c>
      <c r="D55" s="1009"/>
      <c r="E55" s="1009"/>
      <c r="F55" s="794" t="s">
        <v>576</v>
      </c>
      <c r="G55" s="795">
        <v>0</v>
      </c>
      <c r="H55" s="794" t="s">
        <v>916</v>
      </c>
      <c r="I55" s="796">
        <f t="shared" si="1"/>
        <v>27.975000000000001</v>
      </c>
      <c r="J55" s="789">
        <f t="shared" si="2"/>
        <v>0</v>
      </c>
      <c r="K55" s="790"/>
    </row>
    <row r="56" spans="1:11" ht="38.25" customHeight="1">
      <c r="A56" s="754"/>
      <c r="B56" s="761" t="s">
        <v>578</v>
      </c>
      <c r="C56" s="1178" t="s">
        <v>917</v>
      </c>
      <c r="D56" s="1009"/>
      <c r="E56" s="1009"/>
      <c r="F56" s="1009"/>
      <c r="G56" s="1009"/>
      <c r="H56" s="1009"/>
      <c r="I56" s="1010"/>
      <c r="J56" s="789">
        <f>ROUND(((J54+J55)/25)*5,2)</f>
        <v>0</v>
      </c>
      <c r="K56" s="790"/>
    </row>
    <row r="57" spans="1:11" ht="15.75" customHeight="1">
      <c r="A57" s="754"/>
      <c r="B57" s="761" t="s">
        <v>580</v>
      </c>
      <c r="C57" s="1178" t="s">
        <v>581</v>
      </c>
      <c r="D57" s="1009"/>
      <c r="E57" s="1009"/>
      <c r="F57" s="1009"/>
      <c r="G57" s="1009"/>
      <c r="H57" s="1009"/>
      <c r="I57" s="1010"/>
      <c r="J57" s="798" t="s">
        <v>527</v>
      </c>
      <c r="K57" s="799"/>
    </row>
    <row r="58" spans="1:11" ht="30" customHeight="1">
      <c r="A58" s="754"/>
      <c r="B58" s="1086" t="s">
        <v>582</v>
      </c>
      <c r="C58" s="1009"/>
      <c r="D58" s="1009"/>
      <c r="E58" s="1009"/>
      <c r="F58" s="1009"/>
      <c r="G58" s="1009"/>
      <c r="H58" s="1009"/>
      <c r="I58" s="1010"/>
      <c r="J58" s="640">
        <f>SUM(J47:J57)</f>
        <v>2725.8</v>
      </c>
      <c r="K58" s="626"/>
    </row>
    <row r="59" spans="1:11" ht="14.25" customHeight="1">
      <c r="A59" s="754"/>
      <c r="B59" s="800"/>
      <c r="C59" s="1219"/>
      <c r="D59" s="1009"/>
      <c r="E59" s="1009"/>
      <c r="F59" s="1009"/>
      <c r="G59" s="1009"/>
      <c r="H59" s="1009"/>
      <c r="I59" s="1010"/>
      <c r="J59" s="642"/>
      <c r="K59" s="626"/>
    </row>
    <row r="60" spans="1:11" ht="30" customHeight="1">
      <c r="A60" s="754"/>
      <c r="B60" s="761" t="s">
        <v>570</v>
      </c>
      <c r="C60" s="1178" t="s">
        <v>918</v>
      </c>
      <c r="D60" s="1009"/>
      <c r="E60" s="1009"/>
      <c r="F60" s="1009"/>
      <c r="G60" s="1009"/>
      <c r="H60" s="1009"/>
      <c r="I60" s="1010"/>
      <c r="J60" s="789">
        <f>ROUND(I34*15*I40*0.5,2)*0</f>
        <v>0</v>
      </c>
      <c r="K60" s="790"/>
    </row>
    <row r="61" spans="1:11" ht="34.5" customHeight="1">
      <c r="A61" s="754"/>
      <c r="B61" s="1086" t="s">
        <v>919</v>
      </c>
      <c r="C61" s="1009"/>
      <c r="D61" s="1009"/>
      <c r="E61" s="1009"/>
      <c r="F61" s="1009"/>
      <c r="G61" s="1009"/>
      <c r="H61" s="1009"/>
      <c r="I61" s="1010"/>
      <c r="J61" s="640">
        <f>J60</f>
        <v>0</v>
      </c>
      <c r="K61" s="626"/>
    </row>
    <row r="62" spans="1:11" ht="11.25" customHeight="1">
      <c r="A62" s="754"/>
      <c r="B62" s="1220"/>
      <c r="C62" s="1009"/>
      <c r="D62" s="1009"/>
      <c r="E62" s="1009"/>
      <c r="F62" s="1009"/>
      <c r="G62" s="1009"/>
      <c r="H62" s="1009"/>
      <c r="I62" s="1009"/>
      <c r="J62" s="1010"/>
      <c r="K62" s="763"/>
    </row>
    <row r="63" spans="1:11" ht="19.5" customHeight="1">
      <c r="A63" s="754"/>
      <c r="B63" s="1221" t="s">
        <v>920</v>
      </c>
      <c r="C63" s="1009"/>
      <c r="D63" s="1009"/>
      <c r="E63" s="1009"/>
      <c r="F63" s="1009"/>
      <c r="G63" s="1009"/>
      <c r="H63" s="1009"/>
      <c r="I63" s="1010"/>
      <c r="J63" s="801">
        <f>J58+J61</f>
        <v>2725.8</v>
      </c>
      <c r="K63" s="802"/>
    </row>
    <row r="64" spans="1:11" ht="11.25" customHeight="1">
      <c r="A64" s="754"/>
      <c r="B64" s="1219"/>
      <c r="C64" s="1009"/>
      <c r="D64" s="1009"/>
      <c r="E64" s="1009"/>
      <c r="F64" s="1009"/>
      <c r="G64" s="1009"/>
      <c r="H64" s="1009"/>
      <c r="I64" s="1009"/>
      <c r="J64" s="1010"/>
      <c r="K64" s="803"/>
    </row>
    <row r="65" spans="1:11" ht="23.25" customHeight="1">
      <c r="A65" s="754"/>
      <c r="B65" s="1222" t="s">
        <v>586</v>
      </c>
      <c r="C65" s="1009"/>
      <c r="D65" s="1009"/>
      <c r="E65" s="1009"/>
      <c r="F65" s="1009"/>
      <c r="G65" s="1009"/>
      <c r="H65" s="1009"/>
      <c r="I65" s="1009"/>
      <c r="J65" s="1010"/>
      <c r="K65" s="804"/>
    </row>
    <row r="66" spans="1:11" ht="11.25" customHeight="1">
      <c r="A66" s="754"/>
      <c r="B66" s="1219"/>
      <c r="C66" s="1009"/>
      <c r="D66" s="1009"/>
      <c r="E66" s="1009"/>
      <c r="F66" s="1009"/>
      <c r="G66" s="1009"/>
      <c r="H66" s="1009"/>
      <c r="I66" s="1009"/>
      <c r="J66" s="1010"/>
      <c r="K66" s="803"/>
    </row>
    <row r="67" spans="1:11" ht="21" customHeight="1">
      <c r="A67" s="754"/>
      <c r="B67" s="1201" t="s">
        <v>587</v>
      </c>
      <c r="C67" s="1009"/>
      <c r="D67" s="1009"/>
      <c r="E67" s="1009"/>
      <c r="F67" s="1009"/>
      <c r="G67" s="1009"/>
      <c r="H67" s="1009"/>
      <c r="I67" s="1009"/>
      <c r="J67" s="1010"/>
      <c r="K67" s="805"/>
    </row>
    <row r="68" spans="1:11" ht="24" customHeight="1">
      <c r="A68" s="754"/>
      <c r="B68" s="1112" t="s">
        <v>921</v>
      </c>
      <c r="C68" s="1009"/>
      <c r="D68" s="1009"/>
      <c r="E68" s="1009"/>
      <c r="F68" s="1009"/>
      <c r="G68" s="1009"/>
      <c r="H68" s="1009"/>
      <c r="I68" s="1009"/>
      <c r="J68" s="1010"/>
      <c r="K68" s="646"/>
    </row>
    <row r="69" spans="1:11" ht="24.75" customHeight="1">
      <c r="A69" s="754"/>
      <c r="B69" s="647" t="s">
        <v>589</v>
      </c>
      <c r="C69" s="1113" t="s">
        <v>922</v>
      </c>
      <c r="D69" s="1009"/>
      <c r="E69" s="1009"/>
      <c r="F69" s="1009"/>
      <c r="G69" s="1009"/>
      <c r="H69" s="1009"/>
      <c r="I69" s="1010"/>
      <c r="J69" s="604" t="s">
        <v>591</v>
      </c>
      <c r="K69" s="487"/>
    </row>
    <row r="70" spans="1:11" ht="24.75" customHeight="1">
      <c r="A70" s="754"/>
      <c r="B70" s="647" t="s">
        <v>514</v>
      </c>
      <c r="C70" s="1215" t="s">
        <v>923</v>
      </c>
      <c r="D70" s="1009"/>
      <c r="E70" s="1009"/>
      <c r="F70" s="1009"/>
      <c r="G70" s="1009"/>
      <c r="H70" s="1010"/>
      <c r="I70" s="648">
        <v>8.3299999999999999E-2</v>
      </c>
      <c r="J70" s="806">
        <f>ROUND(J58*I70,2)</f>
        <v>227.06</v>
      </c>
      <c r="K70" s="807"/>
    </row>
    <row r="71" spans="1:11" ht="93.75" customHeight="1">
      <c r="A71" s="754"/>
      <c r="B71" s="647" t="s">
        <v>516</v>
      </c>
      <c r="C71" s="1216" t="s">
        <v>924</v>
      </c>
      <c r="D71" s="1009"/>
      <c r="E71" s="1009"/>
      <c r="F71" s="1009"/>
      <c r="G71" s="1009"/>
      <c r="H71" s="1010"/>
      <c r="I71" s="651">
        <v>3.0249999999999999E-2</v>
      </c>
      <c r="J71" s="806">
        <f>ROUND(J58*I71,2)</f>
        <v>82.46</v>
      </c>
      <c r="K71" s="807"/>
    </row>
    <row r="72" spans="1:11" ht="11.25" customHeight="1">
      <c r="A72" s="754"/>
      <c r="B72" s="1199" t="s">
        <v>594</v>
      </c>
      <c r="C72" s="1009"/>
      <c r="D72" s="1009"/>
      <c r="E72" s="1009"/>
      <c r="F72" s="1009"/>
      <c r="G72" s="1009"/>
      <c r="H72" s="1009"/>
      <c r="I72" s="1010"/>
      <c r="J72" s="808">
        <f>SUM(J70+J71)</f>
        <v>309.52</v>
      </c>
      <c r="K72" s="809"/>
    </row>
    <row r="73" spans="1:11" ht="14.25" customHeight="1">
      <c r="A73" s="754"/>
      <c r="B73" s="1217"/>
      <c r="C73" s="1009"/>
      <c r="D73" s="1009"/>
      <c r="E73" s="1009"/>
      <c r="F73" s="1009"/>
      <c r="G73" s="1009"/>
      <c r="H73" s="1009"/>
      <c r="I73" s="1009"/>
      <c r="J73" s="1010"/>
      <c r="K73" s="810"/>
    </row>
    <row r="74" spans="1:11" ht="40.5" customHeight="1">
      <c r="A74" s="754"/>
      <c r="B74" s="1214" t="s">
        <v>925</v>
      </c>
      <c r="C74" s="1009"/>
      <c r="D74" s="1009"/>
      <c r="E74" s="1009"/>
      <c r="F74" s="1009"/>
      <c r="G74" s="1009"/>
      <c r="H74" s="1009"/>
      <c r="I74" s="1009"/>
      <c r="J74" s="1010"/>
      <c r="K74" s="782"/>
    </row>
    <row r="75" spans="1:11" ht="14.25" customHeight="1">
      <c r="A75" s="754"/>
      <c r="B75" s="1218"/>
      <c r="C75" s="1009"/>
      <c r="D75" s="1009"/>
      <c r="E75" s="1009"/>
      <c r="F75" s="1009"/>
      <c r="G75" s="1009"/>
      <c r="H75" s="1009"/>
      <c r="I75" s="1009"/>
      <c r="J75" s="1010"/>
      <c r="K75" s="782"/>
    </row>
    <row r="76" spans="1:11" ht="32.25" customHeight="1">
      <c r="A76" s="754"/>
      <c r="B76" s="1108" t="s">
        <v>926</v>
      </c>
      <c r="C76" s="1009"/>
      <c r="D76" s="1009"/>
      <c r="E76" s="1009"/>
      <c r="F76" s="1009"/>
      <c r="G76" s="1009"/>
      <c r="H76" s="1009"/>
      <c r="I76" s="1009"/>
      <c r="J76" s="1010"/>
      <c r="K76" s="655"/>
    </row>
    <row r="77" spans="1:11" ht="16.5" customHeight="1">
      <c r="A77" s="754"/>
      <c r="B77" s="656" t="s">
        <v>597</v>
      </c>
      <c r="C77" s="1165" t="s">
        <v>598</v>
      </c>
      <c r="D77" s="1009"/>
      <c r="E77" s="1009"/>
      <c r="F77" s="1009"/>
      <c r="G77" s="1009"/>
      <c r="H77" s="1010"/>
      <c r="I77" s="811" t="s">
        <v>556</v>
      </c>
      <c r="J77" s="657" t="s">
        <v>599</v>
      </c>
      <c r="K77" s="487"/>
    </row>
    <row r="78" spans="1:11" ht="11.25" customHeight="1">
      <c r="A78" s="754"/>
      <c r="B78" s="812" t="s">
        <v>514</v>
      </c>
      <c r="C78" s="1178" t="s">
        <v>600</v>
      </c>
      <c r="D78" s="1009"/>
      <c r="E78" s="1009"/>
      <c r="F78" s="1009"/>
      <c r="G78" s="1009"/>
      <c r="H78" s="1010"/>
      <c r="I78" s="813">
        <v>0.2</v>
      </c>
      <c r="J78" s="814">
        <f>ROUND((J58+J72)*I78,2)</f>
        <v>607.05999999999995</v>
      </c>
      <c r="K78" s="809"/>
    </row>
    <row r="79" spans="1:11" ht="11.25" customHeight="1">
      <c r="A79" s="754"/>
      <c r="B79" s="812" t="s">
        <v>516</v>
      </c>
      <c r="C79" s="1178" t="s">
        <v>601</v>
      </c>
      <c r="D79" s="1009"/>
      <c r="E79" s="1009"/>
      <c r="F79" s="1009"/>
      <c r="G79" s="1009"/>
      <c r="H79" s="1010"/>
      <c r="I79" s="813">
        <v>2.5000000000000001E-2</v>
      </c>
      <c r="J79" s="814">
        <f>ROUND((J58+J72)*I79,2)</f>
        <v>75.88</v>
      </c>
      <c r="K79" s="809"/>
    </row>
    <row r="80" spans="1:11" ht="35.25" customHeight="1">
      <c r="A80" s="754"/>
      <c r="B80" s="812" t="s">
        <v>518</v>
      </c>
      <c r="C80" s="1178" t="s">
        <v>927</v>
      </c>
      <c r="D80" s="1010"/>
      <c r="E80" s="815" t="s">
        <v>603</v>
      </c>
      <c r="F80" s="816">
        <f>'1-ABA-DE-CARREGAMENTO'!G57</f>
        <v>0.03</v>
      </c>
      <c r="G80" s="815" t="s">
        <v>604</v>
      </c>
      <c r="H80" s="817">
        <f>'1-ABA-DE-CARREGAMENTO'!G58</f>
        <v>1</v>
      </c>
      <c r="I80" s="818">
        <f>ROUND((F80*H80),6)</f>
        <v>0.03</v>
      </c>
      <c r="J80" s="814">
        <f>ROUND((J58+J72)*I80,2)</f>
        <v>91.06</v>
      </c>
      <c r="K80" s="809"/>
    </row>
    <row r="81" spans="1:11" ht="16.5" customHeight="1">
      <c r="A81" s="754"/>
      <c r="B81" s="812" t="s">
        <v>520</v>
      </c>
      <c r="C81" s="1178" t="s">
        <v>605</v>
      </c>
      <c r="D81" s="1009"/>
      <c r="E81" s="1009"/>
      <c r="F81" s="1009"/>
      <c r="G81" s="1009"/>
      <c r="H81" s="1010"/>
      <c r="I81" s="813">
        <v>1.4999999999999999E-2</v>
      </c>
      <c r="J81" s="814">
        <f>ROUND((J58+J72)*I81,2)</f>
        <v>45.53</v>
      </c>
      <c r="K81" s="809"/>
    </row>
    <row r="82" spans="1:11" ht="16.5" customHeight="1">
      <c r="A82" s="754"/>
      <c r="B82" s="812" t="s">
        <v>562</v>
      </c>
      <c r="C82" s="1178" t="s">
        <v>606</v>
      </c>
      <c r="D82" s="1009"/>
      <c r="E82" s="1009"/>
      <c r="F82" s="1009"/>
      <c r="G82" s="1009"/>
      <c r="H82" s="1010"/>
      <c r="I82" s="813">
        <v>0.01</v>
      </c>
      <c r="J82" s="814">
        <f>ROUND((J58+J72)*I82,2)</f>
        <v>30.35</v>
      </c>
      <c r="K82" s="809"/>
    </row>
    <row r="83" spans="1:11" ht="16.5" customHeight="1">
      <c r="A83" s="754"/>
      <c r="B83" s="812" t="s">
        <v>566</v>
      </c>
      <c r="C83" s="1178" t="s">
        <v>607</v>
      </c>
      <c r="D83" s="1009"/>
      <c r="E83" s="1009"/>
      <c r="F83" s="1009"/>
      <c r="G83" s="1009"/>
      <c r="H83" s="1010"/>
      <c r="I83" s="813">
        <v>6.0000000000000001E-3</v>
      </c>
      <c r="J83" s="814">
        <f>ROUND((J58+J72)*I83,2)</f>
        <v>18.21</v>
      </c>
      <c r="K83" s="809"/>
    </row>
    <row r="84" spans="1:11" ht="16.5" customHeight="1">
      <c r="A84" s="754"/>
      <c r="B84" s="812" t="s">
        <v>568</v>
      </c>
      <c r="C84" s="1178" t="s">
        <v>608</v>
      </c>
      <c r="D84" s="1009"/>
      <c r="E84" s="1009"/>
      <c r="F84" s="1009"/>
      <c r="G84" s="1009"/>
      <c r="H84" s="1010"/>
      <c r="I84" s="813">
        <v>2E-3</v>
      </c>
      <c r="J84" s="814">
        <f>ROUND((J58+J72)*I84,2)</f>
        <v>6.07</v>
      </c>
      <c r="K84" s="809"/>
    </row>
    <row r="85" spans="1:11" ht="28.5" customHeight="1">
      <c r="A85" s="754"/>
      <c r="B85" s="812" t="s">
        <v>570</v>
      </c>
      <c r="C85" s="1178" t="s">
        <v>609</v>
      </c>
      <c r="D85" s="1009"/>
      <c r="E85" s="1009"/>
      <c r="F85" s="1009"/>
      <c r="G85" s="1009"/>
      <c r="H85" s="1010"/>
      <c r="I85" s="813">
        <v>0.08</v>
      </c>
      <c r="J85" s="814">
        <f>ROUND((J58+J72)*I85,2)</f>
        <v>242.83</v>
      </c>
      <c r="K85" s="809"/>
    </row>
    <row r="86" spans="1:11" ht="12" customHeight="1">
      <c r="A86" s="754"/>
      <c r="B86" s="1204" t="s">
        <v>594</v>
      </c>
      <c r="C86" s="1009"/>
      <c r="D86" s="1009"/>
      <c r="E86" s="1009"/>
      <c r="F86" s="1009"/>
      <c r="G86" s="1009"/>
      <c r="H86" s="1010"/>
      <c r="I86" s="819">
        <f t="shared" ref="I86:J86" si="3">SUM(I78:I85)</f>
        <v>0.36800000000000005</v>
      </c>
      <c r="J86" s="808">
        <f t="shared" si="3"/>
        <v>1116.99</v>
      </c>
      <c r="K86" s="809"/>
    </row>
    <row r="87" spans="1:11" ht="12" customHeight="1">
      <c r="A87" s="754"/>
      <c r="B87" s="820"/>
      <c r="C87" s="666"/>
      <c r="D87" s="666"/>
      <c r="E87" s="666"/>
      <c r="F87" s="666"/>
      <c r="G87" s="666"/>
      <c r="H87" s="666"/>
      <c r="I87" s="821"/>
      <c r="J87" s="822"/>
      <c r="K87" s="809"/>
    </row>
    <row r="88" spans="1:11" ht="45" customHeight="1">
      <c r="A88" s="754"/>
      <c r="B88" s="1214" t="s">
        <v>610</v>
      </c>
      <c r="C88" s="1009"/>
      <c r="D88" s="1009"/>
      <c r="E88" s="1009"/>
      <c r="F88" s="1009"/>
      <c r="G88" s="1009"/>
      <c r="H88" s="1009"/>
      <c r="I88" s="1009"/>
      <c r="J88" s="1010"/>
      <c r="K88" s="782"/>
    </row>
    <row r="89" spans="1:11" ht="18.75" customHeight="1">
      <c r="A89" s="754"/>
      <c r="B89" s="1225"/>
      <c r="C89" s="1009"/>
      <c r="D89" s="1009"/>
      <c r="E89" s="1009"/>
      <c r="F89" s="1009"/>
      <c r="G89" s="1009"/>
      <c r="H89" s="1009"/>
      <c r="I89" s="1009"/>
      <c r="J89" s="1010"/>
      <c r="K89" s="376"/>
    </row>
    <row r="90" spans="1:11" ht="15" customHeight="1">
      <c r="A90" s="754"/>
      <c r="B90" s="1096" t="s">
        <v>611</v>
      </c>
      <c r="C90" s="1009"/>
      <c r="D90" s="1009"/>
      <c r="E90" s="1009"/>
      <c r="F90" s="1009"/>
      <c r="G90" s="1009"/>
      <c r="H90" s="1009"/>
      <c r="I90" s="1009"/>
      <c r="J90" s="1010"/>
      <c r="K90" s="646"/>
    </row>
    <row r="91" spans="1:11" ht="15" customHeight="1">
      <c r="A91" s="754"/>
      <c r="B91" s="669" t="s">
        <v>612</v>
      </c>
      <c r="C91" s="1083" t="s">
        <v>613</v>
      </c>
      <c r="D91" s="1009"/>
      <c r="E91" s="1009"/>
      <c r="F91" s="1009"/>
      <c r="G91" s="1009"/>
      <c r="H91" s="1009"/>
      <c r="I91" s="1010"/>
      <c r="J91" s="670" t="s">
        <v>591</v>
      </c>
      <c r="K91" s="592"/>
    </row>
    <row r="92" spans="1:11" ht="23.25" customHeight="1">
      <c r="A92" s="754"/>
      <c r="B92" s="823" t="s">
        <v>514</v>
      </c>
      <c r="C92" s="1178" t="s">
        <v>928</v>
      </c>
      <c r="D92" s="1009"/>
      <c r="E92" s="1009"/>
      <c r="F92" s="1009"/>
      <c r="G92" s="1009"/>
      <c r="H92" s="1010"/>
      <c r="I92" s="794">
        <f>J47</f>
        <v>2461.8000000000002</v>
      </c>
      <c r="J92" s="824">
        <f>IF(ROUND((I93*I95*I94)-(J47*I96),2)&lt;0,0,ROUND((I93*I95*I94)-(J47*I96),2))</f>
        <v>140.80000000000001</v>
      </c>
      <c r="K92" s="809"/>
    </row>
    <row r="93" spans="1:11" ht="28.5" customHeight="1">
      <c r="A93" s="754"/>
      <c r="B93" s="823" t="s">
        <v>516</v>
      </c>
      <c r="C93" s="1178" t="s">
        <v>929</v>
      </c>
      <c r="D93" s="1009"/>
      <c r="E93" s="1009"/>
      <c r="F93" s="1009"/>
      <c r="G93" s="1009"/>
      <c r="H93" s="1009"/>
      <c r="I93" s="825">
        <f>'1-ABA-DE-CARREGAMENTO'!G72</f>
        <v>3.2</v>
      </c>
      <c r="J93" s="826" t="s">
        <v>527</v>
      </c>
      <c r="K93" s="799"/>
    </row>
    <row r="94" spans="1:11" ht="21" customHeight="1">
      <c r="A94" s="754"/>
      <c r="B94" s="823" t="s">
        <v>518</v>
      </c>
      <c r="C94" s="1178" t="s">
        <v>930</v>
      </c>
      <c r="D94" s="1009"/>
      <c r="E94" s="1009"/>
      <c r="F94" s="1009"/>
      <c r="G94" s="1009"/>
      <c r="H94" s="1010"/>
      <c r="I94" s="827">
        <f>'1-ABA-DE-CARREGAMENTO'!G73</f>
        <v>2</v>
      </c>
      <c r="J94" s="826" t="s">
        <v>527</v>
      </c>
      <c r="K94" s="799"/>
    </row>
    <row r="95" spans="1:11" ht="19.5" customHeight="1">
      <c r="A95" s="754"/>
      <c r="B95" s="823" t="s">
        <v>520</v>
      </c>
      <c r="C95" s="1229" t="s">
        <v>617</v>
      </c>
      <c r="D95" s="1009"/>
      <c r="E95" s="1009"/>
      <c r="F95" s="1009"/>
      <c r="G95" s="1009"/>
      <c r="H95" s="1010"/>
      <c r="I95" s="827">
        <f>'1-ABA-DE-CARREGAMENTO'!G74</f>
        <v>22</v>
      </c>
      <c r="J95" s="826" t="s">
        <v>527</v>
      </c>
      <c r="K95" s="799"/>
    </row>
    <row r="96" spans="1:11" ht="27" customHeight="1">
      <c r="A96" s="754"/>
      <c r="B96" s="823" t="s">
        <v>562</v>
      </c>
      <c r="C96" s="1229" t="s">
        <v>931</v>
      </c>
      <c r="D96" s="1009"/>
      <c r="E96" s="1009"/>
      <c r="F96" s="1009"/>
      <c r="G96" s="1009"/>
      <c r="H96" s="1010"/>
      <c r="I96" s="832">
        <f>'1-ABA-DE-CARREGAMENTO'!G75</f>
        <v>0</v>
      </c>
      <c r="J96" s="830" t="s">
        <v>527</v>
      </c>
      <c r="K96" s="799"/>
    </row>
    <row r="97" spans="1:11" ht="15" customHeight="1">
      <c r="A97" s="754"/>
      <c r="B97" s="823" t="s">
        <v>566</v>
      </c>
      <c r="C97" s="1178" t="s">
        <v>932</v>
      </c>
      <c r="D97" s="1009"/>
      <c r="E97" s="1009"/>
      <c r="F97" s="1009"/>
      <c r="G97" s="1009"/>
      <c r="H97" s="1009"/>
      <c r="I97" s="1009"/>
      <c r="J97" s="824">
        <f>ROUND(I98*I99,2)-ROUND((I98*I99)*I100,2)</f>
        <v>359.61</v>
      </c>
      <c r="K97" s="809"/>
    </row>
    <row r="98" spans="1:11" ht="22.5" customHeight="1">
      <c r="A98" s="754"/>
      <c r="B98" s="823" t="s">
        <v>568</v>
      </c>
      <c r="C98" s="1178" t="s">
        <v>933</v>
      </c>
      <c r="D98" s="1009"/>
      <c r="E98" s="1009"/>
      <c r="F98" s="1009"/>
      <c r="G98" s="1009"/>
      <c r="H98" s="1009"/>
      <c r="I98" s="825">
        <f>IF('1-ABA-DE-CARREGAMENTO'!G60&gt;0,'1-ABA-DE-CARREGAMENTO'!G60,'1-ABA-DE-CARREGAMENTO'!G63)</f>
        <v>20.18</v>
      </c>
      <c r="J98" s="831"/>
      <c r="K98" s="799"/>
    </row>
    <row r="99" spans="1:11" ht="24" customHeight="1">
      <c r="A99" s="754"/>
      <c r="B99" s="823" t="s">
        <v>570</v>
      </c>
      <c r="C99" s="1178" t="s">
        <v>934</v>
      </c>
      <c r="D99" s="1009"/>
      <c r="E99" s="1009"/>
      <c r="F99" s="1009"/>
      <c r="G99" s="1009"/>
      <c r="H99" s="1009"/>
      <c r="I99" s="827">
        <f>'1-ABA-DE-CARREGAMENTO'!G62</f>
        <v>22</v>
      </c>
      <c r="J99" s="831"/>
      <c r="K99" s="799"/>
    </row>
    <row r="100" spans="1:11" ht="24" customHeight="1">
      <c r="A100" s="754"/>
      <c r="B100" s="823" t="s">
        <v>574</v>
      </c>
      <c r="C100" s="1266" t="s">
        <v>935</v>
      </c>
      <c r="D100" s="1009"/>
      <c r="E100" s="1009"/>
      <c r="F100" s="1009"/>
      <c r="G100" s="1009"/>
      <c r="H100" s="1010"/>
      <c r="I100" s="832">
        <f>'1-ABA-DE-CARREGAMENTO'!G61</f>
        <v>0.19</v>
      </c>
      <c r="J100" s="833"/>
      <c r="K100" s="799"/>
    </row>
    <row r="101" spans="1:11" ht="15" customHeight="1" outlineLevel="1">
      <c r="A101" s="754"/>
      <c r="B101" s="823" t="s">
        <v>578</v>
      </c>
      <c r="C101" s="1178" t="s">
        <v>623</v>
      </c>
      <c r="D101" s="1009"/>
      <c r="E101" s="1009"/>
      <c r="F101" s="1009"/>
      <c r="G101" s="1009"/>
      <c r="H101" s="1009"/>
      <c r="I101" s="1009"/>
      <c r="J101" s="814">
        <f>'1-ABA-DE-CARREGAMENTO'!G79/12</f>
        <v>0</v>
      </c>
      <c r="K101" s="809"/>
    </row>
    <row r="102" spans="1:11" ht="33.75" customHeight="1" outlineLevel="1">
      <c r="A102" s="754"/>
      <c r="B102" s="823" t="s">
        <v>580</v>
      </c>
      <c r="C102" s="1178" t="s">
        <v>936</v>
      </c>
      <c r="D102" s="1009"/>
      <c r="E102" s="1009"/>
      <c r="F102" s="1009"/>
      <c r="G102" s="1009"/>
      <c r="H102" s="1009"/>
      <c r="I102" s="1009"/>
      <c r="J102" s="814">
        <f>'1-ABA-DE-CARREGAMENTO'!G77</f>
        <v>0</v>
      </c>
      <c r="K102" s="809"/>
    </row>
    <row r="103" spans="1:11" ht="36" customHeight="1" outlineLevel="1">
      <c r="A103" s="754"/>
      <c r="B103" s="823" t="s">
        <v>625</v>
      </c>
      <c r="C103" s="1178" t="s">
        <v>937</v>
      </c>
      <c r="D103" s="1009"/>
      <c r="E103" s="1009"/>
      <c r="F103" s="1009"/>
      <c r="G103" s="1009"/>
      <c r="H103" s="1009"/>
      <c r="I103" s="1010"/>
      <c r="J103" s="814">
        <v>0</v>
      </c>
      <c r="K103" s="809"/>
    </row>
    <row r="104" spans="1:11" ht="16.5" customHeight="1" outlineLevel="1">
      <c r="A104" s="754"/>
      <c r="B104" s="823" t="s">
        <v>627</v>
      </c>
      <c r="C104" s="1178" t="s">
        <v>818</v>
      </c>
      <c r="D104" s="1009"/>
      <c r="E104" s="1009"/>
      <c r="F104" s="1009"/>
      <c r="G104" s="1009"/>
      <c r="H104" s="1009"/>
      <c r="I104" s="1010"/>
      <c r="J104" s="814">
        <f>'1-ABA-DE-CARREGAMENTO'!G76</f>
        <v>17.32</v>
      </c>
      <c r="K104" s="809"/>
    </row>
    <row r="105" spans="1:11" ht="17.25" customHeight="1">
      <c r="A105" s="754"/>
      <c r="B105" s="823" t="s">
        <v>129</v>
      </c>
      <c r="C105" s="1212" t="s">
        <v>938</v>
      </c>
      <c r="D105" s="1009"/>
      <c r="E105" s="1009"/>
      <c r="F105" s="1009"/>
      <c r="G105" s="1009"/>
      <c r="H105" s="1009"/>
      <c r="I105" s="1009"/>
      <c r="J105" s="834">
        <f>'1-ABA-DE-CARREGAMENTO'!G80/12</f>
        <v>0</v>
      </c>
      <c r="K105" s="835"/>
    </row>
    <row r="106" spans="1:11" ht="33.75" customHeight="1">
      <c r="A106" s="754"/>
      <c r="B106" s="836"/>
      <c r="C106" s="1204" t="s">
        <v>594</v>
      </c>
      <c r="D106" s="1009"/>
      <c r="E106" s="1009"/>
      <c r="F106" s="1009"/>
      <c r="G106" s="1009"/>
      <c r="H106" s="1009"/>
      <c r="I106" s="1030"/>
      <c r="J106" s="808">
        <f>SUM(J92:J105)</f>
        <v>517.73</v>
      </c>
      <c r="K106" s="809"/>
    </row>
    <row r="107" spans="1:11" ht="17.25" customHeight="1">
      <c r="A107" s="754"/>
      <c r="B107" s="1225"/>
      <c r="C107" s="1009"/>
      <c r="D107" s="1009"/>
      <c r="E107" s="1009"/>
      <c r="F107" s="1009"/>
      <c r="G107" s="1009"/>
      <c r="H107" s="1009"/>
      <c r="I107" s="1009"/>
      <c r="J107" s="1010"/>
      <c r="K107" s="376"/>
    </row>
    <row r="108" spans="1:11" ht="22.5" customHeight="1">
      <c r="A108" s="754"/>
      <c r="B108" s="1214" t="s">
        <v>630</v>
      </c>
      <c r="C108" s="1009"/>
      <c r="D108" s="1009"/>
      <c r="E108" s="1009"/>
      <c r="F108" s="1009"/>
      <c r="G108" s="1009"/>
      <c r="H108" s="1009"/>
      <c r="I108" s="1009"/>
      <c r="J108" s="1010"/>
      <c r="K108" s="782"/>
    </row>
    <row r="109" spans="1:11" ht="19.5" customHeight="1">
      <c r="A109" s="754"/>
      <c r="B109" s="1220"/>
      <c r="C109" s="1009"/>
      <c r="D109" s="1009"/>
      <c r="E109" s="1009"/>
      <c r="F109" s="1009"/>
      <c r="G109" s="1009"/>
      <c r="H109" s="1009"/>
      <c r="I109" s="1009"/>
      <c r="J109" s="1010"/>
      <c r="K109" s="763"/>
    </row>
    <row r="110" spans="1:11" ht="19.5" customHeight="1">
      <c r="A110" s="754"/>
      <c r="B110" s="1265" t="s">
        <v>631</v>
      </c>
      <c r="C110" s="1009"/>
      <c r="D110" s="1009"/>
      <c r="E110" s="1009"/>
      <c r="F110" s="1009"/>
      <c r="G110" s="1009"/>
      <c r="H110" s="1009"/>
      <c r="I110" s="1009"/>
      <c r="J110" s="1010"/>
      <c r="K110" s="837"/>
    </row>
    <row r="111" spans="1:11" ht="19.5" customHeight="1">
      <c r="A111" s="754"/>
      <c r="B111" s="657">
        <v>2</v>
      </c>
      <c r="C111" s="1165" t="s">
        <v>632</v>
      </c>
      <c r="D111" s="1009"/>
      <c r="E111" s="1009"/>
      <c r="F111" s="1009"/>
      <c r="G111" s="1009"/>
      <c r="H111" s="1009"/>
      <c r="I111" s="1010"/>
      <c r="J111" s="657" t="s">
        <v>591</v>
      </c>
      <c r="K111" s="487"/>
    </row>
    <row r="112" spans="1:11" ht="19.5" customHeight="1">
      <c r="A112" s="754"/>
      <c r="B112" s="769" t="s">
        <v>589</v>
      </c>
      <c r="C112" s="1215" t="s">
        <v>939</v>
      </c>
      <c r="D112" s="1009"/>
      <c r="E112" s="1009"/>
      <c r="F112" s="1009"/>
      <c r="G112" s="1009"/>
      <c r="H112" s="1009"/>
      <c r="I112" s="1010"/>
      <c r="J112" s="838">
        <f>J72</f>
        <v>309.52</v>
      </c>
      <c r="K112" s="839"/>
    </row>
    <row r="113" spans="1:11" ht="19.5" customHeight="1">
      <c r="A113" s="754"/>
      <c r="B113" s="769" t="s">
        <v>597</v>
      </c>
      <c r="C113" s="1215" t="s">
        <v>598</v>
      </c>
      <c r="D113" s="1009"/>
      <c r="E113" s="1009"/>
      <c r="F113" s="1009"/>
      <c r="G113" s="1009"/>
      <c r="H113" s="1009"/>
      <c r="I113" s="1010"/>
      <c r="J113" s="838">
        <f>J86</f>
        <v>1116.99</v>
      </c>
      <c r="K113" s="839"/>
    </row>
    <row r="114" spans="1:11" ht="19.5" customHeight="1">
      <c r="A114" s="754"/>
      <c r="B114" s="769" t="s">
        <v>612</v>
      </c>
      <c r="C114" s="1215" t="s">
        <v>613</v>
      </c>
      <c r="D114" s="1009"/>
      <c r="E114" s="1009"/>
      <c r="F114" s="1009"/>
      <c r="G114" s="1009"/>
      <c r="H114" s="1009"/>
      <c r="I114" s="1010"/>
      <c r="J114" s="838">
        <f>J106</f>
        <v>517.73</v>
      </c>
      <c r="K114" s="839"/>
    </row>
    <row r="115" spans="1:11" ht="14.25" customHeight="1">
      <c r="A115" s="754"/>
      <c r="B115" s="1261" t="s">
        <v>594</v>
      </c>
      <c r="C115" s="1009"/>
      <c r="D115" s="1009"/>
      <c r="E115" s="1009"/>
      <c r="F115" s="1009"/>
      <c r="G115" s="1009"/>
      <c r="H115" s="1009"/>
      <c r="I115" s="1010"/>
      <c r="J115" s="840">
        <f>SUM(J112+J113+J114)</f>
        <v>1944.24</v>
      </c>
      <c r="K115" s="839"/>
    </row>
    <row r="116" spans="1:11" ht="14.25" customHeight="1">
      <c r="A116" s="754"/>
      <c r="B116" s="1262"/>
      <c r="C116" s="1009"/>
      <c r="D116" s="1009"/>
      <c r="E116" s="1009"/>
      <c r="F116" s="1009"/>
      <c r="G116" s="1009"/>
      <c r="H116" s="1009"/>
      <c r="I116" s="1009"/>
      <c r="J116" s="1010"/>
      <c r="K116" s="841"/>
    </row>
    <row r="117" spans="1:11" ht="18.75" customHeight="1">
      <c r="A117" s="754"/>
      <c r="B117" s="1252" t="s">
        <v>634</v>
      </c>
      <c r="C117" s="1009"/>
      <c r="D117" s="1009"/>
      <c r="E117" s="1009"/>
      <c r="F117" s="1009"/>
      <c r="G117" s="1009"/>
      <c r="H117" s="1009"/>
      <c r="I117" s="1009"/>
      <c r="J117" s="1010"/>
      <c r="K117" s="842"/>
    </row>
    <row r="118" spans="1:11" ht="15.75" customHeight="1">
      <c r="A118" s="754"/>
      <c r="B118" s="669">
        <v>3</v>
      </c>
      <c r="C118" s="1162" t="s">
        <v>635</v>
      </c>
      <c r="D118" s="1009"/>
      <c r="E118" s="1009"/>
      <c r="F118" s="1009"/>
      <c r="G118" s="1009"/>
      <c r="H118" s="1009"/>
      <c r="I118" s="1010"/>
      <c r="J118" s="669" t="s">
        <v>591</v>
      </c>
      <c r="K118" s="601"/>
    </row>
    <row r="119" spans="1:11" ht="41.25" customHeight="1">
      <c r="A119" s="754"/>
      <c r="B119" s="823" t="s">
        <v>514</v>
      </c>
      <c r="C119" s="1178" t="s">
        <v>940</v>
      </c>
      <c r="D119" s="1009"/>
      <c r="E119" s="1009"/>
      <c r="F119" s="1009"/>
      <c r="G119" s="1009"/>
      <c r="H119" s="1009"/>
      <c r="I119" s="1010"/>
      <c r="J119" s="814">
        <f>ROUND((($J$58/12)+($J$70/12)+(J58/12/12)+($J$71/12))*(30/30)*0.05,2)</f>
        <v>13.59</v>
      </c>
      <c r="K119" s="809"/>
    </row>
    <row r="120" spans="1:11" ht="15.75" customHeight="1">
      <c r="A120" s="754"/>
      <c r="B120" s="823" t="s">
        <v>516</v>
      </c>
      <c r="C120" s="1212" t="s">
        <v>637</v>
      </c>
      <c r="D120" s="1009"/>
      <c r="E120" s="1009"/>
      <c r="F120" s="1009"/>
      <c r="G120" s="1009"/>
      <c r="H120" s="1009"/>
      <c r="I120" s="1010"/>
      <c r="J120" s="814">
        <f>ROUND($I$85*J119,2)</f>
        <v>1.0900000000000001</v>
      </c>
      <c r="K120" s="809"/>
    </row>
    <row r="121" spans="1:11" ht="112.5" customHeight="1">
      <c r="A121" s="754"/>
      <c r="B121" s="823" t="s">
        <v>518</v>
      </c>
      <c r="C121" s="1213" t="s">
        <v>941</v>
      </c>
      <c r="D121" s="1009"/>
      <c r="E121" s="1009"/>
      <c r="F121" s="1009"/>
      <c r="G121" s="1009"/>
      <c r="H121" s="1009"/>
      <c r="I121" s="1010"/>
      <c r="J121" s="814">
        <f>ROUND(((7/30)/$I$11)*$J$58*1,2)</f>
        <v>21.2</v>
      </c>
      <c r="K121" s="809"/>
    </row>
    <row r="122" spans="1:11" ht="18.75" customHeight="1">
      <c r="A122" s="754"/>
      <c r="B122" s="823" t="s">
        <v>520</v>
      </c>
      <c r="C122" s="1212" t="s">
        <v>639</v>
      </c>
      <c r="D122" s="1009"/>
      <c r="E122" s="1009"/>
      <c r="F122" s="1009"/>
      <c r="G122" s="1009"/>
      <c r="H122" s="1009"/>
      <c r="I122" s="1010"/>
      <c r="J122" s="814">
        <f>ROUND($I$86*J121,2)</f>
        <v>7.8</v>
      </c>
      <c r="K122" s="809"/>
    </row>
    <row r="123" spans="1:11" ht="36" customHeight="1">
      <c r="A123" s="754"/>
      <c r="B123" s="823" t="s">
        <v>562</v>
      </c>
      <c r="C123" s="1178" t="s">
        <v>942</v>
      </c>
      <c r="D123" s="1009"/>
      <c r="E123" s="1009"/>
      <c r="F123" s="1009"/>
      <c r="G123" s="1009"/>
      <c r="H123" s="1010"/>
      <c r="I123" s="843">
        <v>0.04</v>
      </c>
      <c r="J123" s="814">
        <f>ROUND(J58*I123,2)</f>
        <v>109.03</v>
      </c>
      <c r="K123" s="809"/>
    </row>
    <row r="124" spans="1:11" ht="19.5" customHeight="1">
      <c r="A124" s="754"/>
      <c r="B124" s="1204" t="s">
        <v>641</v>
      </c>
      <c r="C124" s="1009"/>
      <c r="D124" s="1009"/>
      <c r="E124" s="1009"/>
      <c r="F124" s="1009"/>
      <c r="G124" s="1009"/>
      <c r="H124" s="1009"/>
      <c r="I124" s="1010"/>
      <c r="J124" s="808">
        <f>SUM(J119:J123)</f>
        <v>152.70999999999998</v>
      </c>
      <c r="K124" s="809"/>
    </row>
    <row r="125" spans="1:11" ht="15.75" customHeight="1">
      <c r="A125" s="754"/>
      <c r="B125" s="1186"/>
      <c r="C125" s="1009"/>
      <c r="D125" s="1009"/>
      <c r="E125" s="1009"/>
      <c r="F125" s="1009"/>
      <c r="G125" s="1009"/>
      <c r="H125" s="1009"/>
      <c r="I125" s="1009"/>
      <c r="J125" s="1010"/>
      <c r="K125" s="844"/>
    </row>
    <row r="126" spans="1:11" ht="17.25" customHeight="1">
      <c r="A126" s="754"/>
      <c r="B126" s="1187" t="s">
        <v>642</v>
      </c>
      <c r="C126" s="1009"/>
      <c r="D126" s="1009"/>
      <c r="E126" s="1009"/>
      <c r="F126" s="1009"/>
      <c r="G126" s="1009"/>
      <c r="H126" s="1009"/>
      <c r="I126" s="1009"/>
      <c r="J126" s="1010"/>
      <c r="K126" s="845"/>
    </row>
    <row r="127" spans="1:11" ht="36" customHeight="1">
      <c r="A127" s="754"/>
      <c r="B127" s="1214" t="s">
        <v>643</v>
      </c>
      <c r="C127" s="1009"/>
      <c r="D127" s="1009"/>
      <c r="E127" s="1009"/>
      <c r="F127" s="1009"/>
      <c r="G127" s="1009"/>
      <c r="H127" s="1009"/>
      <c r="I127" s="1009"/>
      <c r="J127" s="1010"/>
      <c r="K127" s="782"/>
    </row>
    <row r="128" spans="1:11" ht="55.5" customHeight="1">
      <c r="A128" s="754"/>
      <c r="B128" s="1108" t="s">
        <v>943</v>
      </c>
      <c r="C128" s="1009"/>
      <c r="D128" s="1009"/>
      <c r="E128" s="1009"/>
      <c r="F128" s="1009"/>
      <c r="G128" s="1009"/>
      <c r="H128" s="1009"/>
      <c r="I128" s="1009"/>
      <c r="J128" s="1010"/>
      <c r="K128" s="655"/>
    </row>
    <row r="129" spans="1:11" ht="40.5" customHeight="1">
      <c r="A129" s="754"/>
      <c r="B129" s="694" t="s">
        <v>645</v>
      </c>
      <c r="C129" s="695">
        <f>J58</f>
        <v>2725.8</v>
      </c>
      <c r="D129" s="846" t="s">
        <v>646</v>
      </c>
      <c r="E129" s="694" t="s">
        <v>944</v>
      </c>
      <c r="F129" s="695">
        <f>J115-J92-J97</f>
        <v>1443.83</v>
      </c>
      <c r="G129" s="846" t="s">
        <v>646</v>
      </c>
      <c r="H129" s="694" t="s">
        <v>648</v>
      </c>
      <c r="I129" s="695">
        <f>J124</f>
        <v>152.70999999999998</v>
      </c>
      <c r="J129" s="847">
        <f>C129+F129+I129</f>
        <v>4322.34</v>
      </c>
      <c r="K129" s="848"/>
    </row>
    <row r="130" spans="1:11" ht="30.75" customHeight="1">
      <c r="A130" s="754"/>
      <c r="B130" s="1263"/>
      <c r="C130" s="1009"/>
      <c r="D130" s="1009"/>
      <c r="E130" s="1009"/>
      <c r="F130" s="1009"/>
      <c r="G130" s="1009"/>
      <c r="H130" s="1009"/>
      <c r="I130" s="1009"/>
      <c r="J130" s="1010"/>
      <c r="K130" s="849"/>
    </row>
    <row r="131" spans="1:11" ht="15.75" customHeight="1">
      <c r="A131" s="754"/>
      <c r="B131" s="1069" t="s">
        <v>649</v>
      </c>
      <c r="C131" s="1009"/>
      <c r="D131" s="1009"/>
      <c r="E131" s="1009"/>
      <c r="F131" s="1009"/>
      <c r="G131" s="1009"/>
      <c r="H131" s="1009"/>
      <c r="I131" s="1009"/>
      <c r="J131" s="1010"/>
      <c r="K131" s="698"/>
    </row>
    <row r="132" spans="1:11" ht="17.25" customHeight="1">
      <c r="A132" s="754"/>
      <c r="B132" s="699" t="s">
        <v>650</v>
      </c>
      <c r="C132" s="1162" t="s">
        <v>651</v>
      </c>
      <c r="D132" s="1009"/>
      <c r="E132" s="1009"/>
      <c r="F132" s="1009"/>
      <c r="G132" s="1009"/>
      <c r="H132" s="1009"/>
      <c r="I132" s="1010"/>
      <c r="J132" s="699" t="s">
        <v>591</v>
      </c>
      <c r="K132" s="700"/>
    </row>
    <row r="133" spans="1:11" ht="48" customHeight="1">
      <c r="A133" s="754"/>
      <c r="B133" s="823" t="s">
        <v>514</v>
      </c>
      <c r="C133" s="1215" t="s">
        <v>945</v>
      </c>
      <c r="D133" s="1009"/>
      <c r="E133" s="1009"/>
      <c r="F133" s="1009"/>
      <c r="G133" s="1009"/>
      <c r="H133" s="701">
        <v>9.0749999999999997E-2</v>
      </c>
      <c r="I133" s="702">
        <f>I86</f>
        <v>0.36800000000000005</v>
      </c>
      <c r="J133" s="814">
        <f>ROUND(H133*J58,2)*(1+I133)</f>
        <v>338.40216000000004</v>
      </c>
      <c r="K133" s="809"/>
    </row>
    <row r="134" spans="1:11" ht="21" customHeight="1">
      <c r="A134" s="754"/>
      <c r="B134" s="823" t="s">
        <v>516</v>
      </c>
      <c r="C134" s="1178" t="s">
        <v>946</v>
      </c>
      <c r="D134" s="1009"/>
      <c r="E134" s="1009"/>
      <c r="F134" s="1009"/>
      <c r="G134" s="1009"/>
      <c r="H134" s="1009"/>
      <c r="I134" s="1010"/>
      <c r="J134" s="814">
        <f>ROUND((1/30)/12*(J129),2)</f>
        <v>12.01</v>
      </c>
      <c r="K134" s="809"/>
    </row>
    <row r="135" spans="1:11" ht="31.5" customHeight="1">
      <c r="A135" s="754"/>
      <c r="B135" s="823" t="s">
        <v>518</v>
      </c>
      <c r="C135" s="1178" t="s">
        <v>947</v>
      </c>
      <c r="D135" s="1009"/>
      <c r="E135" s="1009"/>
      <c r="F135" s="1009"/>
      <c r="G135" s="1009"/>
      <c r="H135" s="1009"/>
      <c r="I135" s="1010"/>
      <c r="J135" s="814">
        <f>ROUND((5/30)/12*0.015*(J129),2)</f>
        <v>0.9</v>
      </c>
      <c r="K135" s="809"/>
    </row>
    <row r="136" spans="1:11" ht="27" customHeight="1">
      <c r="A136" s="754"/>
      <c r="B136" s="823" t="s">
        <v>520</v>
      </c>
      <c r="C136" s="1178" t="s">
        <v>948</v>
      </c>
      <c r="D136" s="1009"/>
      <c r="E136" s="1009"/>
      <c r="F136" s="1009"/>
      <c r="G136" s="1009"/>
      <c r="H136" s="1009"/>
      <c r="I136" s="1010"/>
      <c r="J136" s="814">
        <f>ROUND(((15/30)/12)*0.0078*(J129),2)</f>
        <v>1.4</v>
      </c>
      <c r="K136" s="809"/>
    </row>
    <row r="137" spans="1:11" ht="27" customHeight="1">
      <c r="A137" s="754"/>
      <c r="B137" s="850" t="s">
        <v>562</v>
      </c>
      <c r="C137" s="1264" t="s">
        <v>949</v>
      </c>
      <c r="D137" s="1009"/>
      <c r="E137" s="1009"/>
      <c r="F137" s="1009"/>
      <c r="G137" s="1009"/>
      <c r="H137" s="1009"/>
      <c r="I137" s="1010"/>
      <c r="J137" s="704">
        <f>ROUND(((((C129+C129/3)+(I86)*(C129+C129/3))*(4/12))/12)*0.02,2) + ((J106 -J92-J97+ J124)*4/12)*0.02</f>
        <v>3.8935333333333331</v>
      </c>
      <c r="K137" s="653"/>
    </row>
    <row r="138" spans="1:11" ht="24.75" customHeight="1">
      <c r="A138" s="754"/>
      <c r="B138" s="823" t="s">
        <v>566</v>
      </c>
      <c r="C138" s="1178" t="s">
        <v>950</v>
      </c>
      <c r="D138" s="1009"/>
      <c r="E138" s="1009"/>
      <c r="F138" s="1009"/>
      <c r="G138" s="1009"/>
      <c r="H138" s="1009"/>
      <c r="I138" s="1010"/>
      <c r="J138" s="814">
        <f>ROUND(((3/30)/12)*(J129),2)</f>
        <v>36.020000000000003</v>
      </c>
      <c r="K138" s="809"/>
    </row>
    <row r="139" spans="1:11" ht="19.5" customHeight="1">
      <c r="A139" s="754"/>
      <c r="B139" s="1204" t="s">
        <v>594</v>
      </c>
      <c r="C139" s="1009"/>
      <c r="D139" s="1009"/>
      <c r="E139" s="1009"/>
      <c r="F139" s="1009"/>
      <c r="G139" s="1009"/>
      <c r="H139" s="1009"/>
      <c r="I139" s="1010"/>
      <c r="J139" s="808">
        <f>SUM(J133:J138)</f>
        <v>392.62569333333329</v>
      </c>
      <c r="K139" s="809"/>
    </row>
    <row r="140" spans="1:11" ht="19.5" customHeight="1">
      <c r="A140" s="754"/>
      <c r="B140" s="1186"/>
      <c r="C140" s="1009"/>
      <c r="D140" s="1009"/>
      <c r="E140" s="1009"/>
      <c r="F140" s="1009"/>
      <c r="G140" s="1009"/>
      <c r="H140" s="1009"/>
      <c r="I140" s="1009"/>
      <c r="J140" s="1010"/>
      <c r="K140" s="844"/>
    </row>
    <row r="141" spans="1:11" ht="19.5" customHeight="1">
      <c r="A141" s="754"/>
      <c r="B141" s="1096" t="s">
        <v>658</v>
      </c>
      <c r="C141" s="1009"/>
      <c r="D141" s="1009"/>
      <c r="E141" s="1009"/>
      <c r="F141" s="1009"/>
      <c r="G141" s="1009"/>
      <c r="H141" s="1009"/>
      <c r="I141" s="1009"/>
      <c r="J141" s="1010"/>
      <c r="K141" s="646"/>
    </row>
    <row r="142" spans="1:11" ht="19.5" customHeight="1">
      <c r="A142" s="754"/>
      <c r="B142" s="705" t="s">
        <v>659</v>
      </c>
      <c r="C142" s="1097" t="s">
        <v>660</v>
      </c>
      <c r="D142" s="1009"/>
      <c r="E142" s="1009"/>
      <c r="F142" s="1009"/>
      <c r="G142" s="1009"/>
      <c r="H142" s="1009"/>
      <c r="I142" s="1010"/>
      <c r="J142" s="706" t="s">
        <v>591</v>
      </c>
      <c r="K142" s="707"/>
    </row>
    <row r="143" spans="1:11" ht="19.5" customHeight="1">
      <c r="A143" s="754"/>
      <c r="B143" s="851" t="s">
        <v>514</v>
      </c>
      <c r="C143" s="1202" t="s">
        <v>661</v>
      </c>
      <c r="D143" s="1009"/>
      <c r="E143" s="1009"/>
      <c r="F143" s="1009"/>
      <c r="G143" s="1009"/>
      <c r="H143" s="1009"/>
      <c r="I143" s="1010"/>
      <c r="J143" s="852">
        <v>0</v>
      </c>
      <c r="K143" s="853"/>
    </row>
    <row r="144" spans="1:11" ht="19.5" customHeight="1">
      <c r="A144" s="754"/>
      <c r="B144" s="1199" t="s">
        <v>594</v>
      </c>
      <c r="C144" s="1009"/>
      <c r="D144" s="1009"/>
      <c r="E144" s="1009"/>
      <c r="F144" s="1009"/>
      <c r="G144" s="1009"/>
      <c r="H144" s="1009"/>
      <c r="I144" s="1010"/>
      <c r="J144" s="854">
        <v>0</v>
      </c>
      <c r="K144" s="853"/>
    </row>
    <row r="145" spans="1:11" ht="19.5" customHeight="1">
      <c r="A145" s="754"/>
      <c r="B145" s="1200"/>
      <c r="C145" s="1009"/>
      <c r="D145" s="1009"/>
      <c r="E145" s="1009"/>
      <c r="F145" s="1009"/>
      <c r="G145" s="1009"/>
      <c r="H145" s="1009"/>
      <c r="I145" s="1009"/>
      <c r="J145" s="1010"/>
      <c r="K145" s="855"/>
    </row>
    <row r="146" spans="1:11" ht="19.5" customHeight="1">
      <c r="A146" s="754"/>
      <c r="B146" s="1201" t="s">
        <v>662</v>
      </c>
      <c r="C146" s="1009"/>
      <c r="D146" s="1009"/>
      <c r="E146" s="1009"/>
      <c r="F146" s="1009"/>
      <c r="G146" s="1009"/>
      <c r="H146" s="1009"/>
      <c r="I146" s="1009"/>
      <c r="J146" s="1010"/>
      <c r="K146" s="805"/>
    </row>
    <row r="147" spans="1:11" ht="19.5" customHeight="1">
      <c r="A147" s="754"/>
      <c r="B147" s="657">
        <v>4</v>
      </c>
      <c r="C147" s="1097" t="s">
        <v>663</v>
      </c>
      <c r="D147" s="1009"/>
      <c r="E147" s="1009"/>
      <c r="F147" s="1009"/>
      <c r="G147" s="1009"/>
      <c r="H147" s="1009"/>
      <c r="I147" s="1010"/>
      <c r="J147" s="706" t="s">
        <v>591</v>
      </c>
      <c r="K147" s="707"/>
    </row>
    <row r="148" spans="1:11" ht="28.5" customHeight="1">
      <c r="A148" s="754"/>
      <c r="B148" s="769" t="s">
        <v>650</v>
      </c>
      <c r="C148" s="1202" t="s">
        <v>651</v>
      </c>
      <c r="D148" s="1009"/>
      <c r="E148" s="1009"/>
      <c r="F148" s="1009"/>
      <c r="G148" s="1009"/>
      <c r="H148" s="1009"/>
      <c r="I148" s="1010"/>
      <c r="J148" s="852">
        <f>J139</f>
        <v>392.62569333333329</v>
      </c>
      <c r="K148" s="853"/>
    </row>
    <row r="149" spans="1:11" ht="24" customHeight="1">
      <c r="A149" s="754"/>
      <c r="B149" s="769" t="s">
        <v>664</v>
      </c>
      <c r="C149" s="1202" t="s">
        <v>660</v>
      </c>
      <c r="D149" s="1009"/>
      <c r="E149" s="1009"/>
      <c r="F149" s="1009"/>
      <c r="G149" s="1009"/>
      <c r="H149" s="1009"/>
      <c r="I149" s="1010"/>
      <c r="J149" s="852">
        <f>J144</f>
        <v>0</v>
      </c>
      <c r="K149" s="853"/>
    </row>
    <row r="150" spans="1:11" ht="14.25" customHeight="1">
      <c r="A150" s="754"/>
      <c r="B150" s="1261" t="s">
        <v>594</v>
      </c>
      <c r="C150" s="1009"/>
      <c r="D150" s="1009"/>
      <c r="E150" s="1009"/>
      <c r="F150" s="1009"/>
      <c r="G150" s="1009"/>
      <c r="H150" s="1009"/>
      <c r="I150" s="1010"/>
      <c r="J150" s="854">
        <f>SUM(J148+J149)</f>
        <v>392.62569333333329</v>
      </c>
      <c r="K150" s="853"/>
    </row>
    <row r="151" spans="1:11" ht="15.75" customHeight="1">
      <c r="A151" s="754"/>
      <c r="B151" s="1200"/>
      <c r="C151" s="1009"/>
      <c r="D151" s="1009"/>
      <c r="E151" s="1009"/>
      <c r="F151" s="1009"/>
      <c r="G151" s="1009"/>
      <c r="H151" s="1009"/>
      <c r="I151" s="1009"/>
      <c r="J151" s="1010"/>
      <c r="K151" s="855"/>
    </row>
    <row r="152" spans="1:11" ht="15.75" customHeight="1">
      <c r="A152" s="754"/>
      <c r="B152" s="1187" t="s">
        <v>665</v>
      </c>
      <c r="C152" s="1009"/>
      <c r="D152" s="1009"/>
      <c r="E152" s="1009"/>
      <c r="F152" s="1009"/>
      <c r="G152" s="1009"/>
      <c r="H152" s="1009"/>
      <c r="I152" s="1009"/>
      <c r="J152" s="1010"/>
      <c r="K152" s="845"/>
    </row>
    <row r="153" spans="1:11" ht="15.75" customHeight="1">
      <c r="A153" s="754"/>
      <c r="B153" s="669">
        <v>3</v>
      </c>
      <c r="C153" s="1083" t="s">
        <v>666</v>
      </c>
      <c r="D153" s="1009"/>
      <c r="E153" s="1009"/>
      <c r="F153" s="1009"/>
      <c r="G153" s="1009"/>
      <c r="H153" s="1009"/>
      <c r="I153" s="1010"/>
      <c r="J153" s="669" t="s">
        <v>591</v>
      </c>
      <c r="K153" s="601"/>
    </row>
    <row r="154" spans="1:11" ht="15.75" customHeight="1">
      <c r="A154" s="754"/>
      <c r="B154" s="823" t="s">
        <v>514</v>
      </c>
      <c r="C154" s="1178" t="s">
        <v>769</v>
      </c>
      <c r="D154" s="1009"/>
      <c r="E154" s="1009"/>
      <c r="F154" s="1009"/>
      <c r="G154" s="1009"/>
      <c r="H154" s="1009"/>
      <c r="I154" s="1010"/>
      <c r="J154" s="856" t="e">
        <f>#REF!+#REF!</f>
        <v>#REF!</v>
      </c>
      <c r="K154" s="809"/>
    </row>
    <row r="155" spans="1:11" ht="15.75" customHeight="1">
      <c r="A155" s="754"/>
      <c r="B155" s="823" t="s">
        <v>516</v>
      </c>
      <c r="C155" s="1178" t="s">
        <v>770</v>
      </c>
      <c r="D155" s="1009"/>
      <c r="E155" s="1009"/>
      <c r="F155" s="1009"/>
      <c r="G155" s="1009"/>
      <c r="H155" s="1009"/>
      <c r="I155" s="1010"/>
      <c r="J155" s="834">
        <v>0</v>
      </c>
      <c r="K155" s="835"/>
    </row>
    <row r="156" spans="1:11" ht="15.75" customHeight="1">
      <c r="A156" s="754"/>
      <c r="B156" s="823" t="s">
        <v>518</v>
      </c>
      <c r="C156" s="1178" t="s">
        <v>668</v>
      </c>
      <c r="D156" s="1009"/>
      <c r="E156" s="1009"/>
      <c r="F156" s="1009"/>
      <c r="G156" s="1009"/>
      <c r="H156" s="1009"/>
      <c r="I156" s="1010"/>
      <c r="J156" s="834" t="s">
        <v>669</v>
      </c>
      <c r="K156" s="835"/>
    </row>
    <row r="157" spans="1:11" ht="19.5" customHeight="1">
      <c r="A157" s="754"/>
      <c r="B157" s="1204" t="s">
        <v>670</v>
      </c>
      <c r="C157" s="1009"/>
      <c r="D157" s="1009"/>
      <c r="E157" s="1009"/>
      <c r="F157" s="1009"/>
      <c r="G157" s="1009"/>
      <c r="H157" s="1009"/>
      <c r="I157" s="1010"/>
      <c r="J157" s="857" t="e">
        <f>ROUND(SUM(J154:J156),2)</f>
        <v>#REF!</v>
      </c>
      <c r="K157" s="835"/>
    </row>
    <row r="158" spans="1:11" ht="15.75" customHeight="1">
      <c r="A158" s="754"/>
      <c r="B158" s="1267"/>
      <c r="C158" s="1009"/>
      <c r="D158" s="1009"/>
      <c r="E158" s="1009"/>
      <c r="F158" s="1009"/>
      <c r="G158" s="1009"/>
      <c r="H158" s="1009"/>
      <c r="I158" s="1009"/>
      <c r="J158" s="1010"/>
      <c r="K158" s="858"/>
    </row>
    <row r="159" spans="1:11" ht="27.75" customHeight="1">
      <c r="A159" s="754"/>
      <c r="B159" s="1268" t="s">
        <v>671</v>
      </c>
      <c r="C159" s="1009"/>
      <c r="D159" s="1009"/>
      <c r="E159" s="1009"/>
      <c r="F159" s="1009"/>
      <c r="G159" s="1009"/>
      <c r="H159" s="1009"/>
      <c r="I159" s="1009"/>
      <c r="J159" s="1010"/>
      <c r="K159" s="859"/>
    </row>
    <row r="160" spans="1:11" ht="19.5" customHeight="1">
      <c r="A160" s="754"/>
      <c r="B160" s="860"/>
      <c r="C160" s="714"/>
      <c r="D160" s="714"/>
      <c r="E160" s="714"/>
      <c r="F160" s="714"/>
      <c r="G160" s="714"/>
      <c r="H160" s="714"/>
      <c r="I160" s="714"/>
      <c r="J160" s="715"/>
      <c r="K160" s="329"/>
    </row>
    <row r="161" spans="1:11" ht="24" customHeight="1">
      <c r="A161" s="754"/>
      <c r="B161" s="1252" t="s">
        <v>672</v>
      </c>
      <c r="C161" s="1009"/>
      <c r="D161" s="1009"/>
      <c r="E161" s="1009"/>
      <c r="F161" s="1009"/>
      <c r="G161" s="1009"/>
      <c r="H161" s="1009"/>
      <c r="I161" s="1009"/>
      <c r="J161" s="1010"/>
      <c r="K161" s="842"/>
    </row>
    <row r="162" spans="1:11" ht="30" customHeight="1">
      <c r="A162" s="754"/>
      <c r="B162" s="669">
        <v>6</v>
      </c>
      <c r="C162" s="1162" t="s">
        <v>673</v>
      </c>
      <c r="D162" s="1009"/>
      <c r="E162" s="1009"/>
      <c r="F162" s="1009"/>
      <c r="G162" s="1009"/>
      <c r="H162" s="1010"/>
      <c r="I162" s="861" t="s">
        <v>556</v>
      </c>
      <c r="J162" s="716" t="s">
        <v>599</v>
      </c>
      <c r="K162" s="717"/>
    </row>
    <row r="163" spans="1:11" ht="54" customHeight="1">
      <c r="A163" s="754"/>
      <c r="B163" s="1229" t="s">
        <v>674</v>
      </c>
      <c r="C163" s="1009"/>
      <c r="D163" s="1009"/>
      <c r="E163" s="1009"/>
      <c r="F163" s="1009"/>
      <c r="G163" s="1009"/>
      <c r="H163" s="1010"/>
      <c r="I163" s="355" t="s">
        <v>527</v>
      </c>
      <c r="J163" s="862" t="e">
        <f>SUM(J63+J115+J124+J150+J157)</f>
        <v>#REF!</v>
      </c>
      <c r="K163" s="863"/>
    </row>
    <row r="164" spans="1:11" ht="23.25" customHeight="1">
      <c r="A164" s="754"/>
      <c r="B164" s="823" t="s">
        <v>514</v>
      </c>
      <c r="C164" s="1109" t="s">
        <v>675</v>
      </c>
      <c r="D164" s="1009"/>
      <c r="E164" s="1009"/>
      <c r="F164" s="1009"/>
      <c r="G164" s="1009"/>
      <c r="H164" s="1010"/>
      <c r="I164" s="813">
        <f>'1-ABA-DE-CARREGAMENTO'!G85</f>
        <v>0.06</v>
      </c>
      <c r="J164" s="814" t="e">
        <f>ROUND(I164*J163,2)</f>
        <v>#REF!</v>
      </c>
      <c r="K164" s="809"/>
    </row>
    <row r="165" spans="1:11" ht="51" customHeight="1">
      <c r="A165" s="754"/>
      <c r="B165" s="1229" t="s">
        <v>676</v>
      </c>
      <c r="C165" s="1009"/>
      <c r="D165" s="1009"/>
      <c r="E165" s="1009"/>
      <c r="F165" s="1009"/>
      <c r="G165" s="1009"/>
      <c r="H165" s="1010"/>
      <c r="I165" s="864" t="s">
        <v>527</v>
      </c>
      <c r="J165" s="862" t="e">
        <f>SUM(J63+J115+J124+J150+J157+J164)</f>
        <v>#REF!</v>
      </c>
      <c r="K165" s="863"/>
    </row>
    <row r="166" spans="1:11" ht="19.5" customHeight="1">
      <c r="A166" s="754"/>
      <c r="B166" s="823" t="s">
        <v>516</v>
      </c>
      <c r="C166" s="1109" t="s">
        <v>312</v>
      </c>
      <c r="D166" s="1009"/>
      <c r="E166" s="1009"/>
      <c r="F166" s="1009"/>
      <c r="G166" s="1009"/>
      <c r="H166" s="1010"/>
      <c r="I166" s="813">
        <f>'1-ABA-DE-CARREGAMENTO'!G86</f>
        <v>0.06</v>
      </c>
      <c r="J166" s="814" t="e">
        <f>ROUND(I166*J165,2)</f>
        <v>#REF!</v>
      </c>
      <c r="K166" s="809"/>
    </row>
    <row r="167" spans="1:11" ht="54" customHeight="1">
      <c r="A167" s="754"/>
      <c r="B167" s="1229" t="s">
        <v>677</v>
      </c>
      <c r="C167" s="1009"/>
      <c r="D167" s="1009"/>
      <c r="E167" s="1009"/>
      <c r="F167" s="1009"/>
      <c r="G167" s="1009"/>
      <c r="H167" s="1010"/>
      <c r="I167" s="864" t="s">
        <v>527</v>
      </c>
      <c r="J167" s="862" t="e">
        <f>SUM(J163+J164+J166)</f>
        <v>#REF!</v>
      </c>
      <c r="K167" s="863"/>
    </row>
    <row r="168" spans="1:11" ht="18.75" customHeight="1">
      <c r="A168" s="754"/>
      <c r="B168" s="865" t="s">
        <v>518</v>
      </c>
      <c r="C168" s="1252" t="s">
        <v>678</v>
      </c>
      <c r="D168" s="1009"/>
      <c r="E168" s="1009"/>
      <c r="F168" s="1009"/>
      <c r="G168" s="1009"/>
      <c r="H168" s="1010"/>
      <c r="I168" s="792" t="s">
        <v>527</v>
      </c>
      <c r="J168" s="798" t="s">
        <v>527</v>
      </c>
      <c r="K168" s="799"/>
    </row>
    <row r="169" spans="1:11" ht="30" customHeight="1">
      <c r="A169" s="754"/>
      <c r="B169" s="823"/>
      <c r="C169" s="1212" t="s">
        <v>679</v>
      </c>
      <c r="D169" s="1009"/>
      <c r="E169" s="1009"/>
      <c r="F169" s="1009"/>
      <c r="G169" s="1009"/>
      <c r="H169" s="1010"/>
      <c r="I169" s="792" t="s">
        <v>527</v>
      </c>
      <c r="J169" s="798" t="s">
        <v>527</v>
      </c>
      <c r="K169" s="799"/>
    </row>
    <row r="170" spans="1:11" ht="30" customHeight="1">
      <c r="A170" s="754"/>
      <c r="B170" s="823"/>
      <c r="C170" s="1099" t="s">
        <v>951</v>
      </c>
      <c r="D170" s="1009"/>
      <c r="E170" s="1009"/>
      <c r="F170" s="1009"/>
      <c r="G170" s="1009"/>
      <c r="H170" s="1010"/>
      <c r="I170" s="866">
        <f>'1-ABA-DE-CARREGAMENTO'!E28</f>
        <v>1.6500000000000001E-2</v>
      </c>
      <c r="J170" s="867" t="e">
        <f t="shared" ref="J170:J171" si="4">ROUND(($J$167/(1-$I$179))*I170,2)</f>
        <v>#REF!</v>
      </c>
      <c r="K170" s="868"/>
    </row>
    <row r="171" spans="1:11" ht="25.5" customHeight="1">
      <c r="A171" s="754"/>
      <c r="B171" s="823"/>
      <c r="C171" s="1099" t="s">
        <v>952</v>
      </c>
      <c r="D171" s="1009"/>
      <c r="E171" s="1009"/>
      <c r="F171" s="1009"/>
      <c r="G171" s="1009"/>
      <c r="H171" s="1010"/>
      <c r="I171" s="866">
        <f>'1-ABA-DE-CARREGAMENTO'!F28</f>
        <v>7.5999999999999998E-2</v>
      </c>
      <c r="J171" s="867" t="e">
        <f t="shared" si="4"/>
        <v>#REF!</v>
      </c>
      <c r="K171" s="868"/>
    </row>
    <row r="172" spans="1:11" ht="23.25" customHeight="1">
      <c r="A172" s="754"/>
      <c r="B172" s="823"/>
      <c r="C172" s="1178" t="s">
        <v>953</v>
      </c>
      <c r="D172" s="1009"/>
      <c r="E172" s="1009"/>
      <c r="F172" s="1009"/>
      <c r="G172" s="1009"/>
      <c r="H172" s="1010"/>
      <c r="I172" s="869" t="s">
        <v>527</v>
      </c>
      <c r="J172" s="798" t="s">
        <v>527</v>
      </c>
      <c r="K172" s="799"/>
    </row>
    <row r="173" spans="1:11" ht="23.25" customHeight="1">
      <c r="A173" s="754"/>
      <c r="B173" s="823"/>
      <c r="C173" s="1178" t="s">
        <v>954</v>
      </c>
      <c r="D173" s="1009"/>
      <c r="E173" s="1009"/>
      <c r="F173" s="1009"/>
      <c r="G173" s="1009"/>
      <c r="H173" s="1010"/>
      <c r="I173" s="869" t="s">
        <v>527</v>
      </c>
      <c r="J173" s="798" t="s">
        <v>527</v>
      </c>
      <c r="K173" s="799"/>
    </row>
    <row r="174" spans="1:11" ht="15.75" customHeight="1">
      <c r="A174" s="754"/>
      <c r="B174" s="823"/>
      <c r="C174" s="1178" t="s">
        <v>684</v>
      </c>
      <c r="D174" s="1009"/>
      <c r="E174" s="1009"/>
      <c r="F174" s="1009"/>
      <c r="G174" s="1009"/>
      <c r="H174" s="1009"/>
      <c r="I174" s="870" t="s">
        <v>527</v>
      </c>
      <c r="J174" s="871" t="s">
        <v>527</v>
      </c>
      <c r="K174" s="872"/>
    </row>
    <row r="175" spans="1:11" ht="15.75" customHeight="1">
      <c r="A175" s="754"/>
      <c r="B175" s="823"/>
      <c r="C175" s="1178" t="s">
        <v>685</v>
      </c>
      <c r="D175" s="1009"/>
      <c r="E175" s="1009"/>
      <c r="F175" s="1009"/>
      <c r="G175" s="1009"/>
      <c r="H175" s="1009"/>
      <c r="I175" s="870" t="s">
        <v>527</v>
      </c>
      <c r="J175" s="871" t="s">
        <v>527</v>
      </c>
      <c r="K175" s="872"/>
    </row>
    <row r="176" spans="1:11" ht="15.75" customHeight="1">
      <c r="A176" s="754"/>
      <c r="B176" s="823"/>
      <c r="C176" s="1178" t="s">
        <v>955</v>
      </c>
      <c r="D176" s="1009"/>
      <c r="E176" s="1009"/>
      <c r="F176" s="1009"/>
      <c r="G176" s="1009"/>
      <c r="H176" s="1010"/>
      <c r="I176" s="873">
        <f>'1-ABA-DE-CARREGAMENTO'!D87</f>
        <v>0.04</v>
      </c>
      <c r="J176" s="867" t="e">
        <f>ROUND(($J$167/(1-$I$179))*I176,2)</f>
        <v>#REF!</v>
      </c>
      <c r="K176" s="868"/>
    </row>
    <row r="177" spans="1:11" ht="15.75" customHeight="1">
      <c r="A177" s="754"/>
      <c r="B177" s="1204" t="s">
        <v>641</v>
      </c>
      <c r="C177" s="1009"/>
      <c r="D177" s="1009"/>
      <c r="E177" s="1009"/>
      <c r="F177" s="1009"/>
      <c r="G177" s="1009"/>
      <c r="H177" s="1009"/>
      <c r="I177" s="1010"/>
      <c r="J177" s="808" t="e">
        <f>SUM(J164+J166+J170+J171+J176)</f>
        <v>#REF!</v>
      </c>
      <c r="K177" s="809"/>
    </row>
    <row r="178" spans="1:11" ht="15.75" customHeight="1">
      <c r="A178" s="754"/>
      <c r="B178" s="1186"/>
      <c r="C178" s="1009"/>
      <c r="D178" s="1009"/>
      <c r="E178" s="1009"/>
      <c r="F178" s="1009"/>
      <c r="G178" s="1009"/>
      <c r="H178" s="1009"/>
      <c r="I178" s="1009"/>
      <c r="J178" s="1010"/>
      <c r="K178" s="844"/>
    </row>
    <row r="179" spans="1:11" ht="15.75" customHeight="1">
      <c r="A179" s="754"/>
      <c r="B179" s="1205" t="s">
        <v>687</v>
      </c>
      <c r="C179" s="1009"/>
      <c r="D179" s="1009"/>
      <c r="E179" s="1009"/>
      <c r="F179" s="1009"/>
      <c r="G179" s="1009"/>
      <c r="H179" s="1010"/>
      <c r="I179" s="874">
        <f t="shared" ref="I179:J179" si="5">SUM(I170:I176)</f>
        <v>0.13250000000000001</v>
      </c>
      <c r="J179" s="862" t="e">
        <f t="shared" si="5"/>
        <v>#REF!</v>
      </c>
      <c r="K179" s="863"/>
    </row>
    <row r="180" spans="1:11" ht="15.75" customHeight="1">
      <c r="A180" s="754"/>
      <c r="B180" s="1206" t="s">
        <v>688</v>
      </c>
      <c r="C180" s="1023"/>
      <c r="D180" s="1207" t="s">
        <v>689</v>
      </c>
      <c r="E180" s="1023"/>
      <c r="F180" s="1023"/>
      <c r="G180" s="1023"/>
      <c r="H180" s="1023"/>
      <c r="I180" s="1023"/>
      <c r="J180" s="1040"/>
      <c r="K180" s="875"/>
    </row>
    <row r="181" spans="1:11" ht="15.75" customHeight="1">
      <c r="A181" s="754"/>
      <c r="B181" s="1102"/>
      <c r="C181" s="1023"/>
      <c r="D181" s="1208" t="s">
        <v>690</v>
      </c>
      <c r="E181" s="1023"/>
      <c r="F181" s="1023"/>
      <c r="G181" s="1023"/>
      <c r="H181" s="1023"/>
      <c r="I181" s="1023"/>
      <c r="J181" s="1040"/>
      <c r="K181" s="876"/>
    </row>
    <row r="182" spans="1:11" ht="15.75" customHeight="1">
      <c r="A182" s="754"/>
      <c r="B182" s="1103"/>
      <c r="C182" s="1060"/>
      <c r="D182" s="1209" t="s">
        <v>691</v>
      </c>
      <c r="E182" s="1060"/>
      <c r="F182" s="1060"/>
      <c r="G182" s="1060"/>
      <c r="H182" s="1060"/>
      <c r="I182" s="1060"/>
      <c r="J182" s="1062"/>
      <c r="K182" s="875"/>
    </row>
    <row r="183" spans="1:11" ht="9" customHeight="1">
      <c r="A183" s="754"/>
      <c r="B183" s="1210"/>
      <c r="C183" s="1009"/>
      <c r="D183" s="1009"/>
      <c r="E183" s="1009"/>
      <c r="F183" s="1009"/>
      <c r="G183" s="1009"/>
      <c r="H183" s="1009"/>
      <c r="I183" s="1009"/>
      <c r="J183" s="1010"/>
      <c r="K183" s="877"/>
    </row>
    <row r="184" spans="1:11" ht="25.5" customHeight="1">
      <c r="A184" s="754"/>
      <c r="B184" s="1211" t="s">
        <v>692</v>
      </c>
      <c r="C184" s="1009"/>
      <c r="D184" s="1009"/>
      <c r="E184" s="1009"/>
      <c r="F184" s="1009"/>
      <c r="G184" s="1009"/>
      <c r="H184" s="1009"/>
      <c r="I184" s="1009"/>
      <c r="J184" s="1010"/>
      <c r="K184" s="766"/>
    </row>
    <row r="185" spans="1:11" ht="8.25" customHeight="1">
      <c r="A185" s="754"/>
      <c r="B185" s="1186"/>
      <c r="C185" s="1009"/>
      <c r="D185" s="1009"/>
      <c r="E185" s="1009"/>
      <c r="F185" s="1009"/>
      <c r="G185" s="1009"/>
      <c r="H185" s="1009"/>
      <c r="I185" s="1009"/>
      <c r="J185" s="1010"/>
      <c r="K185" s="844"/>
    </row>
    <row r="186" spans="1:11" ht="15.75" customHeight="1">
      <c r="A186" s="754"/>
      <c r="B186" s="1187" t="s">
        <v>956</v>
      </c>
      <c r="C186" s="1009"/>
      <c r="D186" s="1009"/>
      <c r="E186" s="1009"/>
      <c r="F186" s="1009"/>
      <c r="G186" s="1009"/>
      <c r="H186" s="1009"/>
      <c r="I186" s="1009"/>
      <c r="J186" s="1010"/>
      <c r="K186" s="845"/>
    </row>
    <row r="187" spans="1:11" ht="15.75" customHeight="1">
      <c r="A187" s="754"/>
      <c r="B187" s="1086" t="s">
        <v>694</v>
      </c>
      <c r="C187" s="1009"/>
      <c r="D187" s="1009"/>
      <c r="E187" s="1009"/>
      <c r="F187" s="1009"/>
      <c r="G187" s="1009"/>
      <c r="H187" s="1009"/>
      <c r="I187" s="1010"/>
      <c r="J187" s="861" t="s">
        <v>591</v>
      </c>
      <c r="K187" s="763"/>
    </row>
    <row r="188" spans="1:11" ht="15.75" customHeight="1">
      <c r="A188" s="754"/>
      <c r="B188" s="878" t="s">
        <v>514</v>
      </c>
      <c r="C188" s="1181" t="s">
        <v>695</v>
      </c>
      <c r="D188" s="1009"/>
      <c r="E188" s="1009"/>
      <c r="F188" s="1009"/>
      <c r="G188" s="1009"/>
      <c r="H188" s="1009"/>
      <c r="I188" s="1009"/>
      <c r="J188" s="834">
        <f>J63</f>
        <v>2725.8</v>
      </c>
      <c r="K188" s="835"/>
    </row>
    <row r="189" spans="1:11" ht="15.75" customHeight="1">
      <c r="A189" s="754"/>
      <c r="B189" s="878" t="s">
        <v>516</v>
      </c>
      <c r="C189" s="1181" t="s">
        <v>696</v>
      </c>
      <c r="D189" s="1009"/>
      <c r="E189" s="1009"/>
      <c r="F189" s="1009"/>
      <c r="G189" s="1009"/>
      <c r="H189" s="1009"/>
      <c r="I189" s="1009"/>
      <c r="J189" s="834">
        <f>J115</f>
        <v>1944.24</v>
      </c>
      <c r="K189" s="835"/>
    </row>
    <row r="190" spans="1:11" ht="15.75" customHeight="1">
      <c r="A190" s="754"/>
      <c r="B190" s="878" t="s">
        <v>518</v>
      </c>
      <c r="C190" s="1181" t="s">
        <v>697</v>
      </c>
      <c r="D190" s="1009"/>
      <c r="E190" s="1009"/>
      <c r="F190" s="1009"/>
      <c r="G190" s="1009"/>
      <c r="H190" s="1009"/>
      <c r="I190" s="1009"/>
      <c r="J190" s="834">
        <f>J124</f>
        <v>152.70999999999998</v>
      </c>
      <c r="K190" s="835"/>
    </row>
    <row r="191" spans="1:11" ht="15.75" customHeight="1">
      <c r="A191" s="754"/>
      <c r="B191" s="878" t="s">
        <v>520</v>
      </c>
      <c r="C191" s="1181" t="s">
        <v>698</v>
      </c>
      <c r="D191" s="1009"/>
      <c r="E191" s="1009"/>
      <c r="F191" s="1009"/>
      <c r="G191" s="1009"/>
      <c r="H191" s="1009"/>
      <c r="I191" s="1009"/>
      <c r="J191" s="834">
        <f>J150</f>
        <v>392.62569333333329</v>
      </c>
      <c r="K191" s="835"/>
    </row>
    <row r="192" spans="1:11" ht="15.75" customHeight="1">
      <c r="A192" s="754"/>
      <c r="B192" s="878" t="s">
        <v>562</v>
      </c>
      <c r="C192" s="1181" t="s">
        <v>699</v>
      </c>
      <c r="D192" s="1009"/>
      <c r="E192" s="1009"/>
      <c r="F192" s="1009"/>
      <c r="G192" s="1009"/>
      <c r="H192" s="1009"/>
      <c r="I192" s="1009"/>
      <c r="J192" s="834" t="e">
        <f>J157</f>
        <v>#REF!</v>
      </c>
      <c r="K192" s="835"/>
    </row>
    <row r="193" spans="1:11" ht="15.75" customHeight="1">
      <c r="A193" s="754"/>
      <c r="B193" s="1182" t="s">
        <v>700</v>
      </c>
      <c r="C193" s="1009"/>
      <c r="D193" s="1009"/>
      <c r="E193" s="1009"/>
      <c r="F193" s="1009"/>
      <c r="G193" s="1009"/>
      <c r="H193" s="1009"/>
      <c r="I193" s="1030"/>
      <c r="J193" s="857" t="e">
        <f>ROUND(SUM(J188:J192),2)</f>
        <v>#REF!</v>
      </c>
      <c r="K193" s="835"/>
    </row>
    <row r="194" spans="1:11" ht="15.75" customHeight="1">
      <c r="A194" s="754"/>
      <c r="B194" s="879" t="s">
        <v>566</v>
      </c>
      <c r="C194" s="1181" t="s">
        <v>672</v>
      </c>
      <c r="D194" s="1009"/>
      <c r="E194" s="1009"/>
      <c r="F194" s="1009"/>
      <c r="G194" s="1009"/>
      <c r="H194" s="1009"/>
      <c r="I194" s="1009"/>
      <c r="J194" s="834" t="e">
        <f>J177</f>
        <v>#REF!</v>
      </c>
      <c r="K194" s="835"/>
    </row>
    <row r="195" spans="1:11" ht="15.75" customHeight="1">
      <c r="A195" s="754"/>
      <c r="B195" s="1182" t="s">
        <v>777</v>
      </c>
      <c r="C195" s="1009"/>
      <c r="D195" s="1009"/>
      <c r="E195" s="1009"/>
      <c r="F195" s="1009"/>
      <c r="G195" s="1009"/>
      <c r="H195" s="1009"/>
      <c r="I195" s="1030"/>
      <c r="J195" s="857" t="e">
        <f>J193+J194</f>
        <v>#REF!</v>
      </c>
      <c r="K195" s="835"/>
    </row>
    <row r="196" spans="1:11" ht="15.75" customHeight="1">
      <c r="A196" s="754"/>
      <c r="B196" s="1183" t="s">
        <v>702</v>
      </c>
      <c r="C196" s="1009"/>
      <c r="D196" s="1009"/>
      <c r="E196" s="1009"/>
      <c r="F196" s="1009"/>
      <c r="G196" s="1009"/>
      <c r="H196" s="1009"/>
      <c r="I196" s="1009"/>
      <c r="J196" s="1010"/>
      <c r="K196" s="880"/>
    </row>
    <row r="197" spans="1:11" ht="9" customHeight="1">
      <c r="A197" s="754"/>
      <c r="B197" s="1184"/>
      <c r="C197" s="1009"/>
      <c r="D197" s="1009"/>
      <c r="E197" s="1009"/>
      <c r="F197" s="1009"/>
      <c r="G197" s="1009"/>
      <c r="H197" s="1009"/>
      <c r="I197" s="1009"/>
      <c r="J197" s="1010"/>
      <c r="K197" s="881"/>
    </row>
    <row r="198" spans="1:11" ht="15.75" customHeight="1">
      <c r="A198" s="754"/>
      <c r="B198" s="882"/>
      <c r="C198" s="760"/>
      <c r="D198" s="760"/>
      <c r="E198" s="760"/>
      <c r="F198" s="760"/>
      <c r="G198" s="760"/>
      <c r="H198" s="760"/>
      <c r="I198" s="883"/>
      <c r="J198" s="884"/>
      <c r="K198" s="883"/>
    </row>
    <row r="199" spans="1:11" ht="15.75" customHeight="1">
      <c r="A199" s="754"/>
      <c r="B199" s="1082" t="s">
        <v>703</v>
      </c>
      <c r="C199" s="1023"/>
      <c r="D199" s="1023"/>
      <c r="E199" s="1023"/>
      <c r="F199" s="1023"/>
      <c r="G199" s="1023"/>
      <c r="H199" s="1023"/>
      <c r="I199" s="1023"/>
      <c r="J199" s="1040"/>
      <c r="K199" s="594"/>
    </row>
    <row r="200" spans="1:11" ht="35.25" customHeight="1">
      <c r="A200" s="754"/>
      <c r="B200" s="1185" t="s">
        <v>704</v>
      </c>
      <c r="C200" s="1009"/>
      <c r="D200" s="1009"/>
      <c r="E200" s="1010"/>
      <c r="F200" s="1185" t="s">
        <v>778</v>
      </c>
      <c r="G200" s="1010"/>
      <c r="H200" s="861" t="s">
        <v>707</v>
      </c>
      <c r="I200" s="1185" t="s">
        <v>708</v>
      </c>
      <c r="J200" s="1010"/>
      <c r="K200" s="763"/>
    </row>
    <row r="201" spans="1:11" ht="35.25" hidden="1" customHeight="1" outlineLevel="1">
      <c r="A201" s="754"/>
      <c r="B201" s="1178" t="s">
        <v>709</v>
      </c>
      <c r="C201" s="1009"/>
      <c r="D201" s="1009"/>
      <c r="E201" s="1010"/>
      <c r="F201" s="1176">
        <v>0</v>
      </c>
      <c r="G201" s="1010"/>
      <c r="H201" s="885">
        <f t="shared" ref="H201:H202" si="6">E201*F201</f>
        <v>0</v>
      </c>
      <c r="I201" s="1176">
        <f t="shared" ref="I201:I203" si="7">F201*H201</f>
        <v>0</v>
      </c>
      <c r="J201" s="1010"/>
      <c r="K201" s="886"/>
    </row>
    <row r="202" spans="1:11" ht="35.25" hidden="1" customHeight="1" outlineLevel="1">
      <c r="A202" s="754"/>
      <c r="B202" s="1178" t="s">
        <v>710</v>
      </c>
      <c r="C202" s="1009"/>
      <c r="D202" s="1009"/>
      <c r="E202" s="1010"/>
      <c r="F202" s="1176">
        <v>0</v>
      </c>
      <c r="G202" s="1010"/>
      <c r="H202" s="885">
        <f t="shared" si="6"/>
        <v>0</v>
      </c>
      <c r="I202" s="1176">
        <f t="shared" si="7"/>
        <v>0</v>
      </c>
      <c r="J202" s="1010"/>
      <c r="K202" s="886"/>
    </row>
    <row r="203" spans="1:11" ht="35.25" customHeight="1" collapsed="1">
      <c r="A203" s="754"/>
      <c r="B203" s="1179" t="str">
        <f>B3</f>
        <v>A NÃO TEM MAIS POSTOS-22</v>
      </c>
      <c r="C203" s="1009"/>
      <c r="D203" s="1009"/>
      <c r="E203" s="1010"/>
      <c r="F203" s="1180" t="e">
        <f>J195</f>
        <v>#REF!</v>
      </c>
      <c r="G203" s="1010"/>
      <c r="H203" s="885">
        <f>I17</f>
        <v>0</v>
      </c>
      <c r="I203" s="1176" t="e">
        <f t="shared" si="7"/>
        <v>#REF!</v>
      </c>
      <c r="J203" s="1010"/>
      <c r="K203" s="886"/>
    </row>
    <row r="204" spans="1:11" ht="35.25" hidden="1" customHeight="1" outlineLevel="1">
      <c r="A204" s="754"/>
      <c r="B204" s="1178" t="s">
        <v>711</v>
      </c>
      <c r="C204" s="1009"/>
      <c r="D204" s="1009"/>
      <c r="E204" s="1010"/>
      <c r="F204" s="1180">
        <v>0</v>
      </c>
      <c r="G204" s="1010"/>
      <c r="H204" s="885">
        <f t="shared" ref="H204:I204" si="8">E204*G204</f>
        <v>0</v>
      </c>
      <c r="I204" s="1176">
        <f t="shared" si="8"/>
        <v>0</v>
      </c>
      <c r="J204" s="1010"/>
      <c r="K204" s="886"/>
    </row>
    <row r="205" spans="1:11" ht="35.25" hidden="1" customHeight="1" outlineLevel="1">
      <c r="A205" s="754"/>
      <c r="B205" s="1178" t="s">
        <v>712</v>
      </c>
      <c r="C205" s="1009"/>
      <c r="D205" s="1009"/>
      <c r="E205" s="1010"/>
      <c r="F205" s="1180">
        <v>0</v>
      </c>
      <c r="G205" s="1010"/>
      <c r="H205" s="885">
        <f t="shared" ref="H205:I205" si="9">E205*G205</f>
        <v>0</v>
      </c>
      <c r="I205" s="1176">
        <f t="shared" si="9"/>
        <v>0</v>
      </c>
      <c r="J205" s="1010"/>
      <c r="K205" s="886"/>
    </row>
    <row r="206" spans="1:11" ht="15.75" hidden="1" customHeight="1" outlineLevel="1">
      <c r="A206" s="754"/>
      <c r="B206" s="1203" t="s">
        <v>957</v>
      </c>
      <c r="C206" s="1009"/>
      <c r="D206" s="1009"/>
      <c r="E206" s="1010"/>
      <c r="F206" s="1176">
        <v>0</v>
      </c>
      <c r="G206" s="1010"/>
      <c r="H206" s="885">
        <f t="shared" ref="H206:I206" si="10">E206*G206</f>
        <v>0</v>
      </c>
      <c r="I206" s="1176">
        <f t="shared" si="10"/>
        <v>0</v>
      </c>
      <c r="J206" s="1010"/>
      <c r="K206" s="886"/>
    </row>
    <row r="207" spans="1:11" ht="15.75" customHeight="1" collapsed="1">
      <c r="A207" s="754"/>
      <c r="B207" s="1188" t="s">
        <v>714</v>
      </c>
      <c r="C207" s="1009"/>
      <c r="D207" s="1009"/>
      <c r="E207" s="1009"/>
      <c r="F207" s="1009"/>
      <c r="G207" s="1010"/>
      <c r="H207" s="887">
        <f>SUM(H201:H206)</f>
        <v>0</v>
      </c>
      <c r="I207" s="1177" t="e">
        <f>SUM(I201:J206)</f>
        <v>#REF!</v>
      </c>
      <c r="J207" s="1010"/>
      <c r="K207" s="888"/>
    </row>
    <row r="208" spans="1:11" ht="15.75" customHeight="1">
      <c r="A208" s="754"/>
      <c r="B208" s="1189"/>
      <c r="C208" s="1092"/>
      <c r="D208" s="1092"/>
      <c r="E208" s="1092"/>
      <c r="F208" s="1092"/>
      <c r="G208" s="1092"/>
      <c r="H208" s="1092"/>
      <c r="I208" s="1092"/>
      <c r="J208" s="1093"/>
      <c r="K208" s="844"/>
    </row>
    <row r="209" spans="1:11" ht="15.75" customHeight="1">
      <c r="A209" s="754"/>
      <c r="B209" s="1190" t="s">
        <v>715</v>
      </c>
      <c r="C209" s="1060"/>
      <c r="D209" s="1060"/>
      <c r="E209" s="1060"/>
      <c r="F209" s="1060"/>
      <c r="G209" s="1060"/>
      <c r="H209" s="1060"/>
      <c r="I209" s="1060"/>
      <c r="J209" s="1062"/>
      <c r="K209" s="766"/>
    </row>
    <row r="210" spans="1:11" ht="6" customHeight="1">
      <c r="A210" s="754"/>
      <c r="B210" s="1194"/>
      <c r="C210" s="1009"/>
      <c r="D210" s="1009"/>
      <c r="E210" s="1009"/>
      <c r="F210" s="1009"/>
      <c r="G210" s="1009"/>
      <c r="H210" s="1009"/>
      <c r="I210" s="1009"/>
      <c r="J210" s="1010"/>
      <c r="K210" s="889"/>
    </row>
    <row r="211" spans="1:11" ht="21" customHeight="1">
      <c r="A211" s="754"/>
      <c r="B211" s="1191" t="s">
        <v>716</v>
      </c>
      <c r="C211" s="1009"/>
      <c r="D211" s="1009"/>
      <c r="E211" s="1009"/>
      <c r="F211" s="1009"/>
      <c r="G211" s="1010"/>
      <c r="H211" s="1195" t="e">
        <f>$I$207</f>
        <v>#REF!</v>
      </c>
      <c r="I211" s="1009"/>
      <c r="J211" s="1010"/>
      <c r="K211" s="890"/>
    </row>
    <row r="212" spans="1:11" ht="6" customHeight="1">
      <c r="A212" s="754"/>
      <c r="B212" s="1196"/>
      <c r="C212" s="1015"/>
      <c r="D212" s="1015"/>
      <c r="E212" s="1015"/>
      <c r="F212" s="1015"/>
      <c r="G212" s="1015"/>
      <c r="H212" s="1015"/>
      <c r="I212" s="1015"/>
      <c r="J212" s="1075"/>
      <c r="K212" s="891"/>
    </row>
    <row r="213" spans="1:11" ht="18.75" customHeight="1">
      <c r="A213" s="754"/>
      <c r="B213" s="1191" t="s">
        <v>717</v>
      </c>
      <c r="C213" s="1009"/>
      <c r="D213" s="1009"/>
      <c r="E213" s="1009"/>
      <c r="F213" s="1009"/>
      <c r="G213" s="1010"/>
      <c r="H213" s="1197">
        <f>$I$11</f>
        <v>30</v>
      </c>
      <c r="I213" s="1009"/>
      <c r="J213" s="1010"/>
      <c r="K213" s="892"/>
    </row>
    <row r="214" spans="1:11" ht="6.75" customHeight="1">
      <c r="A214" s="754"/>
      <c r="B214" s="1198"/>
      <c r="C214" s="1009"/>
      <c r="D214" s="1009"/>
      <c r="E214" s="1009"/>
      <c r="F214" s="1009"/>
      <c r="G214" s="1009"/>
      <c r="H214" s="1009"/>
      <c r="I214" s="1009"/>
      <c r="J214" s="1010"/>
      <c r="K214" s="893"/>
    </row>
    <row r="215" spans="1:11" ht="18.75" customHeight="1">
      <c r="A215" s="754"/>
      <c r="B215" s="1191" t="s">
        <v>958</v>
      </c>
      <c r="C215" s="1009"/>
      <c r="D215" s="1009"/>
      <c r="E215" s="1009"/>
      <c r="F215" s="1009"/>
      <c r="G215" s="1010"/>
      <c r="H215" s="1192" t="e">
        <f>ROUND(H211*H213,2)</f>
        <v>#REF!</v>
      </c>
      <c r="I215" s="1009"/>
      <c r="J215" s="1010"/>
      <c r="K215" s="894"/>
    </row>
    <row r="216" spans="1:11" ht="6" customHeight="1">
      <c r="A216" s="754"/>
      <c r="B216" s="1193"/>
      <c r="C216" s="1009"/>
      <c r="D216" s="1009"/>
      <c r="E216" s="1009"/>
      <c r="F216" s="1009"/>
      <c r="G216" s="1009"/>
      <c r="H216" s="1009"/>
      <c r="I216" s="1009"/>
      <c r="J216" s="1010"/>
      <c r="K216" s="760"/>
    </row>
    <row r="217" spans="1:11" ht="15.75" customHeight="1">
      <c r="A217" s="754"/>
      <c r="B217" s="754"/>
      <c r="C217" s="754"/>
      <c r="D217" s="754"/>
      <c r="E217" s="754"/>
      <c r="F217" s="754"/>
      <c r="G217" s="754"/>
      <c r="H217" s="754"/>
      <c r="I217" s="754"/>
      <c r="J217" s="754"/>
      <c r="K217" s="754"/>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C96:H96"/>
    <mergeCell ref="C149:I149"/>
    <mergeCell ref="B150:I150"/>
    <mergeCell ref="B151:J151"/>
    <mergeCell ref="B152:J152"/>
    <mergeCell ref="C153:I153"/>
    <mergeCell ref="C154:I154"/>
    <mergeCell ref="C155:I155"/>
    <mergeCell ref="C156:I156"/>
    <mergeCell ref="B86:H86"/>
    <mergeCell ref="B88:J88"/>
    <mergeCell ref="B89:J89"/>
    <mergeCell ref="B90:J90"/>
    <mergeCell ref="C91:I91"/>
    <mergeCell ref="C92:H92"/>
    <mergeCell ref="C93:H93"/>
    <mergeCell ref="C94:H94"/>
    <mergeCell ref="C95:H95"/>
    <mergeCell ref="C77:H77"/>
    <mergeCell ref="C78:H78"/>
    <mergeCell ref="C79:H79"/>
    <mergeCell ref="C80:D80"/>
    <mergeCell ref="C81:H81"/>
    <mergeCell ref="C82:H82"/>
    <mergeCell ref="C83:H83"/>
    <mergeCell ref="C84:H84"/>
    <mergeCell ref="C85:H85"/>
    <mergeCell ref="C98:H98"/>
    <mergeCell ref="C99:H99"/>
    <mergeCell ref="C100:H100"/>
    <mergeCell ref="C101:I101"/>
    <mergeCell ref="C102:I102"/>
    <mergeCell ref="C103:I103"/>
    <mergeCell ref="C104:I104"/>
    <mergeCell ref="C105:I105"/>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46:H46"/>
    <mergeCell ref="C47:F47"/>
    <mergeCell ref="C48:E48"/>
    <mergeCell ref="F48:H48"/>
    <mergeCell ref="C49:H49"/>
    <mergeCell ref="C50:F50"/>
    <mergeCell ref="G50:H50"/>
    <mergeCell ref="C51:E51"/>
    <mergeCell ref="C52:I52"/>
    <mergeCell ref="C53:I53"/>
    <mergeCell ref="C54:E54"/>
    <mergeCell ref="C55:E55"/>
    <mergeCell ref="C56:I56"/>
    <mergeCell ref="C57:I57"/>
    <mergeCell ref="B58:I58"/>
    <mergeCell ref="C59:I59"/>
    <mergeCell ref="C60:I60"/>
    <mergeCell ref="B61:I61"/>
    <mergeCell ref="B62:J62"/>
    <mergeCell ref="B63:I63"/>
    <mergeCell ref="B64:J64"/>
    <mergeCell ref="B65:J65"/>
    <mergeCell ref="B66:J66"/>
    <mergeCell ref="B67:J67"/>
    <mergeCell ref="B68:J68"/>
    <mergeCell ref="C69:I69"/>
    <mergeCell ref="C70:H70"/>
    <mergeCell ref="C71:H71"/>
    <mergeCell ref="B72:I72"/>
    <mergeCell ref="B73:J73"/>
    <mergeCell ref="B74:J74"/>
    <mergeCell ref="B75:J75"/>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144:I144"/>
    <mergeCell ref="B145:J145"/>
    <mergeCell ref="B146:J146"/>
    <mergeCell ref="C147:I147"/>
    <mergeCell ref="C148:I148"/>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208:J208"/>
    <mergeCell ref="B209:J209"/>
    <mergeCell ref="B215:G215"/>
    <mergeCell ref="H215:J215"/>
    <mergeCell ref="B216:J216"/>
    <mergeCell ref="B210:J210"/>
    <mergeCell ref="B211:G211"/>
    <mergeCell ref="H211:J211"/>
    <mergeCell ref="B212:J212"/>
    <mergeCell ref="B213:G213"/>
    <mergeCell ref="H213:J213"/>
    <mergeCell ref="B214:J214"/>
    <mergeCell ref="B185:J185"/>
    <mergeCell ref="B186:J186"/>
    <mergeCell ref="B187:I187"/>
    <mergeCell ref="C188:I188"/>
    <mergeCell ref="C189:I189"/>
    <mergeCell ref="C190:I190"/>
    <mergeCell ref="C191:I191"/>
    <mergeCell ref="C192:I192"/>
    <mergeCell ref="B193:I193"/>
    <mergeCell ref="C194:I194"/>
    <mergeCell ref="B195:I195"/>
    <mergeCell ref="B196:J196"/>
    <mergeCell ref="B197:J197"/>
    <mergeCell ref="B199:J199"/>
    <mergeCell ref="B200:E200"/>
    <mergeCell ref="F200:G200"/>
    <mergeCell ref="I200:J200"/>
    <mergeCell ref="B201:E201"/>
    <mergeCell ref="F201:G201"/>
    <mergeCell ref="I201:J201"/>
    <mergeCell ref="I203:J203"/>
    <mergeCell ref="I204:J204"/>
    <mergeCell ref="I205:J205"/>
    <mergeCell ref="I206:J206"/>
    <mergeCell ref="I207:J207"/>
    <mergeCell ref="B202:E202"/>
    <mergeCell ref="F202:G202"/>
    <mergeCell ref="I202:J202"/>
    <mergeCell ref="B203:E203"/>
    <mergeCell ref="F203:G203"/>
    <mergeCell ref="B204:E204"/>
    <mergeCell ref="F204:G204"/>
    <mergeCell ref="B207:G207"/>
  </mergeCells>
  <conditionalFormatting sqref="I49:I50">
    <cfRule type="cellIs" dxfId="111" priority="1" operator="equal">
      <formula>0</formula>
    </cfRule>
  </conditionalFormatting>
  <conditionalFormatting sqref="I48">
    <cfRule type="cellIs" dxfId="110" priority="2" operator="equal">
      <formula>0</formula>
    </cfRule>
  </conditionalFormatting>
  <pageMargins left="0.511811024" right="0.511811024" top="0.78740157499999996" bottom="0.78740157499999996" header="0" footer="0"/>
  <pageSetup orientation="landscape"/>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B1:J1000"/>
  <sheetViews>
    <sheetView workbookViewId="0"/>
  </sheetViews>
  <sheetFormatPr defaultColWidth="14.42578125" defaultRowHeight="15" customHeight="1" outlineLevelRow="1"/>
  <cols>
    <col min="1" max="1" width="3.140625" customWidth="1"/>
    <col min="2" max="2" width="42.7109375" customWidth="1"/>
    <col min="3" max="3" width="44.85546875" customWidth="1"/>
    <col min="4" max="4" width="23.42578125" customWidth="1"/>
    <col min="5" max="5" width="18.7109375" customWidth="1"/>
    <col min="6" max="6" width="23.5703125" customWidth="1"/>
    <col min="7" max="7" width="27.28515625" customWidth="1"/>
    <col min="8" max="8" width="29.140625" customWidth="1"/>
  </cols>
  <sheetData>
    <row r="1" spans="2:8" ht="15.75">
      <c r="E1" s="897"/>
      <c r="F1" s="898"/>
    </row>
    <row r="2" spans="2:8" ht="26.25">
      <c r="B2" s="1271" t="s">
        <v>959</v>
      </c>
      <c r="C2" s="977"/>
      <c r="D2" s="977"/>
      <c r="E2" s="1007"/>
      <c r="F2" s="898"/>
    </row>
    <row r="3" spans="2:8">
      <c r="B3" s="899"/>
      <c r="C3" s="1"/>
      <c r="D3" s="1"/>
      <c r="E3" s="897"/>
      <c r="F3" s="1"/>
    </row>
    <row r="4" spans="2:8">
      <c r="C4" s="900"/>
      <c r="D4" s="900"/>
      <c r="E4" s="901"/>
      <c r="F4" s="900"/>
    </row>
    <row r="5" spans="2:8" ht="21">
      <c r="B5" s="1272">
        <v>0</v>
      </c>
      <c r="C5" s="1009"/>
      <c r="D5" s="1009"/>
      <c r="E5" s="1009"/>
      <c r="F5" s="902"/>
      <c r="G5" s="903"/>
      <c r="H5" s="904"/>
    </row>
    <row r="6" spans="2:8" ht="40.5">
      <c r="B6" s="905" t="s">
        <v>2</v>
      </c>
      <c r="C6" s="905" t="s">
        <v>328</v>
      </c>
      <c r="D6" s="906" t="s">
        <v>330</v>
      </c>
      <c r="E6" s="906" t="s">
        <v>331</v>
      </c>
      <c r="F6" s="906" t="s">
        <v>332</v>
      </c>
      <c r="G6" s="907" t="s">
        <v>333</v>
      </c>
      <c r="H6" s="908" t="s">
        <v>960</v>
      </c>
    </row>
    <row r="7" spans="2:8" ht="20.25">
      <c r="B7" s="499" t="str">
        <f>CAMPUS.CONTRATANTE!D10</f>
        <v xml:space="preserve">ALEGRETE </v>
      </c>
      <c r="C7" s="499" t="str">
        <f>'1-ABA-DE-CARREGAMENTO'!C33</f>
        <v>5132-05_COZINHEIRO_prepost_hs</v>
      </c>
      <c r="D7" s="909">
        <v>1</v>
      </c>
      <c r="E7" s="909">
        <v>1</v>
      </c>
      <c r="F7" s="910">
        <v>10055.25</v>
      </c>
      <c r="G7" s="911">
        <f t="shared" ref="G7:G8" si="0">F7</f>
        <v>10055.25</v>
      </c>
      <c r="H7" s="912">
        <f t="shared" ref="H7:H8" si="1">G7*D7</f>
        <v>10055.25</v>
      </c>
    </row>
    <row r="8" spans="2:8" ht="20.25" collapsed="1">
      <c r="B8" s="499" t="str">
        <f t="shared" ref="B8:B18" si="2">B7</f>
        <v xml:space="preserve">ALEGRETE </v>
      </c>
      <c r="C8" s="499" t="str">
        <f>'1-ABA-DE-CARREGAMENTO'!D33</f>
        <v>5132-05_COZINHEIRO_geral_hs</v>
      </c>
      <c r="D8" s="909">
        <v>2</v>
      </c>
      <c r="E8" s="909">
        <v>1</v>
      </c>
      <c r="F8" s="913">
        <v>5027.59</v>
      </c>
      <c r="G8" s="911">
        <f t="shared" si="0"/>
        <v>5027.59</v>
      </c>
      <c r="H8" s="912">
        <f t="shared" si="1"/>
        <v>10055.18</v>
      </c>
    </row>
    <row r="9" spans="2:8" ht="20.25" hidden="1" outlineLevel="1">
      <c r="B9" s="499" t="str">
        <f t="shared" si="2"/>
        <v xml:space="preserve">ALEGRETE </v>
      </c>
      <c r="C9" s="508" t="str">
        <f>'1-ABA-DE-CARREGAMENTO'!E33</f>
        <v>5135-05_AUX.COZINHA_hs</v>
      </c>
      <c r="D9" s="909"/>
      <c r="E9" s="914"/>
      <c r="F9" s="915"/>
      <c r="G9" s="911"/>
      <c r="H9" s="912"/>
    </row>
    <row r="10" spans="2:8" ht="20.25" hidden="1" outlineLevel="1">
      <c r="B10" s="499" t="str">
        <f t="shared" si="2"/>
        <v xml:space="preserve">ALEGRETE </v>
      </c>
      <c r="C10" s="508" t="str">
        <f>'1-ABA-DE-CARREGAMENTO'!F33</f>
        <v>6220-10_JARDINEIRO_hs</v>
      </c>
      <c r="D10" s="909"/>
      <c r="E10" s="914"/>
      <c r="F10" s="915"/>
      <c r="G10" s="911"/>
      <c r="H10" s="912"/>
    </row>
    <row r="11" spans="2:8" ht="20.25" hidden="1" outlineLevel="1">
      <c r="B11" s="499" t="str">
        <f t="shared" si="2"/>
        <v xml:space="preserve">ALEGRETE </v>
      </c>
      <c r="C11" s="508" t="str">
        <f>'1-ABA-DE-CARREGAMENTO'!G33</f>
        <v>A NÃO TEM MAIS POSTOS-22</v>
      </c>
      <c r="D11" s="909"/>
      <c r="E11" s="914"/>
      <c r="F11" s="915"/>
      <c r="G11" s="911"/>
      <c r="H11" s="912"/>
    </row>
    <row r="12" spans="2:8" ht="20.25" hidden="1" outlineLevel="1">
      <c r="B12" s="499" t="str">
        <f t="shared" si="2"/>
        <v xml:space="preserve">ALEGRETE </v>
      </c>
      <c r="C12" s="508" t="str">
        <f>'1-ABA-DE-CARREGAMENTO'!H33</f>
        <v>A NÃO TEM MAIS POSTOS-33</v>
      </c>
      <c r="D12" s="909"/>
      <c r="E12" s="914"/>
      <c r="F12" s="915"/>
      <c r="G12" s="911"/>
      <c r="H12" s="912"/>
    </row>
    <row r="13" spans="2:8" ht="20.25" hidden="1" outlineLevel="1">
      <c r="B13" s="499" t="str">
        <f t="shared" si="2"/>
        <v xml:space="preserve">ALEGRETE </v>
      </c>
      <c r="C13" s="508" t="str">
        <f>'1-ABA-DE-CARREGAMENTO'!I33</f>
        <v>A NÃO TEM MAIS POSTOS-44</v>
      </c>
      <c r="D13" s="909"/>
      <c r="E13" s="914"/>
      <c r="F13" s="915"/>
      <c r="G13" s="911"/>
      <c r="H13" s="912"/>
    </row>
    <row r="14" spans="2:8" ht="20.25" hidden="1" outlineLevel="1">
      <c r="B14" s="499" t="str">
        <f t="shared" si="2"/>
        <v xml:space="preserve">ALEGRETE </v>
      </c>
      <c r="C14" s="508" t="str">
        <f>'1-ABA-DE-CARREGAMENTO'!J33</f>
        <v>A NÃO TEM MAIS POSTOS-55</v>
      </c>
      <c r="D14" s="909"/>
      <c r="E14" s="914"/>
      <c r="F14" s="915"/>
      <c r="G14" s="911"/>
      <c r="H14" s="912"/>
    </row>
    <row r="15" spans="2:8" ht="20.25" hidden="1" outlineLevel="1">
      <c r="B15" s="499" t="str">
        <f t="shared" si="2"/>
        <v xml:space="preserve">ALEGRETE </v>
      </c>
      <c r="C15" s="508" t="str">
        <f>'1-ABA-DE-CARREGAMENTO'!K33</f>
        <v>A NÃO TEM MAIS POSTOS-66</v>
      </c>
      <c r="D15" s="909"/>
      <c r="E15" s="914"/>
      <c r="F15" s="915"/>
      <c r="G15" s="911"/>
      <c r="H15" s="912"/>
    </row>
    <row r="16" spans="2:8" ht="20.25" hidden="1" outlineLevel="1">
      <c r="B16" s="499" t="str">
        <f t="shared" si="2"/>
        <v xml:space="preserve">ALEGRETE </v>
      </c>
      <c r="C16" s="508" t="str">
        <f>'1-ABA-DE-CARREGAMENTO'!L33</f>
        <v>A NÃO TEM MAIS POSTOS-77</v>
      </c>
      <c r="D16" s="909"/>
      <c r="E16" s="914"/>
      <c r="F16" s="915"/>
      <c r="G16" s="911"/>
      <c r="H16" s="912"/>
    </row>
    <row r="17" spans="2:8" ht="20.25" hidden="1" outlineLevel="1">
      <c r="B17" s="499" t="str">
        <f t="shared" si="2"/>
        <v xml:space="preserve">ALEGRETE </v>
      </c>
      <c r="C17" s="508" t="str">
        <f>'1-ABA-DE-CARREGAMENTO'!M33</f>
        <v>A NÃO TEM MAIS POSTOS-88</v>
      </c>
      <c r="D17" s="909"/>
      <c r="E17" s="914"/>
      <c r="F17" s="915"/>
      <c r="G17" s="911"/>
      <c r="H17" s="912"/>
    </row>
    <row r="18" spans="2:8" ht="20.25" hidden="1" outlineLevel="1">
      <c r="B18" s="499" t="str">
        <f t="shared" si="2"/>
        <v xml:space="preserve">ALEGRETE </v>
      </c>
      <c r="C18" s="508" t="str">
        <f>'1-ABA-DE-CARREGAMENTO'!N33</f>
        <v>A NÃO TEM MAIS POSTOS-99</v>
      </c>
      <c r="D18" s="909"/>
      <c r="E18" s="914"/>
      <c r="F18" s="915"/>
      <c r="G18" s="911"/>
      <c r="H18" s="912"/>
    </row>
    <row r="19" spans="2:8" ht="20.25">
      <c r="B19" s="916" t="str">
        <f>B7</f>
        <v xml:space="preserve">ALEGRETE </v>
      </c>
      <c r="C19" s="916"/>
      <c r="D19" s="917">
        <f>SUBTOTAL(9,D7:D18)</f>
        <v>3</v>
      </c>
      <c r="E19" s="918"/>
      <c r="F19" s="919"/>
      <c r="G19" s="919"/>
      <c r="H19" s="919">
        <f>SUBTOTAL(9,H7:H8)</f>
        <v>20110.43</v>
      </c>
    </row>
    <row r="20" spans="2:8" ht="15.75">
      <c r="E20" s="897"/>
      <c r="F20" s="898"/>
    </row>
    <row r="21" spans="2:8" ht="15.75" customHeight="1" collapsed="1">
      <c r="B21" s="499" t="str">
        <f>CAMPUS.CONTRATANTE!D11</f>
        <v xml:space="preserve">FREDERICO-WESTFALEN </v>
      </c>
      <c r="C21" s="499" t="str">
        <f t="shared" ref="C21:C32" si="3">C7</f>
        <v>5132-05_COZINHEIRO_prepost_hs</v>
      </c>
      <c r="D21" s="909">
        <v>1</v>
      </c>
      <c r="E21" s="909">
        <v>1</v>
      </c>
      <c r="F21" s="920">
        <v>10055.25</v>
      </c>
      <c r="G21" s="911">
        <f t="shared" ref="G21:G22" si="4">F21</f>
        <v>10055.25</v>
      </c>
      <c r="H21" s="912">
        <f t="shared" ref="H21:H22" si="5">G21*D21</f>
        <v>10055.25</v>
      </c>
    </row>
    <row r="22" spans="2:8" ht="15.75" hidden="1" customHeight="1" outlineLevel="1">
      <c r="B22" s="499" t="str">
        <f t="shared" ref="B22:B33" si="6">B21</f>
        <v xml:space="preserve">FREDERICO-WESTFALEN </v>
      </c>
      <c r="C22" s="499" t="str">
        <f t="shared" si="3"/>
        <v>5132-05_COZINHEIRO_geral_hs</v>
      </c>
      <c r="D22" s="909"/>
      <c r="E22" s="909"/>
      <c r="F22" s="915"/>
      <c r="G22" s="911">
        <f t="shared" si="4"/>
        <v>0</v>
      </c>
      <c r="H22" s="912">
        <f t="shared" si="5"/>
        <v>0</v>
      </c>
    </row>
    <row r="23" spans="2:8" ht="15.75" hidden="1" customHeight="1" outlineLevel="1">
      <c r="B23" s="499" t="str">
        <f t="shared" si="6"/>
        <v xml:space="preserve">FREDERICO-WESTFALEN </v>
      </c>
      <c r="C23" s="499" t="str">
        <f t="shared" si="3"/>
        <v>5135-05_AUX.COZINHA_hs</v>
      </c>
      <c r="D23" s="909"/>
      <c r="E23" s="914"/>
      <c r="F23" s="915"/>
      <c r="G23" s="911"/>
      <c r="H23" s="912"/>
    </row>
    <row r="24" spans="2:8" ht="15.75" hidden="1" customHeight="1" outlineLevel="1">
      <c r="B24" s="499" t="str">
        <f t="shared" si="6"/>
        <v xml:space="preserve">FREDERICO-WESTFALEN </v>
      </c>
      <c r="C24" s="499" t="str">
        <f t="shared" si="3"/>
        <v>6220-10_JARDINEIRO_hs</v>
      </c>
      <c r="D24" s="909"/>
      <c r="E24" s="914"/>
      <c r="F24" s="915"/>
      <c r="G24" s="911"/>
      <c r="H24" s="912"/>
    </row>
    <row r="25" spans="2:8" ht="15.75" hidden="1" customHeight="1" outlineLevel="1">
      <c r="B25" s="499" t="str">
        <f t="shared" si="6"/>
        <v xml:space="preserve">FREDERICO-WESTFALEN </v>
      </c>
      <c r="C25" s="499" t="str">
        <f t="shared" si="3"/>
        <v>A NÃO TEM MAIS POSTOS-22</v>
      </c>
      <c r="D25" s="909"/>
      <c r="E25" s="914"/>
      <c r="F25" s="915"/>
      <c r="G25" s="911"/>
      <c r="H25" s="912"/>
    </row>
    <row r="26" spans="2:8" ht="15.75" hidden="1" customHeight="1" outlineLevel="1">
      <c r="B26" s="499" t="str">
        <f t="shared" si="6"/>
        <v xml:space="preserve">FREDERICO-WESTFALEN </v>
      </c>
      <c r="C26" s="499" t="str">
        <f t="shared" si="3"/>
        <v>A NÃO TEM MAIS POSTOS-33</v>
      </c>
      <c r="D26" s="909"/>
      <c r="E26" s="914"/>
      <c r="F26" s="915"/>
      <c r="G26" s="911"/>
      <c r="H26" s="912"/>
    </row>
    <row r="27" spans="2:8" ht="15.75" hidden="1" customHeight="1" outlineLevel="1">
      <c r="B27" s="499" t="str">
        <f t="shared" si="6"/>
        <v xml:space="preserve">FREDERICO-WESTFALEN </v>
      </c>
      <c r="C27" s="499" t="str">
        <f t="shared" si="3"/>
        <v>A NÃO TEM MAIS POSTOS-44</v>
      </c>
      <c r="D27" s="909"/>
      <c r="E27" s="914"/>
      <c r="F27" s="915"/>
      <c r="G27" s="911"/>
      <c r="H27" s="912"/>
    </row>
    <row r="28" spans="2:8" ht="15.75" hidden="1" customHeight="1" outlineLevel="1">
      <c r="B28" s="499" t="str">
        <f t="shared" si="6"/>
        <v xml:space="preserve">FREDERICO-WESTFALEN </v>
      </c>
      <c r="C28" s="499" t="str">
        <f t="shared" si="3"/>
        <v>A NÃO TEM MAIS POSTOS-55</v>
      </c>
      <c r="D28" s="909"/>
      <c r="E28" s="914"/>
      <c r="F28" s="915"/>
      <c r="G28" s="911"/>
      <c r="H28" s="912"/>
    </row>
    <row r="29" spans="2:8" ht="15.75" hidden="1" customHeight="1" outlineLevel="1">
      <c r="B29" s="499" t="str">
        <f t="shared" si="6"/>
        <v xml:space="preserve">FREDERICO-WESTFALEN </v>
      </c>
      <c r="C29" s="499" t="str">
        <f t="shared" si="3"/>
        <v>A NÃO TEM MAIS POSTOS-66</v>
      </c>
      <c r="D29" s="909"/>
      <c r="E29" s="914"/>
      <c r="F29" s="915"/>
      <c r="G29" s="911"/>
      <c r="H29" s="912"/>
    </row>
    <row r="30" spans="2:8" ht="15.75" hidden="1" customHeight="1" outlineLevel="1">
      <c r="B30" s="499" t="str">
        <f t="shared" si="6"/>
        <v xml:space="preserve">FREDERICO-WESTFALEN </v>
      </c>
      <c r="C30" s="499" t="str">
        <f t="shared" si="3"/>
        <v>A NÃO TEM MAIS POSTOS-77</v>
      </c>
      <c r="D30" s="909"/>
      <c r="E30" s="914"/>
      <c r="F30" s="915"/>
      <c r="G30" s="911"/>
      <c r="H30" s="912"/>
    </row>
    <row r="31" spans="2:8" ht="15.75" hidden="1" customHeight="1" outlineLevel="1">
      <c r="B31" s="499" t="str">
        <f t="shared" si="6"/>
        <v xml:space="preserve">FREDERICO-WESTFALEN </v>
      </c>
      <c r="C31" s="499" t="str">
        <f t="shared" si="3"/>
        <v>A NÃO TEM MAIS POSTOS-88</v>
      </c>
      <c r="D31" s="909"/>
      <c r="E31" s="914"/>
      <c r="F31" s="915"/>
      <c r="G31" s="911"/>
      <c r="H31" s="912"/>
    </row>
    <row r="32" spans="2:8" ht="15.75" hidden="1" customHeight="1" outlineLevel="1">
      <c r="B32" s="499" t="str">
        <f t="shared" si="6"/>
        <v xml:space="preserve">FREDERICO-WESTFALEN </v>
      </c>
      <c r="C32" s="499" t="str">
        <f t="shared" si="3"/>
        <v>A NÃO TEM MAIS POSTOS-99</v>
      </c>
      <c r="D32" s="909"/>
      <c r="E32" s="914"/>
      <c r="F32" s="915"/>
      <c r="G32" s="911"/>
      <c r="H32" s="912"/>
    </row>
    <row r="33" spans="2:8" ht="15.75" customHeight="1">
      <c r="B33" s="916" t="str">
        <f t="shared" si="6"/>
        <v xml:space="preserve">FREDERICO-WESTFALEN </v>
      </c>
      <c r="C33" s="916" t="s">
        <v>340</v>
      </c>
      <c r="D33" s="917">
        <f>SUBTOTAL(9,D21:D32)</f>
        <v>1</v>
      </c>
      <c r="E33" s="918"/>
      <c r="F33" s="919"/>
      <c r="G33" s="919"/>
      <c r="H33" s="919">
        <f>SUBTOTAL(9,H21:H22)</f>
        <v>10055.25</v>
      </c>
    </row>
    <row r="34" spans="2:8" ht="15.75" customHeight="1">
      <c r="E34" s="897"/>
      <c r="F34" s="898"/>
    </row>
    <row r="35" spans="2:8" ht="15.75" customHeight="1">
      <c r="B35" s="499" t="str">
        <f>CAMPUS.CONTRATANTE!D12</f>
        <v>JAGUARI</v>
      </c>
      <c r="C35" s="499" t="str">
        <f t="shared" ref="C35:C46" si="7">C21</f>
        <v>5132-05_COZINHEIRO_prepost_hs</v>
      </c>
      <c r="D35" s="909">
        <v>1</v>
      </c>
      <c r="E35" s="921">
        <v>1</v>
      </c>
      <c r="F35" s="910">
        <v>10055.25</v>
      </c>
      <c r="G35" s="911">
        <f t="shared" ref="G35:G36" si="8">F35</f>
        <v>10055.25</v>
      </c>
      <c r="H35" s="912">
        <f t="shared" ref="H35:H36" si="9">G35*D35</f>
        <v>10055.25</v>
      </c>
    </row>
    <row r="36" spans="2:8" ht="15.75" customHeight="1" collapsed="1">
      <c r="B36" s="499" t="str">
        <f t="shared" ref="B36:B47" si="10">B35</f>
        <v>JAGUARI</v>
      </c>
      <c r="C36" s="499" t="str">
        <f t="shared" si="7"/>
        <v>5132-05_COZINHEIRO_geral_hs</v>
      </c>
      <c r="D36" s="909">
        <v>2</v>
      </c>
      <c r="E36" s="922">
        <v>1</v>
      </c>
      <c r="F36" s="913">
        <v>5027.59</v>
      </c>
      <c r="G36" s="911">
        <f t="shared" si="8"/>
        <v>5027.59</v>
      </c>
      <c r="H36" s="912">
        <f t="shared" si="9"/>
        <v>10055.18</v>
      </c>
    </row>
    <row r="37" spans="2:8" ht="15.75" hidden="1" customHeight="1" outlineLevel="1">
      <c r="B37" s="499" t="str">
        <f t="shared" si="10"/>
        <v>JAGUARI</v>
      </c>
      <c r="C37" s="499" t="str">
        <f t="shared" si="7"/>
        <v>5135-05_AUX.COZINHA_hs</v>
      </c>
      <c r="D37" s="909"/>
      <c r="E37" s="914"/>
      <c r="F37" s="915"/>
      <c r="G37" s="911"/>
      <c r="H37" s="912"/>
    </row>
    <row r="38" spans="2:8" ht="15.75" hidden="1" customHeight="1" outlineLevel="1">
      <c r="B38" s="499" t="str">
        <f t="shared" si="10"/>
        <v>JAGUARI</v>
      </c>
      <c r="C38" s="499" t="str">
        <f t="shared" si="7"/>
        <v>6220-10_JARDINEIRO_hs</v>
      </c>
      <c r="D38" s="909"/>
      <c r="E38" s="914"/>
      <c r="F38" s="915"/>
      <c r="G38" s="911"/>
      <c r="H38" s="912"/>
    </row>
    <row r="39" spans="2:8" ht="15.75" hidden="1" customHeight="1" outlineLevel="1">
      <c r="B39" s="499" t="str">
        <f t="shared" si="10"/>
        <v>JAGUARI</v>
      </c>
      <c r="C39" s="499" t="str">
        <f t="shared" si="7"/>
        <v>A NÃO TEM MAIS POSTOS-22</v>
      </c>
      <c r="D39" s="909"/>
      <c r="E39" s="914"/>
      <c r="F39" s="915"/>
      <c r="G39" s="911"/>
      <c r="H39" s="912"/>
    </row>
    <row r="40" spans="2:8" ht="15.75" hidden="1" customHeight="1" outlineLevel="1">
      <c r="B40" s="499" t="str">
        <f t="shared" si="10"/>
        <v>JAGUARI</v>
      </c>
      <c r="C40" s="499" t="str">
        <f t="shared" si="7"/>
        <v>A NÃO TEM MAIS POSTOS-33</v>
      </c>
      <c r="D40" s="909"/>
      <c r="E40" s="914"/>
      <c r="F40" s="915"/>
      <c r="G40" s="911"/>
      <c r="H40" s="912"/>
    </row>
    <row r="41" spans="2:8" ht="15.75" hidden="1" customHeight="1" outlineLevel="1">
      <c r="B41" s="499" t="str">
        <f t="shared" si="10"/>
        <v>JAGUARI</v>
      </c>
      <c r="C41" s="499" t="str">
        <f t="shared" si="7"/>
        <v>A NÃO TEM MAIS POSTOS-44</v>
      </c>
      <c r="D41" s="909"/>
      <c r="E41" s="914"/>
      <c r="F41" s="915"/>
      <c r="G41" s="911"/>
      <c r="H41" s="912"/>
    </row>
    <row r="42" spans="2:8" ht="15.75" hidden="1" customHeight="1" outlineLevel="1">
      <c r="B42" s="499" t="str">
        <f t="shared" si="10"/>
        <v>JAGUARI</v>
      </c>
      <c r="C42" s="499" t="str">
        <f t="shared" si="7"/>
        <v>A NÃO TEM MAIS POSTOS-55</v>
      </c>
      <c r="D42" s="909"/>
      <c r="E42" s="914"/>
      <c r="F42" s="915"/>
      <c r="G42" s="911"/>
      <c r="H42" s="912"/>
    </row>
    <row r="43" spans="2:8" ht="15.75" hidden="1" customHeight="1" outlineLevel="1">
      <c r="B43" s="499" t="str">
        <f t="shared" si="10"/>
        <v>JAGUARI</v>
      </c>
      <c r="C43" s="499" t="str">
        <f t="shared" si="7"/>
        <v>A NÃO TEM MAIS POSTOS-66</v>
      </c>
      <c r="D43" s="909"/>
      <c r="E43" s="914"/>
      <c r="F43" s="915"/>
      <c r="G43" s="911"/>
      <c r="H43" s="912"/>
    </row>
    <row r="44" spans="2:8" ht="15.75" hidden="1" customHeight="1" outlineLevel="1">
      <c r="B44" s="499" t="str">
        <f t="shared" si="10"/>
        <v>JAGUARI</v>
      </c>
      <c r="C44" s="499" t="str">
        <f t="shared" si="7"/>
        <v>A NÃO TEM MAIS POSTOS-77</v>
      </c>
      <c r="D44" s="909"/>
      <c r="E44" s="914"/>
      <c r="F44" s="915"/>
      <c r="G44" s="911"/>
      <c r="H44" s="912"/>
    </row>
    <row r="45" spans="2:8" ht="15.75" hidden="1" customHeight="1" outlineLevel="1">
      <c r="B45" s="499" t="str">
        <f t="shared" si="10"/>
        <v>JAGUARI</v>
      </c>
      <c r="C45" s="499" t="str">
        <f t="shared" si="7"/>
        <v>A NÃO TEM MAIS POSTOS-88</v>
      </c>
      <c r="D45" s="909"/>
      <c r="E45" s="914"/>
      <c r="F45" s="915"/>
      <c r="G45" s="911"/>
      <c r="H45" s="912"/>
    </row>
    <row r="46" spans="2:8" ht="15.75" hidden="1" customHeight="1" outlineLevel="1">
      <c r="B46" s="499" t="str">
        <f t="shared" si="10"/>
        <v>JAGUARI</v>
      </c>
      <c r="C46" s="499" t="str">
        <f t="shared" si="7"/>
        <v>A NÃO TEM MAIS POSTOS-99</v>
      </c>
      <c r="D46" s="909"/>
      <c r="E46" s="914"/>
      <c r="F46" s="915"/>
      <c r="G46" s="911"/>
      <c r="H46" s="912"/>
    </row>
    <row r="47" spans="2:8" ht="15.75" customHeight="1">
      <c r="B47" s="916" t="str">
        <f t="shared" si="10"/>
        <v>JAGUARI</v>
      </c>
      <c r="C47" s="916" t="s">
        <v>340</v>
      </c>
      <c r="D47" s="917">
        <f>SUBTOTAL(9,D35:D46)</f>
        <v>3</v>
      </c>
      <c r="E47" s="918"/>
      <c r="F47" s="919"/>
      <c r="G47" s="919"/>
      <c r="H47" s="919">
        <f>SUBTOTAL(9,H35:H36)</f>
        <v>20110.43</v>
      </c>
    </row>
    <row r="48" spans="2:8" ht="15.75" customHeight="1">
      <c r="E48" s="897"/>
      <c r="F48" s="898"/>
    </row>
    <row r="49" spans="2:8" ht="15.75" customHeight="1">
      <c r="B49" s="499" t="str">
        <f>CAMPUS.CONTRATANTE!D13</f>
        <v xml:space="preserve">JULIO-DE-CASTILHOS </v>
      </c>
      <c r="C49" s="499" t="str">
        <f t="shared" ref="C49:C60" si="11">C35</f>
        <v>5132-05_COZINHEIRO_prepost_hs</v>
      </c>
      <c r="D49" s="909">
        <v>2</v>
      </c>
      <c r="E49" s="921">
        <v>1</v>
      </c>
      <c r="F49" s="910">
        <v>10171.16</v>
      </c>
      <c r="G49" s="911">
        <f t="shared" ref="G49:G50" si="12">F49</f>
        <v>10171.16</v>
      </c>
      <c r="H49" s="912">
        <f t="shared" ref="H49:H50" si="13">G49*D49</f>
        <v>20342.32</v>
      </c>
    </row>
    <row r="50" spans="2:8" ht="15.75" customHeight="1" collapsed="1">
      <c r="B50" s="499" t="str">
        <f t="shared" ref="B50:B61" si="14">B49</f>
        <v xml:space="preserve">JULIO-DE-CASTILHOS </v>
      </c>
      <c r="C50" s="499" t="str">
        <f t="shared" si="11"/>
        <v>5132-05_COZINHEIRO_geral_hs</v>
      </c>
      <c r="D50" s="909">
        <v>2</v>
      </c>
      <c r="E50" s="922">
        <v>1</v>
      </c>
      <c r="F50" s="913">
        <v>5085.53</v>
      </c>
      <c r="G50" s="911">
        <f t="shared" si="12"/>
        <v>5085.53</v>
      </c>
      <c r="H50" s="912">
        <f t="shared" si="13"/>
        <v>10171.06</v>
      </c>
    </row>
    <row r="51" spans="2:8" ht="15.75" hidden="1" customHeight="1" outlineLevel="1">
      <c r="B51" s="499" t="str">
        <f t="shared" si="14"/>
        <v xml:space="preserve">JULIO-DE-CASTILHOS </v>
      </c>
      <c r="C51" s="499" t="str">
        <f t="shared" si="11"/>
        <v>5135-05_AUX.COZINHA_hs</v>
      </c>
      <c r="D51" s="909"/>
      <c r="E51" s="914"/>
      <c r="F51" s="915"/>
      <c r="G51" s="911"/>
      <c r="H51" s="912"/>
    </row>
    <row r="52" spans="2:8" ht="15.75" hidden="1" customHeight="1" outlineLevel="1">
      <c r="B52" s="499" t="str">
        <f t="shared" si="14"/>
        <v xml:space="preserve">JULIO-DE-CASTILHOS </v>
      </c>
      <c r="C52" s="499" t="str">
        <f t="shared" si="11"/>
        <v>6220-10_JARDINEIRO_hs</v>
      </c>
      <c r="D52" s="909"/>
      <c r="E52" s="914"/>
      <c r="F52" s="915"/>
      <c r="G52" s="911"/>
      <c r="H52" s="912"/>
    </row>
    <row r="53" spans="2:8" ht="15.75" hidden="1" customHeight="1" outlineLevel="1">
      <c r="B53" s="499" t="str">
        <f t="shared" si="14"/>
        <v xml:space="preserve">JULIO-DE-CASTILHOS </v>
      </c>
      <c r="C53" s="499" t="str">
        <f t="shared" si="11"/>
        <v>A NÃO TEM MAIS POSTOS-22</v>
      </c>
      <c r="D53" s="909"/>
      <c r="E53" s="914"/>
      <c r="F53" s="915"/>
      <c r="G53" s="911"/>
      <c r="H53" s="912"/>
    </row>
    <row r="54" spans="2:8" ht="15.75" hidden="1" customHeight="1" outlineLevel="1">
      <c r="B54" s="499" t="str">
        <f t="shared" si="14"/>
        <v xml:space="preserve">JULIO-DE-CASTILHOS </v>
      </c>
      <c r="C54" s="499" t="str">
        <f t="shared" si="11"/>
        <v>A NÃO TEM MAIS POSTOS-33</v>
      </c>
      <c r="D54" s="909"/>
      <c r="E54" s="914"/>
      <c r="F54" s="915"/>
      <c r="G54" s="911"/>
      <c r="H54" s="912"/>
    </row>
    <row r="55" spans="2:8" ht="15.75" hidden="1" customHeight="1" outlineLevel="1">
      <c r="B55" s="499" t="str">
        <f t="shared" si="14"/>
        <v xml:space="preserve">JULIO-DE-CASTILHOS </v>
      </c>
      <c r="C55" s="499" t="str">
        <f t="shared" si="11"/>
        <v>A NÃO TEM MAIS POSTOS-44</v>
      </c>
      <c r="D55" s="909"/>
      <c r="E55" s="914"/>
      <c r="F55" s="915"/>
      <c r="G55" s="911"/>
      <c r="H55" s="912"/>
    </row>
    <row r="56" spans="2:8" ht="15.75" hidden="1" customHeight="1" outlineLevel="1">
      <c r="B56" s="499" t="str">
        <f t="shared" si="14"/>
        <v xml:space="preserve">JULIO-DE-CASTILHOS </v>
      </c>
      <c r="C56" s="499" t="str">
        <f t="shared" si="11"/>
        <v>A NÃO TEM MAIS POSTOS-55</v>
      </c>
      <c r="D56" s="909"/>
      <c r="E56" s="914"/>
      <c r="F56" s="915"/>
      <c r="G56" s="911"/>
      <c r="H56" s="912"/>
    </row>
    <row r="57" spans="2:8" ht="15.75" hidden="1" customHeight="1" outlineLevel="1">
      <c r="B57" s="499" t="str">
        <f t="shared" si="14"/>
        <v xml:space="preserve">JULIO-DE-CASTILHOS </v>
      </c>
      <c r="C57" s="499" t="str">
        <f t="shared" si="11"/>
        <v>A NÃO TEM MAIS POSTOS-66</v>
      </c>
      <c r="D57" s="909"/>
      <c r="E57" s="914"/>
      <c r="F57" s="915"/>
      <c r="G57" s="911"/>
      <c r="H57" s="912"/>
    </row>
    <row r="58" spans="2:8" ht="15.75" hidden="1" customHeight="1" outlineLevel="1">
      <c r="B58" s="499" t="str">
        <f t="shared" si="14"/>
        <v xml:space="preserve">JULIO-DE-CASTILHOS </v>
      </c>
      <c r="C58" s="499" t="str">
        <f t="shared" si="11"/>
        <v>A NÃO TEM MAIS POSTOS-77</v>
      </c>
      <c r="D58" s="909"/>
      <c r="E58" s="914"/>
      <c r="F58" s="915"/>
      <c r="G58" s="911"/>
      <c r="H58" s="912"/>
    </row>
    <row r="59" spans="2:8" ht="15.75" hidden="1" customHeight="1" outlineLevel="1">
      <c r="B59" s="499" t="str">
        <f t="shared" si="14"/>
        <v xml:space="preserve">JULIO-DE-CASTILHOS </v>
      </c>
      <c r="C59" s="499" t="str">
        <f t="shared" si="11"/>
        <v>A NÃO TEM MAIS POSTOS-88</v>
      </c>
      <c r="D59" s="909"/>
      <c r="E59" s="914"/>
      <c r="F59" s="915"/>
      <c r="G59" s="911"/>
      <c r="H59" s="912"/>
    </row>
    <row r="60" spans="2:8" ht="15.75" hidden="1" customHeight="1" outlineLevel="1">
      <c r="B60" s="499" t="str">
        <f t="shared" si="14"/>
        <v xml:space="preserve">JULIO-DE-CASTILHOS </v>
      </c>
      <c r="C60" s="499" t="str">
        <f t="shared" si="11"/>
        <v>A NÃO TEM MAIS POSTOS-99</v>
      </c>
      <c r="D60" s="909"/>
      <c r="E60" s="914"/>
      <c r="F60" s="915"/>
      <c r="G60" s="911"/>
      <c r="H60" s="912"/>
    </row>
    <row r="61" spans="2:8" ht="15.75" customHeight="1">
      <c r="B61" s="916" t="str">
        <f t="shared" si="14"/>
        <v xml:space="preserve">JULIO-DE-CASTILHOS </v>
      </c>
      <c r="C61" s="916"/>
      <c r="D61" s="917">
        <f>SUBTOTAL(9,D49:D60)</f>
        <v>4</v>
      </c>
      <c r="E61" s="918"/>
      <c r="F61" s="919"/>
      <c r="G61" s="919"/>
      <c r="H61" s="919">
        <f>SUBTOTAL(9,H49:H50)</f>
        <v>30513.379999999997</v>
      </c>
    </row>
    <row r="62" spans="2:8" ht="15.75" customHeight="1">
      <c r="E62" s="897"/>
      <c r="F62" s="898"/>
    </row>
    <row r="63" spans="2:8" ht="15.75" customHeight="1" outlineLevel="1">
      <c r="B63" s="499" t="str">
        <f>CAMPUS.CONTRATANTE!D14</f>
        <v xml:space="preserve">PANAMBI </v>
      </c>
      <c r="C63" s="499" t="str">
        <f t="shared" ref="C63:C74" si="15">C49</f>
        <v>5132-05_COZINHEIRO_prepost_hs</v>
      </c>
      <c r="D63" s="909">
        <v>1</v>
      </c>
      <c r="E63" s="921">
        <v>1</v>
      </c>
      <c r="F63" s="910">
        <v>9941.9500000000007</v>
      </c>
      <c r="G63" s="911">
        <f t="shared" ref="G63:G64" si="16">F63</f>
        <v>9941.9500000000007</v>
      </c>
      <c r="H63" s="912">
        <f t="shared" ref="H63:H64" si="17">G63*D63</f>
        <v>9941.9500000000007</v>
      </c>
    </row>
    <row r="64" spans="2:8" ht="15.75" customHeight="1" collapsed="1">
      <c r="B64" s="499" t="str">
        <f t="shared" ref="B64:B75" si="18">B63</f>
        <v xml:space="preserve">PANAMBI </v>
      </c>
      <c r="C64" s="499" t="str">
        <f t="shared" si="15"/>
        <v>5132-05_COZINHEIRO_geral_hs</v>
      </c>
      <c r="D64" s="909">
        <v>1</v>
      </c>
      <c r="E64" s="922">
        <v>1</v>
      </c>
      <c r="F64" s="913">
        <v>4970.93</v>
      </c>
      <c r="G64" s="911">
        <f t="shared" si="16"/>
        <v>4970.93</v>
      </c>
      <c r="H64" s="912">
        <f t="shared" si="17"/>
        <v>4970.93</v>
      </c>
    </row>
    <row r="65" spans="2:8" ht="15.75" hidden="1" customHeight="1" outlineLevel="1">
      <c r="B65" s="499" t="str">
        <f t="shared" si="18"/>
        <v xml:space="preserve">PANAMBI </v>
      </c>
      <c r="C65" s="499" t="str">
        <f t="shared" si="15"/>
        <v>5135-05_AUX.COZINHA_hs</v>
      </c>
      <c r="D65" s="909"/>
      <c r="E65" s="914"/>
      <c r="F65" s="915"/>
      <c r="G65" s="911"/>
      <c r="H65" s="912"/>
    </row>
    <row r="66" spans="2:8" ht="15.75" hidden="1" customHeight="1" outlineLevel="1">
      <c r="B66" s="499" t="str">
        <f t="shared" si="18"/>
        <v xml:space="preserve">PANAMBI </v>
      </c>
      <c r="C66" s="499" t="str">
        <f t="shared" si="15"/>
        <v>6220-10_JARDINEIRO_hs</v>
      </c>
      <c r="D66" s="909"/>
      <c r="E66" s="914"/>
      <c r="F66" s="915"/>
      <c r="G66" s="911"/>
      <c r="H66" s="912"/>
    </row>
    <row r="67" spans="2:8" ht="15.75" hidden="1" customHeight="1" outlineLevel="1">
      <c r="B67" s="499" t="str">
        <f t="shared" si="18"/>
        <v xml:space="preserve">PANAMBI </v>
      </c>
      <c r="C67" s="499" t="str">
        <f t="shared" si="15"/>
        <v>A NÃO TEM MAIS POSTOS-22</v>
      </c>
      <c r="D67" s="909"/>
      <c r="E67" s="914"/>
      <c r="F67" s="915"/>
      <c r="G67" s="911"/>
      <c r="H67" s="912"/>
    </row>
    <row r="68" spans="2:8" ht="15.75" hidden="1" customHeight="1" outlineLevel="1">
      <c r="B68" s="499" t="str">
        <f t="shared" si="18"/>
        <v xml:space="preserve">PANAMBI </v>
      </c>
      <c r="C68" s="499" t="str">
        <f t="shared" si="15"/>
        <v>A NÃO TEM MAIS POSTOS-33</v>
      </c>
      <c r="D68" s="909"/>
      <c r="E68" s="914"/>
      <c r="F68" s="915"/>
      <c r="G68" s="911"/>
      <c r="H68" s="912"/>
    </row>
    <row r="69" spans="2:8" ht="15.75" hidden="1" customHeight="1" outlineLevel="1">
      <c r="B69" s="499" t="str">
        <f t="shared" si="18"/>
        <v xml:space="preserve">PANAMBI </v>
      </c>
      <c r="C69" s="499" t="str">
        <f t="shared" si="15"/>
        <v>A NÃO TEM MAIS POSTOS-44</v>
      </c>
      <c r="D69" s="909"/>
      <c r="E69" s="914"/>
      <c r="F69" s="915"/>
      <c r="G69" s="911"/>
      <c r="H69" s="912"/>
    </row>
    <row r="70" spans="2:8" ht="15.75" hidden="1" customHeight="1" outlineLevel="1">
      <c r="B70" s="499" t="str">
        <f t="shared" si="18"/>
        <v xml:space="preserve">PANAMBI </v>
      </c>
      <c r="C70" s="499" t="str">
        <f t="shared" si="15"/>
        <v>A NÃO TEM MAIS POSTOS-55</v>
      </c>
      <c r="D70" s="909"/>
      <c r="E70" s="914"/>
      <c r="F70" s="915"/>
      <c r="G70" s="911"/>
      <c r="H70" s="912"/>
    </row>
    <row r="71" spans="2:8" ht="15.75" hidden="1" customHeight="1" outlineLevel="1">
      <c r="B71" s="499" t="str">
        <f t="shared" si="18"/>
        <v xml:space="preserve">PANAMBI </v>
      </c>
      <c r="C71" s="499" t="str">
        <f t="shared" si="15"/>
        <v>A NÃO TEM MAIS POSTOS-66</v>
      </c>
      <c r="D71" s="909"/>
      <c r="E71" s="914"/>
      <c r="F71" s="915"/>
      <c r="G71" s="911"/>
      <c r="H71" s="912"/>
    </row>
    <row r="72" spans="2:8" ht="15.75" hidden="1" customHeight="1" outlineLevel="1">
      <c r="B72" s="499" t="str">
        <f t="shared" si="18"/>
        <v xml:space="preserve">PANAMBI </v>
      </c>
      <c r="C72" s="499" t="str">
        <f t="shared" si="15"/>
        <v>A NÃO TEM MAIS POSTOS-77</v>
      </c>
      <c r="D72" s="909"/>
      <c r="E72" s="914"/>
      <c r="F72" s="915"/>
      <c r="G72" s="911"/>
      <c r="H72" s="912"/>
    </row>
    <row r="73" spans="2:8" ht="15.75" hidden="1" customHeight="1" outlineLevel="1">
      <c r="B73" s="499" t="str">
        <f t="shared" si="18"/>
        <v xml:space="preserve">PANAMBI </v>
      </c>
      <c r="C73" s="499" t="str">
        <f t="shared" si="15"/>
        <v>A NÃO TEM MAIS POSTOS-88</v>
      </c>
      <c r="D73" s="909"/>
      <c r="E73" s="914"/>
      <c r="F73" s="915"/>
      <c r="G73" s="911"/>
      <c r="H73" s="912"/>
    </row>
    <row r="74" spans="2:8" ht="15.75" hidden="1" customHeight="1" outlineLevel="1">
      <c r="B74" s="499" t="str">
        <f t="shared" si="18"/>
        <v xml:space="preserve">PANAMBI </v>
      </c>
      <c r="C74" s="499" t="str">
        <f t="shared" si="15"/>
        <v>A NÃO TEM MAIS POSTOS-99</v>
      </c>
      <c r="D74" s="909"/>
      <c r="E74" s="914"/>
      <c r="F74" s="915"/>
      <c r="G74" s="911"/>
      <c r="H74" s="912"/>
    </row>
    <row r="75" spans="2:8" ht="15.75" customHeight="1">
      <c r="B75" s="916" t="str">
        <f t="shared" si="18"/>
        <v xml:space="preserve">PANAMBI </v>
      </c>
      <c r="C75" s="916"/>
      <c r="D75" s="917">
        <f>SUBTOTAL(9,D63:D74)</f>
        <v>2</v>
      </c>
      <c r="E75" s="918"/>
      <c r="F75" s="919"/>
      <c r="G75" s="919"/>
      <c r="H75" s="919">
        <f>SUBTOTAL(9,H63:H64)</f>
        <v>14912.880000000001</v>
      </c>
    </row>
    <row r="76" spans="2:8" ht="15.75" customHeight="1">
      <c r="E76" s="897"/>
      <c r="F76" s="898"/>
    </row>
    <row r="77" spans="2:8" ht="15.75" hidden="1" customHeight="1">
      <c r="B77" s="499" t="str">
        <f>CAMPUS.CONTRATANTE!D15</f>
        <v>SANTA-MARIA</v>
      </c>
      <c r="C77" s="499" t="str">
        <f t="shared" ref="C77:C88" si="19">C63</f>
        <v>5132-05_COZINHEIRO_prepost_hs</v>
      </c>
      <c r="D77" s="909">
        <v>0</v>
      </c>
      <c r="E77" s="909">
        <v>9006.2200000000012</v>
      </c>
      <c r="F77" s="923">
        <v>15663.75</v>
      </c>
      <c r="G77" s="911">
        <v>15663.75</v>
      </c>
      <c r="H77" s="912">
        <v>0</v>
      </c>
    </row>
    <row r="78" spans="2:8" ht="15.75" customHeight="1" collapsed="1">
      <c r="B78" s="499" t="str">
        <f t="shared" ref="B78:B89" si="20">B77</f>
        <v>SANTA-MARIA</v>
      </c>
      <c r="C78" s="499" t="str">
        <f t="shared" si="19"/>
        <v>5132-05_COZINHEIRO_geral_hs</v>
      </c>
      <c r="D78" s="909">
        <v>1</v>
      </c>
      <c r="E78" s="921">
        <v>1</v>
      </c>
      <c r="F78" s="910">
        <v>5085.53</v>
      </c>
      <c r="G78" s="911">
        <f>F78</f>
        <v>5085.53</v>
      </c>
      <c r="H78" s="912">
        <f>G78*D78</f>
        <v>5085.53</v>
      </c>
    </row>
    <row r="79" spans="2:8" ht="15.75" hidden="1" customHeight="1" outlineLevel="1">
      <c r="B79" s="499" t="str">
        <f t="shared" si="20"/>
        <v>SANTA-MARIA</v>
      </c>
      <c r="C79" s="499" t="str">
        <f t="shared" si="19"/>
        <v>5135-05_AUX.COZINHA_hs</v>
      </c>
      <c r="D79" s="909"/>
      <c r="E79" s="914"/>
      <c r="F79" s="915"/>
      <c r="G79" s="911"/>
      <c r="H79" s="912"/>
    </row>
    <row r="80" spans="2:8" ht="15.75" hidden="1" customHeight="1" outlineLevel="1">
      <c r="B80" s="499" t="str">
        <f t="shared" si="20"/>
        <v>SANTA-MARIA</v>
      </c>
      <c r="C80" s="499" t="str">
        <f t="shared" si="19"/>
        <v>6220-10_JARDINEIRO_hs</v>
      </c>
      <c r="D80" s="909"/>
      <c r="E80" s="914"/>
      <c r="F80" s="915"/>
      <c r="G80" s="911"/>
      <c r="H80" s="912"/>
    </row>
    <row r="81" spans="2:8" ht="15.75" hidden="1" customHeight="1" outlineLevel="1">
      <c r="B81" s="499" t="str">
        <f t="shared" si="20"/>
        <v>SANTA-MARIA</v>
      </c>
      <c r="C81" s="499" t="str">
        <f t="shared" si="19"/>
        <v>A NÃO TEM MAIS POSTOS-22</v>
      </c>
      <c r="D81" s="909"/>
      <c r="E81" s="914"/>
      <c r="F81" s="915"/>
      <c r="G81" s="911"/>
      <c r="H81" s="912"/>
    </row>
    <row r="82" spans="2:8" ht="15.75" hidden="1" customHeight="1" outlineLevel="1">
      <c r="B82" s="499" t="str">
        <f t="shared" si="20"/>
        <v>SANTA-MARIA</v>
      </c>
      <c r="C82" s="499" t="str">
        <f t="shared" si="19"/>
        <v>A NÃO TEM MAIS POSTOS-33</v>
      </c>
      <c r="D82" s="909"/>
      <c r="E82" s="914"/>
      <c r="F82" s="915"/>
      <c r="G82" s="911"/>
      <c r="H82" s="912"/>
    </row>
    <row r="83" spans="2:8" ht="15.75" hidden="1" customHeight="1" outlineLevel="1">
      <c r="B83" s="499" t="str">
        <f t="shared" si="20"/>
        <v>SANTA-MARIA</v>
      </c>
      <c r="C83" s="499" t="str">
        <f t="shared" si="19"/>
        <v>A NÃO TEM MAIS POSTOS-44</v>
      </c>
      <c r="D83" s="909"/>
      <c r="E83" s="914"/>
      <c r="F83" s="915"/>
      <c r="G83" s="911"/>
      <c r="H83" s="912"/>
    </row>
    <row r="84" spans="2:8" ht="15.75" hidden="1" customHeight="1" outlineLevel="1">
      <c r="B84" s="499" t="str">
        <f t="shared" si="20"/>
        <v>SANTA-MARIA</v>
      </c>
      <c r="C84" s="499" t="str">
        <f t="shared" si="19"/>
        <v>A NÃO TEM MAIS POSTOS-55</v>
      </c>
      <c r="D84" s="909"/>
      <c r="E84" s="914"/>
      <c r="F84" s="915"/>
      <c r="G84" s="911"/>
      <c r="H84" s="912"/>
    </row>
    <row r="85" spans="2:8" ht="15.75" hidden="1" customHeight="1" outlineLevel="1">
      <c r="B85" s="499" t="str">
        <f t="shared" si="20"/>
        <v>SANTA-MARIA</v>
      </c>
      <c r="C85" s="499" t="str">
        <f t="shared" si="19"/>
        <v>A NÃO TEM MAIS POSTOS-66</v>
      </c>
      <c r="D85" s="909"/>
      <c r="E85" s="914"/>
      <c r="F85" s="915"/>
      <c r="G85" s="911"/>
      <c r="H85" s="912"/>
    </row>
    <row r="86" spans="2:8" ht="15.75" hidden="1" customHeight="1" outlineLevel="1">
      <c r="B86" s="499" t="str">
        <f t="shared" si="20"/>
        <v>SANTA-MARIA</v>
      </c>
      <c r="C86" s="499" t="str">
        <f t="shared" si="19"/>
        <v>A NÃO TEM MAIS POSTOS-77</v>
      </c>
      <c r="D86" s="909"/>
      <c r="E86" s="914"/>
      <c r="F86" s="915"/>
      <c r="G86" s="911"/>
      <c r="H86" s="912"/>
    </row>
    <row r="87" spans="2:8" ht="15.75" hidden="1" customHeight="1" outlineLevel="1">
      <c r="B87" s="499" t="str">
        <f t="shared" si="20"/>
        <v>SANTA-MARIA</v>
      </c>
      <c r="C87" s="499" t="str">
        <f t="shared" si="19"/>
        <v>A NÃO TEM MAIS POSTOS-88</v>
      </c>
      <c r="D87" s="909"/>
      <c r="E87" s="914"/>
      <c r="F87" s="915"/>
      <c r="G87" s="911"/>
      <c r="H87" s="912"/>
    </row>
    <row r="88" spans="2:8" ht="15.75" hidden="1" customHeight="1" outlineLevel="1">
      <c r="B88" s="499" t="str">
        <f t="shared" si="20"/>
        <v>SANTA-MARIA</v>
      </c>
      <c r="C88" s="499" t="str">
        <f t="shared" si="19"/>
        <v>A NÃO TEM MAIS POSTOS-99</v>
      </c>
      <c r="D88" s="909"/>
      <c r="E88" s="914"/>
      <c r="F88" s="915"/>
      <c r="G88" s="911"/>
      <c r="H88" s="912"/>
    </row>
    <row r="89" spans="2:8" ht="15.75" customHeight="1">
      <c r="B89" s="916" t="str">
        <f t="shared" si="20"/>
        <v>SANTA-MARIA</v>
      </c>
      <c r="C89" s="916"/>
      <c r="D89" s="917">
        <f>SUBTOTAL(9,D77:D88)</f>
        <v>1</v>
      </c>
      <c r="E89" s="918"/>
      <c r="F89" s="919"/>
      <c r="G89" s="919"/>
      <c r="H89" s="919">
        <f>SUBTOTAL(9,H77:H78)</f>
        <v>5085.53</v>
      </c>
    </row>
    <row r="90" spans="2:8" ht="15.75" customHeight="1">
      <c r="E90" s="897"/>
      <c r="F90" s="898"/>
    </row>
    <row r="91" spans="2:8" ht="15.75" customHeight="1">
      <c r="B91" s="499" t="str">
        <f>CAMPUS.CONTRATANTE!D16</f>
        <v xml:space="preserve">SANTA-ROSA </v>
      </c>
      <c r="C91" s="499" t="str">
        <f t="shared" ref="C91:C102" si="21">C77</f>
        <v>5132-05_COZINHEIRO_prepost_hs</v>
      </c>
      <c r="D91" s="909">
        <v>1</v>
      </c>
      <c r="E91" s="921">
        <v>1</v>
      </c>
      <c r="F91" s="910">
        <v>10055.25</v>
      </c>
      <c r="G91" s="911">
        <f t="shared" ref="G91:G92" si="22">F91</f>
        <v>10055.25</v>
      </c>
      <c r="H91" s="912">
        <f t="shared" ref="H91:H92" si="23">G91*D91</f>
        <v>10055.25</v>
      </c>
    </row>
    <row r="92" spans="2:8" ht="15.75" customHeight="1" collapsed="1">
      <c r="B92" s="499" t="str">
        <f t="shared" ref="B92:B103" si="24">B91</f>
        <v xml:space="preserve">SANTA-ROSA </v>
      </c>
      <c r="C92" s="499" t="str">
        <f t="shared" si="21"/>
        <v>5132-05_COZINHEIRO_geral_hs</v>
      </c>
      <c r="D92" s="909">
        <v>1</v>
      </c>
      <c r="E92" s="922">
        <v>1</v>
      </c>
      <c r="F92" s="913">
        <v>5027.59</v>
      </c>
      <c r="G92" s="911">
        <f t="shared" si="22"/>
        <v>5027.59</v>
      </c>
      <c r="H92" s="912">
        <f t="shared" si="23"/>
        <v>5027.59</v>
      </c>
    </row>
    <row r="93" spans="2:8" ht="15.75" hidden="1" customHeight="1" outlineLevel="1">
      <c r="B93" s="499" t="str">
        <f t="shared" si="24"/>
        <v xml:space="preserve">SANTA-ROSA </v>
      </c>
      <c r="C93" s="499" t="str">
        <f t="shared" si="21"/>
        <v>5135-05_AUX.COZINHA_hs</v>
      </c>
      <c r="D93" s="909"/>
      <c r="E93" s="914"/>
      <c r="F93" s="915"/>
      <c r="G93" s="911"/>
      <c r="H93" s="912"/>
    </row>
    <row r="94" spans="2:8" ht="15.75" hidden="1" customHeight="1" outlineLevel="1">
      <c r="B94" s="499" t="str">
        <f t="shared" si="24"/>
        <v xml:space="preserve">SANTA-ROSA </v>
      </c>
      <c r="C94" s="499" t="str">
        <f t="shared" si="21"/>
        <v>6220-10_JARDINEIRO_hs</v>
      </c>
      <c r="D94" s="909"/>
      <c r="E94" s="914"/>
      <c r="F94" s="915"/>
      <c r="G94" s="911"/>
      <c r="H94" s="912"/>
    </row>
    <row r="95" spans="2:8" ht="15.75" hidden="1" customHeight="1" outlineLevel="1">
      <c r="B95" s="499" t="str">
        <f t="shared" si="24"/>
        <v xml:space="preserve">SANTA-ROSA </v>
      </c>
      <c r="C95" s="499" t="str">
        <f t="shared" si="21"/>
        <v>A NÃO TEM MAIS POSTOS-22</v>
      </c>
      <c r="D95" s="909"/>
      <c r="E95" s="914"/>
      <c r="F95" s="915"/>
      <c r="G95" s="911"/>
      <c r="H95" s="912"/>
    </row>
    <row r="96" spans="2:8" ht="15.75" hidden="1" customHeight="1" outlineLevel="1">
      <c r="B96" s="499" t="str">
        <f t="shared" si="24"/>
        <v xml:space="preserve">SANTA-ROSA </v>
      </c>
      <c r="C96" s="499" t="str">
        <f t="shared" si="21"/>
        <v>A NÃO TEM MAIS POSTOS-33</v>
      </c>
      <c r="D96" s="909"/>
      <c r="E96" s="914"/>
      <c r="F96" s="915"/>
      <c r="G96" s="911"/>
      <c r="H96" s="912"/>
    </row>
    <row r="97" spans="2:8" ht="15.75" hidden="1" customHeight="1" outlineLevel="1">
      <c r="B97" s="499" t="str">
        <f t="shared" si="24"/>
        <v xml:space="preserve">SANTA-ROSA </v>
      </c>
      <c r="C97" s="499" t="str">
        <f t="shared" si="21"/>
        <v>A NÃO TEM MAIS POSTOS-44</v>
      </c>
      <c r="D97" s="909"/>
      <c r="E97" s="914"/>
      <c r="F97" s="915"/>
      <c r="G97" s="911"/>
      <c r="H97" s="912"/>
    </row>
    <row r="98" spans="2:8" ht="15.75" hidden="1" customHeight="1" outlineLevel="1">
      <c r="B98" s="499" t="str">
        <f t="shared" si="24"/>
        <v xml:space="preserve">SANTA-ROSA </v>
      </c>
      <c r="C98" s="499" t="str">
        <f t="shared" si="21"/>
        <v>A NÃO TEM MAIS POSTOS-55</v>
      </c>
      <c r="D98" s="909"/>
      <c r="E98" s="914"/>
      <c r="F98" s="915"/>
      <c r="G98" s="911"/>
      <c r="H98" s="912"/>
    </row>
    <row r="99" spans="2:8" ht="15.75" hidden="1" customHeight="1" outlineLevel="1">
      <c r="B99" s="499" t="str">
        <f t="shared" si="24"/>
        <v xml:space="preserve">SANTA-ROSA </v>
      </c>
      <c r="C99" s="499" t="str">
        <f t="shared" si="21"/>
        <v>A NÃO TEM MAIS POSTOS-66</v>
      </c>
      <c r="D99" s="909"/>
      <c r="E99" s="914"/>
      <c r="F99" s="915"/>
      <c r="G99" s="911"/>
      <c r="H99" s="912"/>
    </row>
    <row r="100" spans="2:8" ht="15.75" hidden="1" customHeight="1" outlineLevel="1">
      <c r="B100" s="499" t="str">
        <f t="shared" si="24"/>
        <v xml:space="preserve">SANTA-ROSA </v>
      </c>
      <c r="C100" s="499" t="str">
        <f t="shared" si="21"/>
        <v>A NÃO TEM MAIS POSTOS-77</v>
      </c>
      <c r="D100" s="909"/>
      <c r="E100" s="914"/>
      <c r="F100" s="915"/>
      <c r="G100" s="911"/>
      <c r="H100" s="912"/>
    </row>
    <row r="101" spans="2:8" ht="15.75" hidden="1" customHeight="1" outlineLevel="1">
      <c r="B101" s="499" t="str">
        <f t="shared" si="24"/>
        <v xml:space="preserve">SANTA-ROSA </v>
      </c>
      <c r="C101" s="499" t="str">
        <f t="shared" si="21"/>
        <v>A NÃO TEM MAIS POSTOS-88</v>
      </c>
      <c r="D101" s="909"/>
      <c r="E101" s="914"/>
      <c r="F101" s="915"/>
      <c r="G101" s="911"/>
      <c r="H101" s="912"/>
    </row>
    <row r="102" spans="2:8" ht="15.75" hidden="1" customHeight="1" outlineLevel="1">
      <c r="B102" s="499" t="str">
        <f t="shared" si="24"/>
        <v xml:space="preserve">SANTA-ROSA </v>
      </c>
      <c r="C102" s="499" t="str">
        <f t="shared" si="21"/>
        <v>A NÃO TEM MAIS POSTOS-99</v>
      </c>
      <c r="D102" s="909"/>
      <c r="E102" s="914"/>
      <c r="F102" s="915"/>
      <c r="G102" s="911"/>
      <c r="H102" s="912"/>
    </row>
    <row r="103" spans="2:8" ht="15.75" customHeight="1">
      <c r="B103" s="916" t="str">
        <f t="shared" si="24"/>
        <v xml:space="preserve">SANTA-ROSA </v>
      </c>
      <c r="C103" s="916"/>
      <c r="D103" s="917">
        <f>SUBTOTAL(9,D91:D102)</f>
        <v>2</v>
      </c>
      <c r="E103" s="918"/>
      <c r="F103" s="919"/>
      <c r="G103" s="919"/>
      <c r="H103" s="919">
        <f>SUBTOTAL(9,H91:H92)</f>
        <v>15082.84</v>
      </c>
    </row>
    <row r="104" spans="2:8" ht="15.75" customHeight="1">
      <c r="E104" s="897"/>
      <c r="F104" s="898"/>
    </row>
    <row r="105" spans="2:8" ht="15.75" customHeight="1">
      <c r="B105" s="499" t="str">
        <f>CAMPUS.CONTRATANTE!D17</f>
        <v xml:space="preserve">SANTO-ANGELO </v>
      </c>
      <c r="C105" s="499" t="str">
        <f t="shared" ref="C105:C116" si="25">C91</f>
        <v>5132-05_COZINHEIRO_prepost_hs</v>
      </c>
      <c r="D105" s="909">
        <v>3</v>
      </c>
      <c r="E105" s="921">
        <v>1</v>
      </c>
      <c r="F105" s="910">
        <v>10055.25</v>
      </c>
      <c r="G105" s="911">
        <f t="shared" ref="G105:G106" si="26">F105</f>
        <v>10055.25</v>
      </c>
      <c r="H105" s="912">
        <f t="shared" ref="H105:H106" si="27">G105*D105</f>
        <v>30165.75</v>
      </c>
    </row>
    <row r="106" spans="2:8" ht="15.75" customHeight="1" collapsed="1">
      <c r="B106" s="499" t="str">
        <f t="shared" ref="B106:B117" si="28">B105</f>
        <v xml:space="preserve">SANTO-ANGELO </v>
      </c>
      <c r="C106" s="499" t="str">
        <f t="shared" si="25"/>
        <v>5132-05_COZINHEIRO_geral_hs</v>
      </c>
      <c r="D106" s="909">
        <v>1</v>
      </c>
      <c r="E106" s="922">
        <v>1</v>
      </c>
      <c r="F106" s="913">
        <v>5027.59</v>
      </c>
      <c r="G106" s="911">
        <f t="shared" si="26"/>
        <v>5027.59</v>
      </c>
      <c r="H106" s="912">
        <f t="shared" si="27"/>
        <v>5027.59</v>
      </c>
    </row>
    <row r="107" spans="2:8" ht="15.75" hidden="1" customHeight="1" outlineLevel="1">
      <c r="B107" s="499" t="str">
        <f t="shared" si="28"/>
        <v xml:space="preserve">SANTO-ANGELO </v>
      </c>
      <c r="C107" s="499" t="str">
        <f t="shared" si="25"/>
        <v>5135-05_AUX.COZINHA_hs</v>
      </c>
      <c r="D107" s="909"/>
      <c r="E107" s="914"/>
      <c r="F107" s="915"/>
      <c r="G107" s="911"/>
      <c r="H107" s="912"/>
    </row>
    <row r="108" spans="2:8" ht="15.75" hidden="1" customHeight="1" outlineLevel="1">
      <c r="B108" s="499" t="str">
        <f t="shared" si="28"/>
        <v xml:space="preserve">SANTO-ANGELO </v>
      </c>
      <c r="C108" s="499" t="str">
        <f t="shared" si="25"/>
        <v>6220-10_JARDINEIRO_hs</v>
      </c>
      <c r="D108" s="909"/>
      <c r="E108" s="914"/>
      <c r="F108" s="915"/>
      <c r="G108" s="911"/>
      <c r="H108" s="912"/>
    </row>
    <row r="109" spans="2:8" ht="15.75" hidden="1" customHeight="1" outlineLevel="1">
      <c r="B109" s="499" t="str">
        <f t="shared" si="28"/>
        <v xml:space="preserve">SANTO-ANGELO </v>
      </c>
      <c r="C109" s="499" t="str">
        <f t="shared" si="25"/>
        <v>A NÃO TEM MAIS POSTOS-22</v>
      </c>
      <c r="D109" s="909"/>
      <c r="E109" s="914"/>
      <c r="F109" s="915"/>
      <c r="G109" s="911"/>
      <c r="H109" s="912"/>
    </row>
    <row r="110" spans="2:8" ht="15.75" hidden="1" customHeight="1" outlineLevel="1">
      <c r="B110" s="499" t="str">
        <f t="shared" si="28"/>
        <v xml:space="preserve">SANTO-ANGELO </v>
      </c>
      <c r="C110" s="499" t="str">
        <f t="shared" si="25"/>
        <v>A NÃO TEM MAIS POSTOS-33</v>
      </c>
      <c r="D110" s="909"/>
      <c r="E110" s="914"/>
      <c r="F110" s="915"/>
      <c r="G110" s="911"/>
      <c r="H110" s="912"/>
    </row>
    <row r="111" spans="2:8" ht="15.75" hidden="1" customHeight="1" outlineLevel="1">
      <c r="B111" s="499" t="str">
        <f t="shared" si="28"/>
        <v xml:space="preserve">SANTO-ANGELO </v>
      </c>
      <c r="C111" s="499" t="str">
        <f t="shared" si="25"/>
        <v>A NÃO TEM MAIS POSTOS-44</v>
      </c>
      <c r="D111" s="909"/>
      <c r="E111" s="914"/>
      <c r="F111" s="915"/>
      <c r="G111" s="911"/>
      <c r="H111" s="912"/>
    </row>
    <row r="112" spans="2:8" ht="15.75" hidden="1" customHeight="1" outlineLevel="1">
      <c r="B112" s="499" t="str">
        <f t="shared" si="28"/>
        <v xml:space="preserve">SANTO-ANGELO </v>
      </c>
      <c r="C112" s="499" t="str">
        <f t="shared" si="25"/>
        <v>A NÃO TEM MAIS POSTOS-55</v>
      </c>
      <c r="D112" s="909"/>
      <c r="E112" s="914"/>
      <c r="F112" s="915"/>
      <c r="G112" s="911"/>
      <c r="H112" s="912"/>
    </row>
    <row r="113" spans="2:8" ht="15.75" hidden="1" customHeight="1" outlineLevel="1">
      <c r="B113" s="499" t="str">
        <f t="shared" si="28"/>
        <v xml:space="preserve">SANTO-ANGELO </v>
      </c>
      <c r="C113" s="499" t="str">
        <f t="shared" si="25"/>
        <v>A NÃO TEM MAIS POSTOS-66</v>
      </c>
      <c r="D113" s="909"/>
      <c r="E113" s="914"/>
      <c r="F113" s="915"/>
      <c r="G113" s="911"/>
      <c r="H113" s="912"/>
    </row>
    <row r="114" spans="2:8" ht="15.75" hidden="1" customHeight="1" outlineLevel="1">
      <c r="B114" s="499" t="str">
        <f t="shared" si="28"/>
        <v xml:space="preserve">SANTO-ANGELO </v>
      </c>
      <c r="C114" s="499" t="str">
        <f t="shared" si="25"/>
        <v>A NÃO TEM MAIS POSTOS-77</v>
      </c>
      <c r="D114" s="909"/>
      <c r="E114" s="914"/>
      <c r="F114" s="915"/>
      <c r="G114" s="911"/>
      <c r="H114" s="912"/>
    </row>
    <row r="115" spans="2:8" ht="15.75" hidden="1" customHeight="1" outlineLevel="1">
      <c r="B115" s="499" t="str">
        <f t="shared" si="28"/>
        <v xml:space="preserve">SANTO-ANGELO </v>
      </c>
      <c r="C115" s="499" t="str">
        <f t="shared" si="25"/>
        <v>A NÃO TEM MAIS POSTOS-88</v>
      </c>
      <c r="D115" s="909"/>
      <c r="E115" s="914"/>
      <c r="F115" s="915"/>
      <c r="G115" s="911"/>
      <c r="H115" s="912"/>
    </row>
    <row r="116" spans="2:8" ht="15.75" hidden="1" customHeight="1" outlineLevel="1">
      <c r="B116" s="499" t="str">
        <f t="shared" si="28"/>
        <v xml:space="preserve">SANTO-ANGELO </v>
      </c>
      <c r="C116" s="499" t="str">
        <f t="shared" si="25"/>
        <v>A NÃO TEM MAIS POSTOS-99</v>
      </c>
      <c r="D116" s="909"/>
      <c r="E116" s="914"/>
      <c r="F116" s="915"/>
      <c r="G116" s="911"/>
      <c r="H116" s="912"/>
    </row>
    <row r="117" spans="2:8" ht="15.75" customHeight="1">
      <c r="B117" s="916" t="str">
        <f t="shared" si="28"/>
        <v xml:space="preserve">SANTO-ANGELO </v>
      </c>
      <c r="C117" s="916"/>
      <c r="D117" s="917">
        <f>SUBTOTAL(9,D105:D116)</f>
        <v>4</v>
      </c>
      <c r="E117" s="918"/>
      <c r="F117" s="919"/>
      <c r="G117" s="919"/>
      <c r="H117" s="919">
        <f>SUBTOTAL(9,H105:H106)</f>
        <v>35193.339999999997</v>
      </c>
    </row>
    <row r="118" spans="2:8" ht="15.75" customHeight="1">
      <c r="E118" s="897"/>
      <c r="F118" s="898"/>
    </row>
    <row r="119" spans="2:8" ht="15.75" customHeight="1">
      <c r="B119" s="499" t="str">
        <f>CAMPUS.CONTRATANTE!D18</f>
        <v xml:space="preserve">SANTO-AUGUSTO </v>
      </c>
      <c r="C119" s="499" t="str">
        <f t="shared" ref="C119:C130" si="29">C105</f>
        <v>5132-05_COZINHEIRO_prepost_hs</v>
      </c>
      <c r="D119" s="909">
        <v>1</v>
      </c>
      <c r="E119" s="921">
        <v>1</v>
      </c>
      <c r="F119" s="910">
        <v>10055.25</v>
      </c>
      <c r="G119" s="911">
        <f t="shared" ref="G119:G120" si="30">F119</f>
        <v>10055.25</v>
      </c>
      <c r="H119" s="912">
        <f t="shared" ref="H119:H120" si="31">G119*D119</f>
        <v>10055.25</v>
      </c>
    </row>
    <row r="120" spans="2:8" ht="15.75" customHeight="1" collapsed="1">
      <c r="B120" s="499" t="str">
        <f t="shared" ref="B120:B131" si="32">B119</f>
        <v xml:space="preserve">SANTO-AUGUSTO </v>
      </c>
      <c r="C120" s="499" t="str">
        <f t="shared" si="29"/>
        <v>5132-05_COZINHEIRO_geral_hs</v>
      </c>
      <c r="D120" s="909">
        <v>2</v>
      </c>
      <c r="E120" s="922">
        <v>1</v>
      </c>
      <c r="F120" s="913">
        <v>5027.59</v>
      </c>
      <c r="G120" s="911">
        <f t="shared" si="30"/>
        <v>5027.59</v>
      </c>
      <c r="H120" s="912">
        <f t="shared" si="31"/>
        <v>10055.18</v>
      </c>
    </row>
    <row r="121" spans="2:8" ht="15.75" hidden="1" customHeight="1" outlineLevel="1">
      <c r="B121" s="499" t="str">
        <f t="shared" si="32"/>
        <v xml:space="preserve">SANTO-AUGUSTO </v>
      </c>
      <c r="C121" s="499" t="str">
        <f t="shared" si="29"/>
        <v>5135-05_AUX.COZINHA_hs</v>
      </c>
      <c r="D121" s="909"/>
      <c r="E121" s="914"/>
      <c r="F121" s="915"/>
      <c r="G121" s="911"/>
      <c r="H121" s="912"/>
    </row>
    <row r="122" spans="2:8" ht="15.75" hidden="1" customHeight="1" outlineLevel="1">
      <c r="B122" s="499" t="str">
        <f t="shared" si="32"/>
        <v xml:space="preserve">SANTO-AUGUSTO </v>
      </c>
      <c r="C122" s="499" t="str">
        <f t="shared" si="29"/>
        <v>6220-10_JARDINEIRO_hs</v>
      </c>
      <c r="D122" s="909"/>
      <c r="E122" s="914"/>
      <c r="F122" s="915"/>
      <c r="G122" s="911"/>
      <c r="H122" s="912"/>
    </row>
    <row r="123" spans="2:8" ht="15.75" hidden="1" customHeight="1" outlineLevel="1">
      <c r="B123" s="499" t="str">
        <f t="shared" si="32"/>
        <v xml:space="preserve">SANTO-AUGUSTO </v>
      </c>
      <c r="C123" s="499" t="str">
        <f t="shared" si="29"/>
        <v>A NÃO TEM MAIS POSTOS-22</v>
      </c>
      <c r="D123" s="909"/>
      <c r="E123" s="914"/>
      <c r="F123" s="915"/>
      <c r="G123" s="911"/>
      <c r="H123" s="912"/>
    </row>
    <row r="124" spans="2:8" ht="15.75" hidden="1" customHeight="1" outlineLevel="1">
      <c r="B124" s="499" t="str">
        <f t="shared" si="32"/>
        <v xml:space="preserve">SANTO-AUGUSTO </v>
      </c>
      <c r="C124" s="499" t="str">
        <f t="shared" si="29"/>
        <v>A NÃO TEM MAIS POSTOS-33</v>
      </c>
      <c r="D124" s="909"/>
      <c r="E124" s="914"/>
      <c r="F124" s="915"/>
      <c r="G124" s="911"/>
      <c r="H124" s="912"/>
    </row>
    <row r="125" spans="2:8" ht="15.75" hidden="1" customHeight="1" outlineLevel="1">
      <c r="B125" s="499" t="str">
        <f t="shared" si="32"/>
        <v xml:space="preserve">SANTO-AUGUSTO </v>
      </c>
      <c r="C125" s="499" t="str">
        <f t="shared" si="29"/>
        <v>A NÃO TEM MAIS POSTOS-44</v>
      </c>
      <c r="D125" s="909"/>
      <c r="E125" s="914"/>
      <c r="F125" s="915"/>
      <c r="G125" s="911"/>
      <c r="H125" s="912"/>
    </row>
    <row r="126" spans="2:8" ht="15.75" hidden="1" customHeight="1" outlineLevel="1">
      <c r="B126" s="499" t="str">
        <f t="shared" si="32"/>
        <v xml:space="preserve">SANTO-AUGUSTO </v>
      </c>
      <c r="C126" s="499" t="str">
        <f t="shared" si="29"/>
        <v>A NÃO TEM MAIS POSTOS-55</v>
      </c>
      <c r="D126" s="909"/>
      <c r="E126" s="914"/>
      <c r="F126" s="915"/>
      <c r="G126" s="911"/>
      <c r="H126" s="912"/>
    </row>
    <row r="127" spans="2:8" ht="15.75" hidden="1" customHeight="1" outlineLevel="1">
      <c r="B127" s="499" t="str">
        <f t="shared" si="32"/>
        <v xml:space="preserve">SANTO-AUGUSTO </v>
      </c>
      <c r="C127" s="499" t="str">
        <f t="shared" si="29"/>
        <v>A NÃO TEM MAIS POSTOS-66</v>
      </c>
      <c r="D127" s="909"/>
      <c r="E127" s="914"/>
      <c r="F127" s="915"/>
      <c r="G127" s="911"/>
      <c r="H127" s="912"/>
    </row>
    <row r="128" spans="2:8" ht="15.75" hidden="1" customHeight="1" outlineLevel="1">
      <c r="B128" s="499" t="str">
        <f t="shared" si="32"/>
        <v xml:space="preserve">SANTO-AUGUSTO </v>
      </c>
      <c r="C128" s="499" t="str">
        <f t="shared" si="29"/>
        <v>A NÃO TEM MAIS POSTOS-77</v>
      </c>
      <c r="D128" s="909"/>
      <c r="E128" s="914"/>
      <c r="F128" s="915"/>
      <c r="G128" s="911"/>
      <c r="H128" s="912"/>
    </row>
    <row r="129" spans="2:8" ht="15.75" hidden="1" customHeight="1" outlineLevel="1">
      <c r="B129" s="499" t="str">
        <f t="shared" si="32"/>
        <v xml:space="preserve">SANTO-AUGUSTO </v>
      </c>
      <c r="C129" s="499" t="str">
        <f t="shared" si="29"/>
        <v>A NÃO TEM MAIS POSTOS-88</v>
      </c>
      <c r="D129" s="909"/>
      <c r="E129" s="914"/>
      <c r="F129" s="915"/>
      <c r="G129" s="911"/>
      <c r="H129" s="912"/>
    </row>
    <row r="130" spans="2:8" ht="15.75" hidden="1" customHeight="1" outlineLevel="1">
      <c r="B130" s="499" t="str">
        <f t="shared" si="32"/>
        <v xml:space="preserve">SANTO-AUGUSTO </v>
      </c>
      <c r="C130" s="499" t="str">
        <f t="shared" si="29"/>
        <v>A NÃO TEM MAIS POSTOS-99</v>
      </c>
      <c r="D130" s="909"/>
      <c r="E130" s="914"/>
      <c r="F130" s="915"/>
      <c r="G130" s="911"/>
      <c r="H130" s="912"/>
    </row>
    <row r="131" spans="2:8" ht="15.75" customHeight="1">
      <c r="B131" s="916" t="str">
        <f t="shared" si="32"/>
        <v xml:space="preserve">SANTO-AUGUSTO </v>
      </c>
      <c r="C131" s="916" t="s">
        <v>340</v>
      </c>
      <c r="D131" s="917">
        <f>SUBTOTAL(9,D119:D130)</f>
        <v>3</v>
      </c>
      <c r="E131" s="918"/>
      <c r="F131" s="919"/>
      <c r="G131" s="919"/>
      <c r="H131" s="919">
        <f>SUBTOTAL(9,H119:H120)</f>
        <v>20110.43</v>
      </c>
    </row>
    <row r="132" spans="2:8" ht="15.75" customHeight="1">
      <c r="E132" s="897"/>
      <c r="F132" s="898"/>
    </row>
    <row r="133" spans="2:8" ht="15.75" customHeight="1">
      <c r="B133" s="499" t="str">
        <f>CAMPUS.CONTRATANTE!D19</f>
        <v xml:space="preserve">SAO-BORJA </v>
      </c>
      <c r="C133" s="499" t="str">
        <f t="shared" ref="C133:C144" si="33">C119</f>
        <v>5132-05_COZINHEIRO_prepost_hs</v>
      </c>
      <c r="D133" s="909">
        <v>1</v>
      </c>
      <c r="E133" s="921">
        <v>1</v>
      </c>
      <c r="F133" s="910">
        <v>10055.25</v>
      </c>
      <c r="G133" s="911">
        <f t="shared" ref="G133:G134" si="34">F133</f>
        <v>10055.25</v>
      </c>
      <c r="H133" s="912">
        <f t="shared" ref="H133:H134" si="35">G133*D133</f>
        <v>10055.25</v>
      </c>
    </row>
    <row r="134" spans="2:8" ht="15.75" customHeight="1" collapsed="1">
      <c r="B134" s="499" t="str">
        <f t="shared" ref="B134:B145" si="36">B133</f>
        <v xml:space="preserve">SAO-BORJA </v>
      </c>
      <c r="C134" s="499" t="str">
        <f t="shared" si="33"/>
        <v>5132-05_COZINHEIRO_geral_hs</v>
      </c>
      <c r="D134" s="909">
        <v>2</v>
      </c>
      <c r="E134" s="922">
        <v>1</v>
      </c>
      <c r="F134" s="913">
        <v>5027.59</v>
      </c>
      <c r="G134" s="911">
        <f t="shared" si="34"/>
        <v>5027.59</v>
      </c>
      <c r="H134" s="912">
        <f t="shared" si="35"/>
        <v>10055.18</v>
      </c>
    </row>
    <row r="135" spans="2:8" ht="15.75" hidden="1" customHeight="1" outlineLevel="1">
      <c r="B135" s="499" t="str">
        <f t="shared" si="36"/>
        <v xml:space="preserve">SAO-BORJA </v>
      </c>
      <c r="C135" s="499" t="str">
        <f t="shared" si="33"/>
        <v>5135-05_AUX.COZINHA_hs</v>
      </c>
      <c r="D135" s="909"/>
      <c r="E135" s="914"/>
      <c r="F135" s="915"/>
      <c r="G135" s="911"/>
      <c r="H135" s="912"/>
    </row>
    <row r="136" spans="2:8" ht="15.75" hidden="1" customHeight="1" outlineLevel="1">
      <c r="B136" s="499" t="str">
        <f t="shared" si="36"/>
        <v xml:space="preserve">SAO-BORJA </v>
      </c>
      <c r="C136" s="499" t="str">
        <f t="shared" si="33"/>
        <v>6220-10_JARDINEIRO_hs</v>
      </c>
      <c r="D136" s="909"/>
      <c r="E136" s="914"/>
      <c r="F136" s="915"/>
      <c r="G136" s="911"/>
      <c r="H136" s="912"/>
    </row>
    <row r="137" spans="2:8" ht="15.75" hidden="1" customHeight="1" outlineLevel="1">
      <c r="B137" s="499" t="str">
        <f t="shared" si="36"/>
        <v xml:space="preserve">SAO-BORJA </v>
      </c>
      <c r="C137" s="499" t="str">
        <f t="shared" si="33"/>
        <v>A NÃO TEM MAIS POSTOS-22</v>
      </c>
      <c r="D137" s="909"/>
      <c r="E137" s="914"/>
      <c r="F137" s="915"/>
      <c r="G137" s="911"/>
      <c r="H137" s="912"/>
    </row>
    <row r="138" spans="2:8" ht="15.75" hidden="1" customHeight="1" outlineLevel="1">
      <c r="B138" s="499" t="str">
        <f t="shared" si="36"/>
        <v xml:space="preserve">SAO-BORJA </v>
      </c>
      <c r="C138" s="499" t="str">
        <f t="shared" si="33"/>
        <v>A NÃO TEM MAIS POSTOS-33</v>
      </c>
      <c r="D138" s="909"/>
      <c r="E138" s="914"/>
      <c r="F138" s="915"/>
      <c r="G138" s="911"/>
      <c r="H138" s="912"/>
    </row>
    <row r="139" spans="2:8" ht="15.75" hidden="1" customHeight="1" outlineLevel="1">
      <c r="B139" s="499" t="str">
        <f t="shared" si="36"/>
        <v xml:space="preserve">SAO-BORJA </v>
      </c>
      <c r="C139" s="499" t="str">
        <f t="shared" si="33"/>
        <v>A NÃO TEM MAIS POSTOS-44</v>
      </c>
      <c r="D139" s="909"/>
      <c r="E139" s="914"/>
      <c r="F139" s="915"/>
      <c r="G139" s="911"/>
      <c r="H139" s="912"/>
    </row>
    <row r="140" spans="2:8" ht="15.75" hidden="1" customHeight="1" outlineLevel="1">
      <c r="B140" s="499" t="str">
        <f t="shared" si="36"/>
        <v xml:space="preserve">SAO-BORJA </v>
      </c>
      <c r="C140" s="499" t="str">
        <f t="shared" si="33"/>
        <v>A NÃO TEM MAIS POSTOS-55</v>
      </c>
      <c r="D140" s="909"/>
      <c r="E140" s="914"/>
      <c r="F140" s="915"/>
      <c r="G140" s="911"/>
      <c r="H140" s="912"/>
    </row>
    <row r="141" spans="2:8" ht="15.75" hidden="1" customHeight="1" outlineLevel="1">
      <c r="B141" s="499" t="str">
        <f t="shared" si="36"/>
        <v xml:space="preserve">SAO-BORJA </v>
      </c>
      <c r="C141" s="499" t="str">
        <f t="shared" si="33"/>
        <v>A NÃO TEM MAIS POSTOS-66</v>
      </c>
      <c r="D141" s="909"/>
      <c r="E141" s="914"/>
      <c r="F141" s="915"/>
      <c r="G141" s="911"/>
      <c r="H141" s="912"/>
    </row>
    <row r="142" spans="2:8" ht="15.75" hidden="1" customHeight="1" outlineLevel="1">
      <c r="B142" s="499" t="str">
        <f t="shared" si="36"/>
        <v xml:space="preserve">SAO-BORJA </v>
      </c>
      <c r="C142" s="499" t="str">
        <f t="shared" si="33"/>
        <v>A NÃO TEM MAIS POSTOS-77</v>
      </c>
      <c r="D142" s="909"/>
      <c r="E142" s="914"/>
      <c r="F142" s="915"/>
      <c r="G142" s="911"/>
      <c r="H142" s="912"/>
    </row>
    <row r="143" spans="2:8" ht="15.75" hidden="1" customHeight="1" outlineLevel="1">
      <c r="B143" s="499" t="str">
        <f t="shared" si="36"/>
        <v xml:space="preserve">SAO-BORJA </v>
      </c>
      <c r="C143" s="499" t="str">
        <f t="shared" si="33"/>
        <v>A NÃO TEM MAIS POSTOS-88</v>
      </c>
      <c r="D143" s="909"/>
      <c r="E143" s="914"/>
      <c r="F143" s="915"/>
      <c r="G143" s="911"/>
      <c r="H143" s="912"/>
    </row>
    <row r="144" spans="2:8" ht="15.75" hidden="1" customHeight="1" outlineLevel="1">
      <c r="B144" s="499" t="str">
        <f t="shared" si="36"/>
        <v xml:space="preserve">SAO-BORJA </v>
      </c>
      <c r="C144" s="499" t="str">
        <f t="shared" si="33"/>
        <v>A NÃO TEM MAIS POSTOS-99</v>
      </c>
      <c r="D144" s="909"/>
      <c r="E144" s="914"/>
      <c r="F144" s="915"/>
      <c r="G144" s="911"/>
      <c r="H144" s="912"/>
    </row>
    <row r="145" spans="2:8" ht="15.75" customHeight="1">
      <c r="B145" s="916" t="str">
        <f t="shared" si="36"/>
        <v xml:space="preserve">SAO-BORJA </v>
      </c>
      <c r="C145" s="916" t="s">
        <v>340</v>
      </c>
      <c r="D145" s="917">
        <f>SUBTOTAL(9,D133:D144)</f>
        <v>3</v>
      </c>
      <c r="E145" s="918"/>
      <c r="F145" s="919"/>
      <c r="G145" s="919"/>
      <c r="H145" s="919">
        <f>SUBTOTAL(9,H133:H134)</f>
        <v>20110.43</v>
      </c>
    </row>
    <row r="146" spans="2:8" ht="15.75" customHeight="1">
      <c r="E146" s="897"/>
      <c r="F146" s="898"/>
    </row>
    <row r="147" spans="2:8" ht="15.75" customHeight="1">
      <c r="B147" s="499" t="str">
        <f>CAMPUS.CONTRATANTE!D20</f>
        <v>SAO-VICENTE-DO-SUL</v>
      </c>
      <c r="C147" s="499" t="str">
        <f t="shared" ref="C147:C158" si="37">C133</f>
        <v>5132-05_COZINHEIRO_prepost_hs</v>
      </c>
      <c r="D147" s="909">
        <v>1</v>
      </c>
      <c r="E147" s="921">
        <v>1</v>
      </c>
      <c r="F147" s="910">
        <v>10289.77</v>
      </c>
      <c r="G147" s="911">
        <f t="shared" ref="G147:G148" si="38">F147</f>
        <v>10289.77</v>
      </c>
      <c r="H147" s="912">
        <f t="shared" ref="H147:H148" si="39">G147*D147</f>
        <v>10289.77</v>
      </c>
    </row>
    <row r="148" spans="2:8" ht="15.75" customHeight="1" collapsed="1">
      <c r="B148" s="499" t="str">
        <f t="shared" ref="B148:B159" si="40">B147</f>
        <v>SAO-VICENTE-DO-SUL</v>
      </c>
      <c r="C148" s="499" t="str">
        <f t="shared" si="37"/>
        <v>5132-05_COZINHEIRO_geral_hs</v>
      </c>
      <c r="D148" s="909">
        <v>1</v>
      </c>
      <c r="E148" s="922">
        <v>1</v>
      </c>
      <c r="F148" s="913">
        <v>5144.84</v>
      </c>
      <c r="G148" s="911">
        <f t="shared" si="38"/>
        <v>5144.84</v>
      </c>
      <c r="H148" s="912">
        <f t="shared" si="39"/>
        <v>5144.84</v>
      </c>
    </row>
    <row r="149" spans="2:8" ht="15.75" hidden="1" customHeight="1" outlineLevel="1">
      <c r="B149" s="499" t="str">
        <f t="shared" si="40"/>
        <v>SAO-VICENTE-DO-SUL</v>
      </c>
      <c r="C149" s="499" t="str">
        <f t="shared" si="37"/>
        <v>5135-05_AUX.COZINHA_hs</v>
      </c>
      <c r="D149" s="909"/>
      <c r="E149" s="914"/>
      <c r="F149" s="915"/>
      <c r="G149" s="911"/>
      <c r="H149" s="912"/>
    </row>
    <row r="150" spans="2:8" ht="15.75" hidden="1" customHeight="1" outlineLevel="1">
      <c r="B150" s="499" t="str">
        <f t="shared" si="40"/>
        <v>SAO-VICENTE-DO-SUL</v>
      </c>
      <c r="C150" s="499" t="str">
        <f t="shared" si="37"/>
        <v>6220-10_JARDINEIRO_hs</v>
      </c>
      <c r="D150" s="909"/>
      <c r="E150" s="914"/>
      <c r="F150" s="915"/>
      <c r="G150" s="911"/>
      <c r="H150" s="912"/>
    </row>
    <row r="151" spans="2:8" ht="15.75" hidden="1" customHeight="1" outlineLevel="1">
      <c r="B151" s="499" t="str">
        <f t="shared" si="40"/>
        <v>SAO-VICENTE-DO-SUL</v>
      </c>
      <c r="C151" s="499" t="str">
        <f t="shared" si="37"/>
        <v>A NÃO TEM MAIS POSTOS-22</v>
      </c>
      <c r="D151" s="909"/>
      <c r="E151" s="914"/>
      <c r="F151" s="915"/>
      <c r="G151" s="911"/>
      <c r="H151" s="912"/>
    </row>
    <row r="152" spans="2:8" ht="15.75" hidden="1" customHeight="1" outlineLevel="1">
      <c r="B152" s="499" t="str">
        <f t="shared" si="40"/>
        <v>SAO-VICENTE-DO-SUL</v>
      </c>
      <c r="C152" s="499" t="str">
        <f t="shared" si="37"/>
        <v>A NÃO TEM MAIS POSTOS-33</v>
      </c>
      <c r="D152" s="909"/>
      <c r="E152" s="914"/>
      <c r="F152" s="915"/>
      <c r="G152" s="911"/>
      <c r="H152" s="912"/>
    </row>
    <row r="153" spans="2:8" ht="15.75" hidden="1" customHeight="1" outlineLevel="1">
      <c r="B153" s="499" t="str">
        <f t="shared" si="40"/>
        <v>SAO-VICENTE-DO-SUL</v>
      </c>
      <c r="C153" s="499" t="str">
        <f t="shared" si="37"/>
        <v>A NÃO TEM MAIS POSTOS-44</v>
      </c>
      <c r="D153" s="909"/>
      <c r="E153" s="914"/>
      <c r="F153" s="915"/>
      <c r="G153" s="911"/>
      <c r="H153" s="912"/>
    </row>
    <row r="154" spans="2:8" ht="15.75" hidden="1" customHeight="1" outlineLevel="1">
      <c r="B154" s="499" t="str">
        <f t="shared" si="40"/>
        <v>SAO-VICENTE-DO-SUL</v>
      </c>
      <c r="C154" s="499" t="str">
        <f t="shared" si="37"/>
        <v>A NÃO TEM MAIS POSTOS-55</v>
      </c>
      <c r="D154" s="909"/>
      <c r="E154" s="914"/>
      <c r="F154" s="915"/>
      <c r="G154" s="911"/>
      <c r="H154" s="912"/>
    </row>
    <row r="155" spans="2:8" ht="15.75" hidden="1" customHeight="1" outlineLevel="1">
      <c r="B155" s="499" t="str">
        <f t="shared" si="40"/>
        <v>SAO-VICENTE-DO-SUL</v>
      </c>
      <c r="C155" s="499" t="str">
        <f t="shared" si="37"/>
        <v>A NÃO TEM MAIS POSTOS-66</v>
      </c>
      <c r="D155" s="909"/>
      <c r="E155" s="914"/>
      <c r="F155" s="915"/>
      <c r="G155" s="911"/>
      <c r="H155" s="912"/>
    </row>
    <row r="156" spans="2:8" ht="15.75" hidden="1" customHeight="1" outlineLevel="1">
      <c r="B156" s="499" t="str">
        <f t="shared" si="40"/>
        <v>SAO-VICENTE-DO-SUL</v>
      </c>
      <c r="C156" s="499" t="str">
        <f t="shared" si="37"/>
        <v>A NÃO TEM MAIS POSTOS-77</v>
      </c>
      <c r="D156" s="909"/>
      <c r="E156" s="914"/>
      <c r="F156" s="915"/>
      <c r="G156" s="911"/>
      <c r="H156" s="912"/>
    </row>
    <row r="157" spans="2:8" ht="15.75" hidden="1" customHeight="1" outlineLevel="1">
      <c r="B157" s="499" t="str">
        <f t="shared" si="40"/>
        <v>SAO-VICENTE-DO-SUL</v>
      </c>
      <c r="C157" s="499" t="str">
        <f t="shared" si="37"/>
        <v>A NÃO TEM MAIS POSTOS-88</v>
      </c>
      <c r="D157" s="909"/>
      <c r="E157" s="914"/>
      <c r="F157" s="915"/>
      <c r="G157" s="911"/>
      <c r="H157" s="912"/>
    </row>
    <row r="158" spans="2:8" ht="15.75" hidden="1" customHeight="1" outlineLevel="1">
      <c r="B158" s="499" t="str">
        <f t="shared" si="40"/>
        <v>SAO-VICENTE-DO-SUL</v>
      </c>
      <c r="C158" s="499" t="str">
        <f t="shared" si="37"/>
        <v>A NÃO TEM MAIS POSTOS-99</v>
      </c>
      <c r="D158" s="909"/>
      <c r="E158" s="914"/>
      <c r="F158" s="915"/>
      <c r="G158" s="911"/>
      <c r="H158" s="912"/>
    </row>
    <row r="159" spans="2:8" ht="15.75" customHeight="1">
      <c r="B159" s="916" t="str">
        <f t="shared" si="40"/>
        <v>SAO-VICENTE-DO-SUL</v>
      </c>
      <c r="C159" s="916"/>
      <c r="D159" s="917">
        <f>SUBTOTAL(9,D147:D158)</f>
        <v>2</v>
      </c>
      <c r="E159" s="918"/>
      <c r="F159" s="919"/>
      <c r="G159" s="919"/>
      <c r="H159" s="919">
        <f>SUBTOTAL(9,H147:H148)</f>
        <v>15434.61</v>
      </c>
    </row>
    <row r="160" spans="2:8" ht="15.75" customHeight="1">
      <c r="E160" s="897"/>
      <c r="F160" s="898"/>
    </row>
    <row r="161" spans="2:10" ht="15.75" customHeight="1" outlineLevel="1">
      <c r="B161" s="499" t="str">
        <f>CAMPUS.CONTRATANTE!D21</f>
        <v>URUGUAIANA</v>
      </c>
      <c r="C161" s="499" t="str">
        <f t="shared" ref="C161:C172" si="41">C147</f>
        <v>5132-05_COZINHEIRO_prepost_hs</v>
      </c>
      <c r="D161" s="909">
        <v>1</v>
      </c>
      <c r="E161" s="921">
        <v>1</v>
      </c>
      <c r="F161" s="910">
        <v>10055.25</v>
      </c>
      <c r="G161" s="911">
        <f t="shared" ref="G161:G162" si="42">F161</f>
        <v>10055.25</v>
      </c>
      <c r="H161" s="912">
        <f t="shared" ref="H161:H162" si="43">G161*D161</f>
        <v>10055.25</v>
      </c>
    </row>
    <row r="162" spans="2:10" ht="15.75" customHeight="1" collapsed="1">
      <c r="B162" s="499" t="str">
        <f t="shared" ref="B162:B173" si="44">B161</f>
        <v>URUGUAIANA</v>
      </c>
      <c r="C162" s="499" t="str">
        <f t="shared" si="41"/>
        <v>5132-05_COZINHEIRO_geral_hs</v>
      </c>
      <c r="D162" s="909">
        <v>2</v>
      </c>
      <c r="E162" s="922">
        <v>1</v>
      </c>
      <c r="F162" s="913">
        <v>5027.59</v>
      </c>
      <c r="G162" s="911">
        <f t="shared" si="42"/>
        <v>5027.59</v>
      </c>
      <c r="H162" s="912">
        <f t="shared" si="43"/>
        <v>10055.18</v>
      </c>
    </row>
    <row r="163" spans="2:10" ht="15.75" hidden="1" customHeight="1" outlineLevel="1">
      <c r="B163" s="499" t="str">
        <f t="shared" si="44"/>
        <v>URUGUAIANA</v>
      </c>
      <c r="C163" s="499" t="str">
        <f t="shared" si="41"/>
        <v>5135-05_AUX.COZINHA_hs</v>
      </c>
      <c r="D163" s="909"/>
      <c r="E163" s="914"/>
      <c r="F163" s="915"/>
      <c r="G163" s="911"/>
      <c r="H163" s="912"/>
      <c r="J163" s="287">
        <f>70/31*7</f>
        <v>15.806451612903228</v>
      </c>
    </row>
    <row r="164" spans="2:10" ht="15.75" hidden="1" customHeight="1" outlineLevel="1">
      <c r="B164" s="499" t="str">
        <f t="shared" si="44"/>
        <v>URUGUAIANA</v>
      </c>
      <c r="C164" s="499" t="str">
        <f t="shared" si="41"/>
        <v>6220-10_JARDINEIRO_hs</v>
      </c>
      <c r="D164" s="909"/>
      <c r="E164" s="914"/>
      <c r="F164" s="915"/>
      <c r="G164" s="911"/>
      <c r="H164" s="912"/>
    </row>
    <row r="165" spans="2:10" ht="15.75" hidden="1" customHeight="1" outlineLevel="1">
      <c r="B165" s="499" t="str">
        <f t="shared" si="44"/>
        <v>URUGUAIANA</v>
      </c>
      <c r="C165" s="499" t="str">
        <f t="shared" si="41"/>
        <v>A NÃO TEM MAIS POSTOS-22</v>
      </c>
      <c r="D165" s="909"/>
      <c r="E165" s="914"/>
      <c r="F165" s="915"/>
      <c r="G165" s="911"/>
      <c r="H165" s="912"/>
    </row>
    <row r="166" spans="2:10" ht="15.75" hidden="1" customHeight="1" outlineLevel="1">
      <c r="B166" s="499" t="str">
        <f t="shared" si="44"/>
        <v>URUGUAIANA</v>
      </c>
      <c r="C166" s="499" t="str">
        <f t="shared" si="41"/>
        <v>A NÃO TEM MAIS POSTOS-33</v>
      </c>
      <c r="D166" s="909"/>
      <c r="E166" s="914"/>
      <c r="F166" s="915"/>
      <c r="G166" s="911"/>
      <c r="H166" s="912"/>
    </row>
    <row r="167" spans="2:10" ht="15.75" hidden="1" customHeight="1" outlineLevel="1">
      <c r="B167" s="499" t="str">
        <f t="shared" si="44"/>
        <v>URUGUAIANA</v>
      </c>
      <c r="C167" s="499" t="str">
        <f t="shared" si="41"/>
        <v>A NÃO TEM MAIS POSTOS-44</v>
      </c>
      <c r="D167" s="909"/>
      <c r="E167" s="914"/>
      <c r="F167" s="915"/>
      <c r="G167" s="911"/>
      <c r="H167" s="912"/>
    </row>
    <row r="168" spans="2:10" ht="15.75" hidden="1" customHeight="1" outlineLevel="1">
      <c r="B168" s="499" t="str">
        <f t="shared" si="44"/>
        <v>URUGUAIANA</v>
      </c>
      <c r="C168" s="499" t="str">
        <f t="shared" si="41"/>
        <v>A NÃO TEM MAIS POSTOS-55</v>
      </c>
      <c r="D168" s="909"/>
      <c r="E168" s="914"/>
      <c r="F168" s="915"/>
      <c r="G168" s="911"/>
      <c r="H168" s="912"/>
    </row>
    <row r="169" spans="2:10" ht="15.75" hidden="1" customHeight="1" outlineLevel="1">
      <c r="B169" s="499" t="str">
        <f t="shared" si="44"/>
        <v>URUGUAIANA</v>
      </c>
      <c r="C169" s="499" t="str">
        <f t="shared" si="41"/>
        <v>A NÃO TEM MAIS POSTOS-66</v>
      </c>
      <c r="D169" s="909"/>
      <c r="E169" s="914"/>
      <c r="F169" s="915"/>
      <c r="G169" s="911"/>
      <c r="H169" s="912"/>
    </row>
    <row r="170" spans="2:10" ht="15.75" hidden="1" customHeight="1" outlineLevel="1">
      <c r="B170" s="499" t="str">
        <f t="shared" si="44"/>
        <v>URUGUAIANA</v>
      </c>
      <c r="C170" s="499" t="str">
        <f t="shared" si="41"/>
        <v>A NÃO TEM MAIS POSTOS-77</v>
      </c>
      <c r="D170" s="909"/>
      <c r="E170" s="914"/>
      <c r="F170" s="915"/>
      <c r="G170" s="911"/>
      <c r="H170" s="912"/>
    </row>
    <row r="171" spans="2:10" ht="15.75" hidden="1" customHeight="1" outlineLevel="1">
      <c r="B171" s="499" t="str">
        <f t="shared" si="44"/>
        <v>URUGUAIANA</v>
      </c>
      <c r="C171" s="499" t="str">
        <f t="shared" si="41"/>
        <v>A NÃO TEM MAIS POSTOS-88</v>
      </c>
      <c r="D171" s="909"/>
      <c r="E171" s="914"/>
      <c r="F171" s="915"/>
      <c r="G171" s="911"/>
      <c r="H171" s="912"/>
    </row>
    <row r="172" spans="2:10" ht="15.75" hidden="1" customHeight="1" outlineLevel="1">
      <c r="B172" s="499" t="str">
        <f t="shared" si="44"/>
        <v>URUGUAIANA</v>
      </c>
      <c r="C172" s="499" t="str">
        <f t="shared" si="41"/>
        <v>A NÃO TEM MAIS POSTOS-99</v>
      </c>
      <c r="D172" s="909"/>
      <c r="E172" s="914"/>
      <c r="F172" s="915"/>
      <c r="G172" s="911"/>
      <c r="H172" s="912"/>
    </row>
    <row r="173" spans="2:10" ht="15.75" customHeight="1">
      <c r="B173" s="916" t="str">
        <f t="shared" si="44"/>
        <v>URUGUAIANA</v>
      </c>
      <c r="C173" s="916"/>
      <c r="D173" s="917">
        <f>SUBTOTAL(9,D161:D172)</f>
        <v>3</v>
      </c>
      <c r="E173" s="918"/>
      <c r="F173" s="919"/>
      <c r="G173" s="919"/>
      <c r="H173" s="919">
        <f>SUBTOTAL(9,H161:H162)</f>
        <v>20110.43</v>
      </c>
    </row>
    <row r="174" spans="2:10" ht="15.75" customHeight="1">
      <c r="E174" s="897"/>
      <c r="F174" s="898"/>
    </row>
    <row r="175" spans="2:10" ht="15.75" customHeight="1">
      <c r="B175" s="924" t="s">
        <v>961</v>
      </c>
      <c r="C175" s="925"/>
      <c r="D175" s="926">
        <f>D173+D159+D145+D131+D117+D103+D89+D75+D61+D47+D33+D19+D33</f>
        <v>32</v>
      </c>
      <c r="E175" s="926"/>
      <c r="F175" s="926"/>
      <c r="G175" s="926"/>
      <c r="H175" s="919">
        <f>H173+H159+H145+H131+H117+H103+H89+H75+H61+H47+H33+H19+H33</f>
        <v>236885.22999999998</v>
      </c>
    </row>
    <row r="176" spans="2:10" ht="15.75" customHeight="1">
      <c r="E176" s="897"/>
      <c r="F176" s="898"/>
    </row>
    <row r="177" spans="5:6" ht="15.75" customHeight="1">
      <c r="E177" s="897"/>
      <c r="F177" s="898"/>
    </row>
    <row r="178" spans="5:6" ht="15.75" customHeight="1">
      <c r="E178" s="897"/>
      <c r="F178" s="898"/>
    </row>
    <row r="179" spans="5:6" ht="15.75" customHeight="1">
      <c r="E179" s="897"/>
      <c r="F179" s="898"/>
    </row>
    <row r="180" spans="5:6" ht="15.75" customHeight="1">
      <c r="E180" s="897"/>
      <c r="F180" s="898"/>
    </row>
    <row r="181" spans="5:6" ht="15.75" customHeight="1">
      <c r="E181" s="897"/>
      <c r="F181" s="898"/>
    </row>
    <row r="182" spans="5:6" ht="15.75" customHeight="1">
      <c r="E182" s="897"/>
      <c r="F182" s="898"/>
    </row>
    <row r="183" spans="5:6" ht="15.75" customHeight="1">
      <c r="E183" s="897"/>
      <c r="F183" s="898"/>
    </row>
    <row r="184" spans="5:6" ht="15.75" customHeight="1">
      <c r="E184" s="897"/>
      <c r="F184" s="898"/>
    </row>
    <row r="185" spans="5:6" ht="15.75" customHeight="1">
      <c r="E185" s="897"/>
      <c r="F185" s="898"/>
    </row>
    <row r="186" spans="5:6" ht="15.75" customHeight="1">
      <c r="E186" s="897"/>
      <c r="F186" s="898"/>
    </row>
    <row r="187" spans="5:6" ht="15.75" customHeight="1">
      <c r="E187" s="897"/>
      <c r="F187" s="898"/>
    </row>
    <row r="188" spans="5:6" ht="15.75" customHeight="1">
      <c r="E188" s="897"/>
      <c r="F188" s="898"/>
    </row>
    <row r="189" spans="5:6" ht="15.75" customHeight="1">
      <c r="E189" s="897"/>
      <c r="F189" s="898"/>
    </row>
    <row r="190" spans="5:6" ht="15.75" customHeight="1">
      <c r="E190" s="897"/>
      <c r="F190" s="898"/>
    </row>
    <row r="191" spans="5:6" ht="15.75" customHeight="1">
      <c r="E191" s="897"/>
      <c r="F191" s="898"/>
    </row>
    <row r="192" spans="5:6" ht="15.75" customHeight="1">
      <c r="E192" s="897"/>
      <c r="F192" s="898"/>
    </row>
    <row r="193" spans="5:6" ht="15.75" customHeight="1">
      <c r="E193" s="897"/>
      <c r="F193" s="898"/>
    </row>
    <row r="194" spans="5:6" ht="15.75" customHeight="1">
      <c r="E194" s="897"/>
      <c r="F194" s="898"/>
    </row>
    <row r="195" spans="5:6" ht="15.75" customHeight="1">
      <c r="E195" s="897"/>
      <c r="F195" s="898"/>
    </row>
    <row r="196" spans="5:6" ht="15.75" customHeight="1">
      <c r="E196" s="897"/>
      <c r="F196" s="898"/>
    </row>
    <row r="197" spans="5:6" ht="15.75" customHeight="1">
      <c r="E197" s="897"/>
      <c r="F197" s="898"/>
    </row>
    <row r="198" spans="5:6" ht="15.75" customHeight="1">
      <c r="E198" s="897"/>
      <c r="F198" s="898"/>
    </row>
    <row r="199" spans="5:6" ht="15.75" customHeight="1">
      <c r="E199" s="897"/>
      <c r="F199" s="898"/>
    </row>
    <row r="200" spans="5:6" ht="15.75" customHeight="1">
      <c r="E200" s="897"/>
      <c r="F200" s="898"/>
    </row>
    <row r="201" spans="5:6" ht="15.75" customHeight="1">
      <c r="E201" s="897"/>
      <c r="F201" s="898"/>
    </row>
    <row r="202" spans="5:6" ht="15.75" customHeight="1">
      <c r="E202" s="897"/>
      <c r="F202" s="898"/>
    </row>
    <row r="203" spans="5:6" ht="15.75" customHeight="1">
      <c r="E203" s="897"/>
      <c r="F203" s="898"/>
    </row>
    <row r="204" spans="5:6" ht="15.75" customHeight="1">
      <c r="E204" s="897"/>
      <c r="F204" s="898"/>
    </row>
    <row r="205" spans="5:6" ht="15.75" customHeight="1">
      <c r="E205" s="897"/>
      <c r="F205" s="898"/>
    </row>
    <row r="206" spans="5:6" ht="15.75" customHeight="1">
      <c r="E206" s="897"/>
      <c r="F206" s="898"/>
    </row>
    <row r="207" spans="5:6" ht="15.75" customHeight="1">
      <c r="E207" s="897"/>
      <c r="F207" s="898"/>
    </row>
    <row r="208" spans="5:6" ht="15.75" customHeight="1">
      <c r="E208" s="897"/>
      <c r="F208" s="898"/>
    </row>
    <row r="209" spans="5:6" ht="15.75" customHeight="1">
      <c r="E209" s="897"/>
      <c r="F209" s="898"/>
    </row>
    <row r="210" spans="5:6" ht="15.75" customHeight="1">
      <c r="E210" s="897"/>
      <c r="F210" s="898"/>
    </row>
    <row r="211" spans="5:6" ht="15.75" customHeight="1">
      <c r="E211" s="897"/>
      <c r="F211" s="898"/>
    </row>
    <row r="212" spans="5:6" ht="15.75" customHeight="1">
      <c r="E212" s="897"/>
      <c r="F212" s="898"/>
    </row>
    <row r="213" spans="5:6" ht="15.75" customHeight="1">
      <c r="E213" s="897"/>
      <c r="F213" s="898"/>
    </row>
    <row r="214" spans="5:6" ht="15.75" customHeight="1">
      <c r="E214" s="897"/>
      <c r="F214" s="898"/>
    </row>
    <row r="215" spans="5:6" ht="15.75" customHeight="1">
      <c r="E215" s="897"/>
      <c r="F215" s="898"/>
    </row>
    <row r="216" spans="5:6" ht="15.75" customHeight="1">
      <c r="E216" s="897"/>
      <c r="F216" s="898"/>
    </row>
    <row r="217" spans="5:6" ht="15.75" customHeight="1">
      <c r="E217" s="897"/>
      <c r="F217" s="898"/>
    </row>
    <row r="218" spans="5:6" ht="15.75" customHeight="1">
      <c r="E218" s="897"/>
      <c r="F218" s="898"/>
    </row>
    <row r="219" spans="5:6" ht="15.75" customHeight="1">
      <c r="E219" s="897"/>
      <c r="F219" s="898"/>
    </row>
    <row r="220" spans="5:6" ht="15.75" customHeight="1">
      <c r="E220" s="897"/>
      <c r="F220" s="898"/>
    </row>
    <row r="221" spans="5:6" ht="15.75" customHeight="1">
      <c r="E221" s="897"/>
      <c r="F221" s="898"/>
    </row>
    <row r="222" spans="5:6" ht="15.75" customHeight="1">
      <c r="E222" s="897"/>
      <c r="F222" s="898"/>
    </row>
    <row r="223" spans="5:6" ht="15.75" customHeight="1">
      <c r="E223" s="897"/>
      <c r="F223" s="898"/>
    </row>
    <row r="224" spans="5:6" ht="15.75" customHeight="1">
      <c r="E224" s="897"/>
      <c r="F224" s="898"/>
    </row>
    <row r="225" spans="5:6" ht="15.75" customHeight="1">
      <c r="E225" s="897"/>
      <c r="F225" s="898"/>
    </row>
    <row r="226" spans="5:6" ht="15.75" customHeight="1">
      <c r="E226" s="897"/>
      <c r="F226" s="898"/>
    </row>
    <row r="227" spans="5:6" ht="15.75" customHeight="1">
      <c r="E227" s="897"/>
      <c r="F227" s="898"/>
    </row>
    <row r="228" spans="5:6" ht="15.75" customHeight="1">
      <c r="E228" s="897"/>
      <c r="F228" s="898"/>
    </row>
    <row r="229" spans="5:6" ht="15.75" customHeight="1">
      <c r="E229" s="897"/>
      <c r="F229" s="898"/>
    </row>
    <row r="230" spans="5:6" ht="15.75" customHeight="1">
      <c r="E230" s="897"/>
      <c r="F230" s="898"/>
    </row>
    <row r="231" spans="5:6" ht="15.75" customHeight="1">
      <c r="E231" s="897"/>
      <c r="F231" s="898"/>
    </row>
    <row r="232" spans="5:6" ht="15.75" customHeight="1">
      <c r="E232" s="897"/>
      <c r="F232" s="898"/>
    </row>
    <row r="233" spans="5:6" ht="15.75" customHeight="1">
      <c r="E233" s="897"/>
      <c r="F233" s="898"/>
    </row>
    <row r="234" spans="5:6" ht="15.75" customHeight="1">
      <c r="E234" s="897"/>
      <c r="F234" s="898"/>
    </row>
    <row r="235" spans="5:6" ht="15.75" customHeight="1">
      <c r="E235" s="897"/>
      <c r="F235" s="898"/>
    </row>
    <row r="236" spans="5:6" ht="15.75" customHeight="1">
      <c r="E236" s="897"/>
      <c r="F236" s="898"/>
    </row>
    <row r="237" spans="5:6" ht="15.75" customHeight="1">
      <c r="E237" s="897"/>
      <c r="F237" s="898"/>
    </row>
    <row r="238" spans="5:6" ht="15.75" customHeight="1">
      <c r="E238" s="897"/>
      <c r="F238" s="898"/>
    </row>
    <row r="239" spans="5:6" ht="15.75" customHeight="1">
      <c r="E239" s="897"/>
      <c r="F239" s="898"/>
    </row>
    <row r="240" spans="5:6" ht="15.75" customHeight="1">
      <c r="E240" s="897"/>
      <c r="F240" s="898"/>
    </row>
    <row r="241" spans="5:6" ht="15.75" customHeight="1">
      <c r="E241" s="897"/>
      <c r="F241" s="898"/>
    </row>
    <row r="242" spans="5:6" ht="15.75" customHeight="1">
      <c r="E242" s="897"/>
      <c r="F242" s="898"/>
    </row>
    <row r="243" spans="5:6" ht="15.75" customHeight="1">
      <c r="E243" s="897"/>
      <c r="F243" s="898"/>
    </row>
    <row r="244" spans="5:6" ht="15.75" customHeight="1">
      <c r="E244" s="897"/>
      <c r="F244" s="898"/>
    </row>
    <row r="245" spans="5:6" ht="15.75" customHeight="1">
      <c r="E245" s="897"/>
      <c r="F245" s="898"/>
    </row>
    <row r="246" spans="5:6" ht="15.75" customHeight="1">
      <c r="E246" s="897"/>
      <c r="F246" s="898"/>
    </row>
    <row r="247" spans="5:6" ht="15.75" customHeight="1">
      <c r="E247" s="897"/>
      <c r="F247" s="898"/>
    </row>
    <row r="248" spans="5:6" ht="15.75" customHeight="1">
      <c r="E248" s="897"/>
      <c r="F248" s="898"/>
    </row>
    <row r="249" spans="5:6" ht="15.75" customHeight="1">
      <c r="E249" s="897"/>
      <c r="F249" s="898"/>
    </row>
    <row r="250" spans="5:6" ht="15.75" customHeight="1">
      <c r="E250" s="897"/>
      <c r="F250" s="898"/>
    </row>
    <row r="251" spans="5:6" ht="15.75" customHeight="1">
      <c r="E251" s="897"/>
      <c r="F251" s="898"/>
    </row>
    <row r="252" spans="5:6" ht="15.75" customHeight="1">
      <c r="E252" s="897"/>
      <c r="F252" s="898"/>
    </row>
    <row r="253" spans="5:6" ht="15.75" customHeight="1">
      <c r="E253" s="897"/>
      <c r="F253" s="898"/>
    </row>
    <row r="254" spans="5:6" ht="15.75" customHeight="1">
      <c r="E254" s="897"/>
      <c r="F254" s="898"/>
    </row>
    <row r="255" spans="5:6" ht="15.75" customHeight="1">
      <c r="E255" s="897"/>
      <c r="F255" s="898"/>
    </row>
    <row r="256" spans="5:6" ht="15.75" customHeight="1">
      <c r="E256" s="897"/>
      <c r="F256" s="898"/>
    </row>
    <row r="257" spans="5:6" ht="15.75" customHeight="1">
      <c r="E257" s="897"/>
      <c r="F257" s="898"/>
    </row>
    <row r="258" spans="5:6" ht="15.75" customHeight="1">
      <c r="E258" s="897"/>
      <c r="F258" s="898"/>
    </row>
    <row r="259" spans="5:6" ht="15.75" customHeight="1">
      <c r="E259" s="897"/>
      <c r="F259" s="898"/>
    </row>
    <row r="260" spans="5:6" ht="15.75" customHeight="1">
      <c r="E260" s="897"/>
      <c r="F260" s="898"/>
    </row>
    <row r="261" spans="5:6" ht="15.75" customHeight="1">
      <c r="E261" s="897"/>
      <c r="F261" s="898"/>
    </row>
    <row r="262" spans="5:6" ht="15.75" customHeight="1">
      <c r="E262" s="897"/>
      <c r="F262" s="898"/>
    </row>
    <row r="263" spans="5:6" ht="15.75" customHeight="1">
      <c r="E263" s="897"/>
      <c r="F263" s="898"/>
    </row>
    <row r="264" spans="5:6" ht="15.75" customHeight="1">
      <c r="E264" s="897"/>
      <c r="F264" s="898"/>
    </row>
    <row r="265" spans="5:6" ht="15.75" customHeight="1">
      <c r="E265" s="897"/>
      <c r="F265" s="898"/>
    </row>
    <row r="266" spans="5:6" ht="15.75" customHeight="1">
      <c r="E266" s="897"/>
      <c r="F266" s="898"/>
    </row>
    <row r="267" spans="5:6" ht="15.75" customHeight="1">
      <c r="E267" s="897"/>
      <c r="F267" s="898"/>
    </row>
    <row r="268" spans="5:6" ht="15.75" customHeight="1">
      <c r="E268" s="897"/>
      <c r="F268" s="898"/>
    </row>
    <row r="269" spans="5:6" ht="15.75" customHeight="1">
      <c r="E269" s="897"/>
      <c r="F269" s="898"/>
    </row>
    <row r="270" spans="5:6" ht="15.75" customHeight="1">
      <c r="E270" s="897"/>
      <c r="F270" s="898"/>
    </row>
    <row r="271" spans="5:6" ht="15.75" customHeight="1">
      <c r="E271" s="897"/>
      <c r="F271" s="898"/>
    </row>
    <row r="272" spans="5:6" ht="15.75" customHeight="1">
      <c r="E272" s="897"/>
      <c r="F272" s="898"/>
    </row>
    <row r="273" spans="5:6" ht="15.75" customHeight="1">
      <c r="E273" s="897"/>
      <c r="F273" s="898"/>
    </row>
    <row r="274" spans="5:6" ht="15.75" customHeight="1">
      <c r="E274" s="897"/>
      <c r="F274" s="898"/>
    </row>
    <row r="275" spans="5:6" ht="15.75" customHeight="1">
      <c r="E275" s="897"/>
      <c r="F275" s="898"/>
    </row>
    <row r="276" spans="5:6" ht="15.75" customHeight="1">
      <c r="E276" s="897"/>
      <c r="F276" s="898"/>
    </row>
    <row r="277" spans="5:6" ht="15.75" customHeight="1">
      <c r="E277" s="897"/>
      <c r="F277" s="898"/>
    </row>
    <row r="278" spans="5:6" ht="15.75" customHeight="1">
      <c r="E278" s="897"/>
      <c r="F278" s="898"/>
    </row>
    <row r="279" spans="5:6" ht="15.75" customHeight="1">
      <c r="E279" s="897"/>
      <c r="F279" s="898"/>
    </row>
    <row r="280" spans="5:6" ht="15.75" customHeight="1">
      <c r="E280" s="897"/>
      <c r="F280" s="898"/>
    </row>
    <row r="281" spans="5:6" ht="15.75" customHeight="1">
      <c r="E281" s="897"/>
      <c r="F281" s="898"/>
    </row>
    <row r="282" spans="5:6" ht="15.75" customHeight="1">
      <c r="E282" s="897"/>
      <c r="F282" s="898"/>
    </row>
    <row r="283" spans="5:6" ht="15.75" customHeight="1">
      <c r="E283" s="897"/>
      <c r="F283" s="898"/>
    </row>
    <row r="284" spans="5:6" ht="15.75" customHeight="1">
      <c r="E284" s="897"/>
      <c r="F284" s="898"/>
    </row>
    <row r="285" spans="5:6" ht="15.75" customHeight="1">
      <c r="E285" s="897"/>
      <c r="F285" s="898"/>
    </row>
    <row r="286" spans="5:6" ht="15.75" customHeight="1">
      <c r="E286" s="897"/>
      <c r="F286" s="898"/>
    </row>
    <row r="287" spans="5:6" ht="15.75" customHeight="1">
      <c r="E287" s="897"/>
      <c r="F287" s="898"/>
    </row>
    <row r="288" spans="5:6" ht="15.75" customHeight="1">
      <c r="E288" s="897"/>
      <c r="F288" s="898"/>
    </row>
    <row r="289" spans="5:6" ht="15.75" customHeight="1">
      <c r="E289" s="897"/>
      <c r="F289" s="898"/>
    </row>
    <row r="290" spans="5:6" ht="15.75" customHeight="1">
      <c r="E290" s="897"/>
      <c r="F290" s="898"/>
    </row>
    <row r="291" spans="5:6" ht="15.75" customHeight="1">
      <c r="E291" s="897"/>
      <c r="F291" s="898"/>
    </row>
    <row r="292" spans="5:6" ht="15.75" customHeight="1">
      <c r="E292" s="897"/>
      <c r="F292" s="898"/>
    </row>
    <row r="293" spans="5:6" ht="15.75" customHeight="1">
      <c r="E293" s="897"/>
      <c r="F293" s="898"/>
    </row>
    <row r="294" spans="5:6" ht="15.75" customHeight="1">
      <c r="E294" s="897"/>
      <c r="F294" s="898"/>
    </row>
    <row r="295" spans="5:6" ht="15.75" customHeight="1">
      <c r="E295" s="897"/>
      <c r="F295" s="898"/>
    </row>
    <row r="296" spans="5:6" ht="15.75" customHeight="1">
      <c r="E296" s="897"/>
      <c r="F296" s="898"/>
    </row>
    <row r="297" spans="5:6" ht="15.75" customHeight="1">
      <c r="E297" s="897"/>
      <c r="F297" s="898"/>
    </row>
    <row r="298" spans="5:6" ht="15.75" customHeight="1">
      <c r="E298" s="897"/>
      <c r="F298" s="898"/>
    </row>
    <row r="299" spans="5:6" ht="15.75" customHeight="1">
      <c r="E299" s="897"/>
      <c r="F299" s="898"/>
    </row>
    <row r="300" spans="5:6" ht="15.75" customHeight="1">
      <c r="E300" s="897"/>
      <c r="F300" s="898"/>
    </row>
    <row r="301" spans="5:6" ht="15.75" customHeight="1">
      <c r="E301" s="897"/>
      <c r="F301" s="898"/>
    </row>
    <row r="302" spans="5:6" ht="15.75" customHeight="1">
      <c r="E302" s="897"/>
      <c r="F302" s="898"/>
    </row>
    <row r="303" spans="5:6" ht="15.75" customHeight="1">
      <c r="E303" s="897"/>
      <c r="F303" s="898"/>
    </row>
    <row r="304" spans="5:6" ht="15.75" customHeight="1">
      <c r="E304" s="897"/>
      <c r="F304" s="898"/>
    </row>
    <row r="305" spans="5:6" ht="15.75" customHeight="1">
      <c r="E305" s="897"/>
      <c r="F305" s="898"/>
    </row>
    <row r="306" spans="5:6" ht="15.75" customHeight="1">
      <c r="E306" s="897"/>
      <c r="F306" s="898"/>
    </row>
    <row r="307" spans="5:6" ht="15.75" customHeight="1">
      <c r="E307" s="897"/>
      <c r="F307" s="898"/>
    </row>
    <row r="308" spans="5:6" ht="15.75" customHeight="1">
      <c r="E308" s="897"/>
      <c r="F308" s="898"/>
    </row>
    <row r="309" spans="5:6" ht="15.75" customHeight="1">
      <c r="E309" s="897"/>
      <c r="F309" s="898"/>
    </row>
    <row r="310" spans="5:6" ht="15.75" customHeight="1">
      <c r="E310" s="897"/>
      <c r="F310" s="898"/>
    </row>
    <row r="311" spans="5:6" ht="15.75" customHeight="1">
      <c r="E311" s="897"/>
      <c r="F311" s="898"/>
    </row>
    <row r="312" spans="5:6" ht="15.75" customHeight="1">
      <c r="E312" s="897"/>
      <c r="F312" s="898"/>
    </row>
    <row r="313" spans="5:6" ht="15.75" customHeight="1">
      <c r="E313" s="897"/>
      <c r="F313" s="898"/>
    </row>
    <row r="314" spans="5:6" ht="15.75" customHeight="1">
      <c r="E314" s="897"/>
      <c r="F314" s="898"/>
    </row>
    <row r="315" spans="5:6" ht="15.75" customHeight="1">
      <c r="E315" s="897"/>
      <c r="F315" s="898"/>
    </row>
    <row r="316" spans="5:6" ht="15.75" customHeight="1">
      <c r="E316" s="897"/>
      <c r="F316" s="898"/>
    </row>
    <row r="317" spans="5:6" ht="15.75" customHeight="1">
      <c r="E317" s="897"/>
      <c r="F317" s="898"/>
    </row>
    <row r="318" spans="5:6" ht="15.75" customHeight="1">
      <c r="E318" s="897"/>
      <c r="F318" s="898"/>
    </row>
    <row r="319" spans="5:6" ht="15.75" customHeight="1">
      <c r="E319" s="897"/>
      <c r="F319" s="898"/>
    </row>
    <row r="320" spans="5:6" ht="15.75" customHeight="1">
      <c r="E320" s="897"/>
      <c r="F320" s="898"/>
    </row>
    <row r="321" spans="5:6" ht="15.75" customHeight="1">
      <c r="E321" s="897"/>
      <c r="F321" s="898"/>
    </row>
    <row r="322" spans="5:6" ht="15.75" customHeight="1">
      <c r="E322" s="897"/>
      <c r="F322" s="898"/>
    </row>
    <row r="323" spans="5:6" ht="15.75" customHeight="1">
      <c r="E323" s="897"/>
      <c r="F323" s="898"/>
    </row>
    <row r="324" spans="5:6" ht="15.75" customHeight="1">
      <c r="E324" s="897"/>
      <c r="F324" s="898"/>
    </row>
    <row r="325" spans="5:6" ht="15.75" customHeight="1">
      <c r="E325" s="897"/>
      <c r="F325" s="898"/>
    </row>
    <row r="326" spans="5:6" ht="15.75" customHeight="1">
      <c r="E326" s="897"/>
      <c r="F326" s="898"/>
    </row>
    <row r="327" spans="5:6" ht="15.75" customHeight="1">
      <c r="E327" s="897"/>
      <c r="F327" s="898"/>
    </row>
    <row r="328" spans="5:6" ht="15.75" customHeight="1">
      <c r="E328" s="897"/>
      <c r="F328" s="898"/>
    </row>
    <row r="329" spans="5:6" ht="15.75" customHeight="1">
      <c r="E329" s="897"/>
      <c r="F329" s="898"/>
    </row>
    <row r="330" spans="5:6" ht="15.75" customHeight="1">
      <c r="E330" s="897"/>
      <c r="F330" s="898"/>
    </row>
    <row r="331" spans="5:6" ht="15.75" customHeight="1">
      <c r="E331" s="897"/>
      <c r="F331" s="898"/>
    </row>
    <row r="332" spans="5:6" ht="15.75" customHeight="1">
      <c r="E332" s="897"/>
      <c r="F332" s="898"/>
    </row>
    <row r="333" spans="5:6" ht="15.75" customHeight="1">
      <c r="E333" s="897"/>
      <c r="F333" s="898"/>
    </row>
    <row r="334" spans="5:6" ht="15.75" customHeight="1">
      <c r="E334" s="897"/>
      <c r="F334" s="898"/>
    </row>
    <row r="335" spans="5:6" ht="15.75" customHeight="1">
      <c r="E335" s="897"/>
      <c r="F335" s="898"/>
    </row>
    <row r="336" spans="5:6" ht="15.75" customHeight="1">
      <c r="E336" s="897"/>
      <c r="F336" s="898"/>
    </row>
    <row r="337" spans="5:6" ht="15.75" customHeight="1">
      <c r="E337" s="897"/>
      <c r="F337" s="898"/>
    </row>
    <row r="338" spans="5:6" ht="15.75" customHeight="1">
      <c r="E338" s="897"/>
      <c r="F338" s="898"/>
    </row>
    <row r="339" spans="5:6" ht="15.75" customHeight="1">
      <c r="E339" s="897"/>
      <c r="F339" s="898"/>
    </row>
    <row r="340" spans="5:6" ht="15.75" customHeight="1">
      <c r="E340" s="897"/>
      <c r="F340" s="898"/>
    </row>
    <row r="341" spans="5:6" ht="15.75" customHeight="1">
      <c r="E341" s="897"/>
      <c r="F341" s="898"/>
    </row>
    <row r="342" spans="5:6" ht="15.75" customHeight="1">
      <c r="E342" s="897"/>
      <c r="F342" s="898"/>
    </row>
    <row r="343" spans="5:6" ht="15.75" customHeight="1">
      <c r="E343" s="897"/>
      <c r="F343" s="898"/>
    </row>
    <row r="344" spans="5:6" ht="15.75" customHeight="1">
      <c r="E344" s="897"/>
      <c r="F344" s="898"/>
    </row>
    <row r="345" spans="5:6" ht="15.75" customHeight="1">
      <c r="E345" s="897"/>
      <c r="F345" s="898"/>
    </row>
    <row r="346" spans="5:6" ht="15.75" customHeight="1">
      <c r="E346" s="897"/>
      <c r="F346" s="898"/>
    </row>
    <row r="347" spans="5:6" ht="15.75" customHeight="1">
      <c r="E347" s="897"/>
      <c r="F347" s="898"/>
    </row>
    <row r="348" spans="5:6" ht="15.75" customHeight="1">
      <c r="E348" s="897"/>
      <c r="F348" s="898"/>
    </row>
    <row r="349" spans="5:6" ht="15.75" customHeight="1">
      <c r="E349" s="897"/>
      <c r="F349" s="898"/>
    </row>
    <row r="350" spans="5:6" ht="15.75" customHeight="1">
      <c r="E350" s="897"/>
      <c r="F350" s="898"/>
    </row>
    <row r="351" spans="5:6" ht="15.75" customHeight="1">
      <c r="E351" s="897"/>
      <c r="F351" s="898"/>
    </row>
    <row r="352" spans="5:6" ht="15.75" customHeight="1">
      <c r="E352" s="897"/>
      <c r="F352" s="898"/>
    </row>
    <row r="353" spans="5:6" ht="15.75" customHeight="1">
      <c r="E353" s="897"/>
      <c r="F353" s="898"/>
    </row>
    <row r="354" spans="5:6" ht="15.75" customHeight="1">
      <c r="E354" s="897"/>
      <c r="F354" s="898"/>
    </row>
    <row r="355" spans="5:6" ht="15.75" customHeight="1">
      <c r="E355" s="897"/>
      <c r="F355" s="898"/>
    </row>
    <row r="356" spans="5:6" ht="15.75" customHeight="1">
      <c r="E356" s="897"/>
      <c r="F356" s="898"/>
    </row>
    <row r="357" spans="5:6" ht="15.75" customHeight="1">
      <c r="E357" s="897"/>
      <c r="F357" s="898"/>
    </row>
    <row r="358" spans="5:6" ht="15.75" customHeight="1">
      <c r="E358" s="897"/>
      <c r="F358" s="898"/>
    </row>
    <row r="359" spans="5:6" ht="15.75" customHeight="1">
      <c r="E359" s="897"/>
      <c r="F359" s="898"/>
    </row>
    <row r="360" spans="5:6" ht="15.75" customHeight="1">
      <c r="E360" s="897"/>
      <c r="F360" s="898"/>
    </row>
    <row r="361" spans="5:6" ht="15.75" customHeight="1">
      <c r="E361" s="897"/>
      <c r="F361" s="898"/>
    </row>
    <row r="362" spans="5:6" ht="15.75" customHeight="1">
      <c r="E362" s="897"/>
      <c r="F362" s="898"/>
    </row>
    <row r="363" spans="5:6" ht="15.75" customHeight="1">
      <c r="E363" s="897"/>
      <c r="F363" s="898"/>
    </row>
    <row r="364" spans="5:6" ht="15.75" customHeight="1">
      <c r="E364" s="897"/>
      <c r="F364" s="898"/>
    </row>
    <row r="365" spans="5:6" ht="15.75" customHeight="1">
      <c r="E365" s="897"/>
      <c r="F365" s="898"/>
    </row>
    <row r="366" spans="5:6" ht="15.75" customHeight="1">
      <c r="E366" s="897"/>
      <c r="F366" s="898"/>
    </row>
    <row r="367" spans="5:6" ht="15.75" customHeight="1">
      <c r="E367" s="897"/>
      <c r="F367" s="898"/>
    </row>
    <row r="368" spans="5:6" ht="15.75" customHeight="1">
      <c r="E368" s="897"/>
      <c r="F368" s="898"/>
    </row>
    <row r="369" spans="5:6" ht="15.75" customHeight="1">
      <c r="E369" s="897"/>
      <c r="F369" s="898"/>
    </row>
    <row r="370" spans="5:6" ht="15.75" customHeight="1">
      <c r="E370" s="897"/>
      <c r="F370" s="898"/>
    </row>
    <row r="371" spans="5:6" ht="15.75" customHeight="1">
      <c r="E371" s="897"/>
      <c r="F371" s="898"/>
    </row>
    <row r="372" spans="5:6" ht="15.75" customHeight="1">
      <c r="E372" s="897"/>
      <c r="F372" s="898"/>
    </row>
    <row r="373" spans="5:6" ht="15.75" customHeight="1">
      <c r="E373" s="897"/>
      <c r="F373" s="898"/>
    </row>
    <row r="374" spans="5:6" ht="15.75" customHeight="1">
      <c r="E374" s="897"/>
      <c r="F374" s="898"/>
    </row>
    <row r="375" spans="5:6" ht="15.75" customHeight="1">
      <c r="E375" s="897"/>
      <c r="F375" s="898"/>
    </row>
    <row r="376" spans="5:6" ht="15.75" customHeight="1"/>
    <row r="377" spans="5:6" ht="15.75" customHeight="1"/>
    <row r="378" spans="5:6" ht="15.75" customHeight="1"/>
    <row r="379" spans="5:6" ht="15.75" customHeight="1"/>
    <row r="380" spans="5:6" ht="15.75" customHeight="1"/>
    <row r="381" spans="5:6" ht="15.75" customHeight="1"/>
    <row r="382" spans="5:6" ht="15.75" customHeight="1"/>
    <row r="383" spans="5:6" ht="15.75" customHeight="1"/>
    <row r="384" spans="5:6"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E2"/>
    <mergeCell ref="B5:E5"/>
  </mergeCells>
  <conditionalFormatting sqref="G7 G21:G32 G35:G46 G49 G51:G60 G63 G65:G74 G77:G78 G80:G88 G91:G102 G105 G107:G116 G119:G130 G133:G144 G147:G149 G154:G158 G161 G163:G172">
    <cfRule type="expression" dxfId="109" priority="1">
      <formula>$K$14&gt;0</formula>
    </cfRule>
  </conditionalFormatting>
  <conditionalFormatting sqref="G8:G18 G21:G32 G35:G46 G49:G60 G63:G74 G77:G88 G91:G102 G105:G116 G119:G130 G133:G144 G147:G158 G161:G172">
    <cfRule type="expression" dxfId="108" priority="2">
      <formula>$K$15&gt;0</formula>
    </cfRule>
  </conditionalFormatting>
  <conditionalFormatting sqref="G9 G23 G36:G37 G50:G51 G65 G79 G93 G107 G121 G135 G149 G163">
    <cfRule type="expression" dxfId="107" priority="3">
      <formula>$K$16&gt;0</formula>
    </cfRule>
  </conditionalFormatting>
  <conditionalFormatting sqref="G10:G11 G24:G25 G38:G39 G52:G53 G66:G67 G80:G81 G94:G95 G108:G109 G122:G123 G136:G137 G148 G150:G151 G164:G165">
    <cfRule type="expression" dxfId="106" priority="4">
      <formula>$K$17&gt;0</formula>
    </cfRule>
  </conditionalFormatting>
  <conditionalFormatting sqref="G11 G25 G39 G52:G53 G67 G81 G95 G109 G123 G137 G148 G151 G165">
    <cfRule type="expression" dxfId="105" priority="5">
      <formula>$K$18&gt;0</formula>
    </cfRule>
  </conditionalFormatting>
  <conditionalFormatting sqref="G11 G25 G39 G53 G67 G81 G95 G109 G123 G137 G151 G165">
    <cfRule type="expression" dxfId="104" priority="6">
      <formula>$K$17&gt;0</formula>
    </cfRule>
  </conditionalFormatting>
  <conditionalFormatting sqref="G12 G26 G40 G53:G54 G68 G82 G96 G110 G124 G138 G149 G152 G166">
    <cfRule type="expression" dxfId="103" priority="7">
      <formula>$K$19&gt;0</formula>
    </cfRule>
  </conditionalFormatting>
  <conditionalFormatting sqref="G13 G27 G41 G54:G55 G69 G83 G97 G111 G125 G139 G150 G153 G167">
    <cfRule type="expression" dxfId="102" priority="8">
      <formula>$K$20&gt;0</formula>
    </cfRule>
  </conditionalFormatting>
  <conditionalFormatting sqref="G14 G28 G42 G55:G56 G70 G84 G98 G112 G126 G140 G151 G154 G168">
    <cfRule type="expression" dxfId="101" priority="9">
      <formula>$K$21&gt;0</formula>
    </cfRule>
  </conditionalFormatting>
  <conditionalFormatting sqref="G15 G29 G43 G56:G57 G71 G85 G99 G113 G127 G141 G152 G155 G169">
    <cfRule type="expression" dxfId="100" priority="10">
      <formula>$K$22&gt;0</formula>
    </cfRule>
  </conditionalFormatting>
  <conditionalFormatting sqref="G16 G30 G44 G57:G58 G72 G86 G100 G114 G128 G142 G153 G156 G170">
    <cfRule type="expression" dxfId="99" priority="11">
      <formula>$K$23&gt;0</formula>
    </cfRule>
  </conditionalFormatting>
  <conditionalFormatting sqref="G17 G31 G45 G58:G59 G73 G87 G101 G115 G129 G143 G154 G157 G171">
    <cfRule type="expression" dxfId="98" priority="12">
      <formula>$K$24&gt;0</formula>
    </cfRule>
  </conditionalFormatting>
  <conditionalFormatting sqref="G18 G32 G46 G59:G60 G74 G88 G102 G116 G130 G144 G155 G158 G172">
    <cfRule type="expression" dxfId="97" priority="13">
      <formula>$K$25&gt;0</formula>
    </cfRule>
  </conditionalFormatting>
  <conditionalFormatting sqref="H18 H32 H46 H59:H60 H74 H88 H102 H116 H130 H144 H155 H158 H172">
    <cfRule type="cellIs" dxfId="96" priority="14" operator="greaterThan">
      <formula>0</formula>
    </cfRule>
  </conditionalFormatting>
  <conditionalFormatting sqref="B7:C7 B21 B35 C21:C32">
    <cfRule type="expression" dxfId="95" priority="15">
      <formula>$E$7&gt;0</formula>
    </cfRule>
  </conditionalFormatting>
  <conditionalFormatting sqref="B9:C9 B23:C23 B37">
    <cfRule type="expression" dxfId="94" priority="16">
      <formula>$E$9&gt;0</formula>
    </cfRule>
  </conditionalFormatting>
  <conditionalFormatting sqref="B10:C10 B24:C24 B38">
    <cfRule type="expression" dxfId="93" priority="17">
      <formula>$E$10&gt;0</formula>
    </cfRule>
  </conditionalFormatting>
  <conditionalFormatting sqref="B11:C11 B25:C25 B39">
    <cfRule type="expression" dxfId="92" priority="18">
      <formula>$E$11&gt;0</formula>
    </cfRule>
  </conditionalFormatting>
  <conditionalFormatting sqref="B12:C12 B26:C26 B40">
    <cfRule type="expression" dxfId="91" priority="19">
      <formula>$E$12&gt;0</formula>
    </cfRule>
  </conditionalFormatting>
  <conditionalFormatting sqref="B13 B27:C27 B41 C13:C15">
    <cfRule type="expression" dxfId="90" priority="20">
      <formula>$E$13&gt;0</formula>
    </cfRule>
  </conditionalFormatting>
  <conditionalFormatting sqref="B14:C14 B28:C28 B42">
    <cfRule type="expression" dxfId="89" priority="21">
      <formula>$E$14&gt;0</formula>
    </cfRule>
  </conditionalFormatting>
  <conditionalFormatting sqref="B15:C15 B29:C29 B43">
    <cfRule type="expression" dxfId="88" priority="22">
      <formula>$E$15&gt;0</formula>
    </cfRule>
  </conditionalFormatting>
  <conditionalFormatting sqref="B16:C16 B30:C30 B44">
    <cfRule type="expression" dxfId="87" priority="23">
      <formula>$E$16&gt;0</formula>
    </cfRule>
  </conditionalFormatting>
  <conditionalFormatting sqref="B17:C17 B31:C31 B45">
    <cfRule type="expression" dxfId="86" priority="24">
      <formula>$E$17&gt;0</formula>
    </cfRule>
  </conditionalFormatting>
  <conditionalFormatting sqref="B18:C18 B32:C32 B46">
    <cfRule type="expression" dxfId="85" priority="25">
      <formula>$E$18&gt;0</formula>
    </cfRule>
  </conditionalFormatting>
  <conditionalFormatting sqref="B8:B18 B21:B32 B35:B46 C8 C22">
    <cfRule type="expression" dxfId="84" priority="26">
      <formula>$E$8&gt;0</formula>
    </cfRule>
  </conditionalFormatting>
  <conditionalFormatting sqref="E77">
    <cfRule type="expression" dxfId="83" priority="27">
      <formula>#REF!&gt;0</formula>
    </cfRule>
  </conditionalFormatting>
  <conditionalFormatting sqref="E78">
    <cfRule type="expression" dxfId="82" priority="28">
      <formula>#REF!&gt;0</formula>
    </cfRule>
  </conditionalFormatting>
  <conditionalFormatting sqref="E79">
    <cfRule type="expression" dxfId="81" priority="29">
      <formula>#REF!&gt;0</formula>
    </cfRule>
  </conditionalFormatting>
  <conditionalFormatting sqref="E80">
    <cfRule type="expression" dxfId="80" priority="30">
      <formula>#REF!&gt;0</formula>
    </cfRule>
  </conditionalFormatting>
  <conditionalFormatting sqref="E81">
    <cfRule type="expression" dxfId="79" priority="31">
      <formula>#REF!&gt;0</formula>
    </cfRule>
  </conditionalFormatting>
  <conditionalFormatting sqref="E81">
    <cfRule type="expression" dxfId="78" priority="32">
      <formula>#REF!&gt;0</formula>
    </cfRule>
  </conditionalFormatting>
  <conditionalFormatting sqref="E77 E82">
    <cfRule type="expression" dxfId="77" priority="33">
      <formula>#REF!&gt;0</formula>
    </cfRule>
  </conditionalFormatting>
  <conditionalFormatting sqref="E83">
    <cfRule type="expression" dxfId="76" priority="34">
      <formula>#REF!&gt;0</formula>
    </cfRule>
  </conditionalFormatting>
  <conditionalFormatting sqref="E84">
    <cfRule type="expression" dxfId="75" priority="35">
      <formula>#REF!&gt;0</formula>
    </cfRule>
  </conditionalFormatting>
  <conditionalFormatting sqref="E85">
    <cfRule type="expression" dxfId="74" priority="36">
      <formula>#REF!&gt;0</formula>
    </cfRule>
  </conditionalFormatting>
  <conditionalFormatting sqref="E86">
    <cfRule type="expression" dxfId="73" priority="37">
      <formula>#REF!&gt;0</formula>
    </cfRule>
  </conditionalFormatting>
  <conditionalFormatting sqref="E87">
    <cfRule type="expression" dxfId="72" priority="38">
      <formula>#REF!&gt;0</formula>
    </cfRule>
  </conditionalFormatting>
  <conditionalFormatting sqref="E88">
    <cfRule type="expression" dxfId="71" priority="39">
      <formula>#REF!&gt;0</formula>
    </cfRule>
  </conditionalFormatting>
  <conditionalFormatting sqref="E7:F7 E21:F32 E35:F46 E49:F49 E51:F60 E63:F63 E65:F74 E77:F78 E80:F88 E91:F102 E105:F105 E107:F116 E119:F130 E133:F144 E147:F149 E154:F158 E161:F161 E163:F172">
    <cfRule type="expression" dxfId="70" priority="40">
      <formula>#REF!&gt;0</formula>
    </cfRule>
  </conditionalFormatting>
  <conditionalFormatting sqref="E8:F18 E21:F32 E35:F46 E49:F60 E63:F74 E77:F88 E91:F102 E105:F116 E119:F130 E133:F144 E147:F158 E161:F172">
    <cfRule type="expression" dxfId="69" priority="41">
      <formula>#REF!&gt;0</formula>
    </cfRule>
  </conditionalFormatting>
  <conditionalFormatting sqref="E9:F9 E23:F23 E37:F37 E51:F51 E65:F65 E79:F79 E93:F93 E107:F107 E121:F121 E135:F135 E149:F149 E163:F163">
    <cfRule type="expression" dxfId="68" priority="42">
      <formula>#REF!&gt;0</formula>
    </cfRule>
  </conditionalFormatting>
  <conditionalFormatting sqref="E10:F11 E24:F25 E38:F39 E52:F53 E66:F67 E80:F81 E94:F95 E108:F109 E122:F123 E136:F137 E150:F151 E164:F165">
    <cfRule type="expression" dxfId="67" priority="43">
      <formula>#REF!&gt;0</formula>
    </cfRule>
  </conditionalFormatting>
  <conditionalFormatting sqref="E11:F11 E25:F25 E39:F39 E53:F53 E67:F67 E81:F81 E95:F95 E109:F109 E123:F123 E137:F137 E151:F151 E165:F165">
    <cfRule type="expression" dxfId="66" priority="44">
      <formula>#REF!&gt;0</formula>
    </cfRule>
  </conditionalFormatting>
  <conditionalFormatting sqref="E11:F11 E25:F25 E39:F39 E53:F53 E67:F67 E81:F81 E95:F95 E109:F109 E123:F123 E137:F137 E151:F151 E165:F165">
    <cfRule type="expression" dxfId="65" priority="45">
      <formula>#REF!&gt;0</formula>
    </cfRule>
  </conditionalFormatting>
  <conditionalFormatting sqref="E12:F12 E26:F26 E40:F40 E54:F54 E68:F68 E82:F82 E96:F96 E110:F110 E124:F124 E138:F138 E152:F152 E166:F166">
    <cfRule type="expression" dxfId="64" priority="46">
      <formula>#REF!&gt;0</formula>
    </cfRule>
  </conditionalFormatting>
  <conditionalFormatting sqref="E13:F13 E27:F27 E41:F41 E55:F55 E69:F69 E83:F83 E97:F97 E111:F111 E125:F125 E139:F139 E153:F153 E167:F167">
    <cfRule type="expression" dxfId="63" priority="47">
      <formula>#REF!&gt;0</formula>
    </cfRule>
  </conditionalFormatting>
  <conditionalFormatting sqref="E14:F14 E28:F28 E42:F42 E56:F56 E70:F70 E84:F84 E98:F98 E112:F112 E126:F126 E140:F140 E154:F154 E168:F168">
    <cfRule type="expression" dxfId="62" priority="48">
      <formula>#REF!&gt;0</formula>
    </cfRule>
  </conditionalFormatting>
  <conditionalFormatting sqref="E15:F15 E29:F29 E43:F43 E57:F57 E71:F71 E85:F85 E99:F99 E113:F113 E127:F127 E141:F141 E155:F155 E169:F169">
    <cfRule type="expression" dxfId="61" priority="49">
      <formula>#REF!&gt;0</formula>
    </cfRule>
  </conditionalFormatting>
  <conditionalFormatting sqref="E16:F16 E30:F30 E44:F44 E58:F58 E72:F72 E86:F86 E100:F100 E114:F114 E128:F128 E142:F142 E156:F156 E170:F170">
    <cfRule type="expression" dxfId="60" priority="50">
      <formula>#REF!&gt;0</formula>
    </cfRule>
  </conditionalFormatting>
  <conditionalFormatting sqref="E17:F17 E31:F31 E45:F45 E59:F59 E73:F73 E87:F87 E101:F101 E115:F115 E129:F129 E143:F143 E157:F157 E171:F171">
    <cfRule type="expression" dxfId="59" priority="51">
      <formula>#REF!&gt;0</formula>
    </cfRule>
  </conditionalFormatting>
  <conditionalFormatting sqref="E18:F18 E32:F32 E46:F46 E60:F60 E74:F74 E88:F88 E102:F102 E116:F116 E130:F130 E144:F144 E158:F158 E172:F172">
    <cfRule type="expression" dxfId="58" priority="52">
      <formula>#REF!&gt;0</formula>
    </cfRule>
  </conditionalFormatting>
  <conditionalFormatting sqref="E7:F7 E21:F32 E35:F46 E49:F49 E51:F60 E63:F63 E65:F74 E77:F78 E80:F88 E91:F102 E105:F105 E107:F116 E119:F130 E133:F144 E147:F149 E154:F158 E161:F161 E163:F172">
    <cfRule type="expression" dxfId="57" priority="53">
      <formula>#REF!&gt;0</formula>
    </cfRule>
  </conditionalFormatting>
  <conditionalFormatting sqref="E8:F18 E21:F32 E35:F46 E49:F60 E63:F74 E77:F88 E91:F102 E105:F116 E119:F130 E133:F144 E147:F158 E161:F172">
    <cfRule type="expression" dxfId="56" priority="54">
      <formula>#REF!&gt;0</formula>
    </cfRule>
  </conditionalFormatting>
  <conditionalFormatting sqref="E9:F9 E23:F23 E37:F37 E51:F51 E65:F65 E79:F79 E93:F93 E107:F107 E121:F121 E135:E144 E149:F149 E163:F163 F135">
    <cfRule type="expression" dxfId="55" priority="55">
      <formula>#REF!&gt;0</formula>
    </cfRule>
  </conditionalFormatting>
  <conditionalFormatting sqref="E10:F10 E24:F24 E38:F38 E52:F52 E66:F66 E80:F80 E94:F94 E108:F108 E122:E130 E136:E144 E150:F150 E164:F164 F122 F136">
    <cfRule type="expression" dxfId="54" priority="56">
      <formula>#REF!&gt;0</formula>
    </cfRule>
  </conditionalFormatting>
  <conditionalFormatting sqref="E11:F11 E25:F25 E39:F39 E53:F53 E67:F67 E81:F81 E95:F95 E109:F109 E123:E130 E137:E144 E151:F151 E165:F165 F123 F137">
    <cfRule type="expression" dxfId="53" priority="57">
      <formula>#REF!&gt;0</formula>
    </cfRule>
  </conditionalFormatting>
  <conditionalFormatting sqref="E11:F11 E25:F25 E39:F39 E53:F53 E67:F67 E81:F81 E95:F95 E109:F109 E123:E130 E137:E144 E151:F151 E165:F165 F123 F137">
    <cfRule type="expression" dxfId="52" priority="58">
      <formula>#REF!&gt;0</formula>
    </cfRule>
  </conditionalFormatting>
  <conditionalFormatting sqref="E12:F12 E26:F26 E40:F40 E54:F54 E68:F68 E77 E82:F82 E96:F96 E110:F110 E124:E130 E138:E144 E152:F152 E166:F166 F124 F138">
    <cfRule type="expression" dxfId="51" priority="59">
      <formula>#REF!&gt;0</formula>
    </cfRule>
  </conditionalFormatting>
  <conditionalFormatting sqref="E13:F13 E27:F27 E41:F41 E55:F55 E69:F69 E83:F83 E97:F97 E111:F111 E125:E130 E139:E144 E153:F153 E167:F167 F125 F139">
    <cfRule type="expression" dxfId="50" priority="60">
      <formula>#REF!&gt;0</formula>
    </cfRule>
  </conditionalFormatting>
  <conditionalFormatting sqref="E14:F14 E28:F28 E42:F42 E56:F56 E70:F70 E84:F84 E98:F98 E112:F112 E126:E130 E140:E144 E154:F154 E168:F168 F126 F140">
    <cfRule type="expression" dxfId="49" priority="61">
      <formula>#REF!&gt;0</formula>
    </cfRule>
  </conditionalFormatting>
  <conditionalFormatting sqref="E15:F15 E29:F29 E43:F43 E57:F57 E71:F71 E85:F85 E99:F99 E113:F113 E127:E130 E141:E144 E155:F155 E169:F169 F127 F141">
    <cfRule type="expression" dxfId="48" priority="62">
      <formula>#REF!&gt;0</formula>
    </cfRule>
  </conditionalFormatting>
  <conditionalFormatting sqref="E16:F16 E30:F30 E44:F44 E58:F58 E72:F72 E86:F86 E100:F100 E114:F114 E128:E130 E142:E144 E156:F156 E170:F170 F128 F142">
    <cfRule type="expression" dxfId="47" priority="63">
      <formula>#REF!&gt;0</formula>
    </cfRule>
  </conditionalFormatting>
  <conditionalFormatting sqref="E17:F17 E31:F31 E45:F45 E59:F59 E73:F73 E87:F87 E101:F101 E115:F115 E129:E130 E143:E144 E157:F157 E171:F171 F129 F143">
    <cfRule type="expression" dxfId="46" priority="64">
      <formula>#REF!&gt;0</formula>
    </cfRule>
  </conditionalFormatting>
  <conditionalFormatting sqref="E18:F18 E32:F32 E46:F46 E60:F60 E74:F74 E88:F88 E102:F102 E116:F116 E130:F130 E144:F144 E158:F158 E172:F172">
    <cfRule type="expression" dxfId="45" priority="65">
      <formula>#REF!&gt;0</formula>
    </cfRule>
  </conditionalFormatting>
  <conditionalFormatting sqref="D7:D18 D21:D32 D35:D46 D49:D60 D63:D74 D77:D88 D91:D102 D105:D116 D119:D130 D133:D144 D147:D158 D161:D172 E77:E86 E107:F116 E121:E130 E135:E144 F5:F7 F21:F32 F35:F46 F49 F51:F60 F63 F65:F74 F77:F78 F80:F88 F91:F102 F105 F119:F130 F133:F144 F147:F149 F154:F158 F161 F163:F172">
    <cfRule type="cellIs" dxfId="44" priority="66" operator="greaterThan">
      <formula>0</formula>
    </cfRule>
  </conditionalFormatting>
  <conditionalFormatting sqref="D7:D18 D21:D32 D35:D46 D49:D60 D63:D74 D77:D88 D91:D102 D105:D116 D119:D130 D133:D144 D147:D158 D161:D172">
    <cfRule type="cellIs" dxfId="43" priority="67" operator="greaterThan">
      <formula>0</formula>
    </cfRule>
  </conditionalFormatting>
  <conditionalFormatting sqref="D8:D18 D21:D32 D35:D46 D49:D60 D63:D74 D77:D88 D91:D102 D105:D116 D119:D130 D133:D144 D147:D158 D161:D172">
    <cfRule type="cellIs" dxfId="42" priority="68" operator="greaterThan">
      <formula>0</formula>
    </cfRule>
  </conditionalFormatting>
  <conditionalFormatting sqref="D8:D18 D21:D32 D35:D46 D49:D60 D63:D74 D77:D88 D91:D102 D105:D116 D119:D130 D133:D144 D147:D158 D161:D172">
    <cfRule type="cellIs" dxfId="41" priority="69" operator="greaterThan">
      <formula>0</formula>
    </cfRule>
  </conditionalFormatting>
  <conditionalFormatting sqref="D9:D18 D23:D32 D37:D46 D51:D60 D65:D74 D79:D88 D93:D102 D107:D116 D121:D130 D135:D144 D149:D158 D163:D172">
    <cfRule type="cellIs" dxfId="40" priority="70" operator="greaterThan">
      <formula>0</formula>
    </cfRule>
  </conditionalFormatting>
  <conditionalFormatting sqref="D9:D18 D23:D32 D37:D46 D51:D60 D65:D74 D79:D88 D93:D102 D107:D116 D121:D130 D135:D144 D149:D158 D163:D172">
    <cfRule type="cellIs" dxfId="39" priority="71" operator="greaterThan">
      <formula>0</formula>
    </cfRule>
  </conditionalFormatting>
  <conditionalFormatting sqref="B7:C7 B21 B35 B49 B63 B77 B91 B105 B119 B133 B147 B161 C21:C32 C35:C46 C49:C60 C63:C74 C77:C88 C91:C102 C105:C116 C119:C130 C133:C144 C147:C158 C161:C172">
    <cfRule type="expression" dxfId="38" priority="72">
      <formula>$D$7&gt;0</formula>
    </cfRule>
  </conditionalFormatting>
  <conditionalFormatting sqref="B7:C7 B21 B35 B49 B63 B77 B91 B105 B119 B133 B147 B161 C21:C32 C35:C46 C49:C60 C63:C74 C77:C88 C91:C102 C105:C116 C119:C130 C133:C144 C147:C158 C161:C172">
    <cfRule type="expression" dxfId="37" priority="73">
      <formula>$C$7&gt;0</formula>
    </cfRule>
  </conditionalFormatting>
  <conditionalFormatting sqref="B9:C9 B23:C23 B37:C37 B51:C51 B65:C65 B79:C79 B93:C93 B107:C107 B121:C121 B135:C135 B149:C149 B163:C163">
    <cfRule type="expression" dxfId="36" priority="74">
      <formula>$D$9&gt;0</formula>
    </cfRule>
  </conditionalFormatting>
  <conditionalFormatting sqref="B10:C10 B24:C24 B38:C38 B52:C52 B66:C66 B80:C80 B94:C94 B108:C108 B122:C122 B136:C136 B150:C150 B164:C164">
    <cfRule type="expression" dxfId="35" priority="75">
      <formula>$D$10&gt;0</formula>
    </cfRule>
  </conditionalFormatting>
  <conditionalFormatting sqref="B11:C11 B25:C25 B39:C39 B53:C53 B67:C67 B81:C81 B95:C95 B109:C109 B123:C123 B137:C137 B151:C151 B165:C165">
    <cfRule type="expression" dxfId="34" priority="76">
      <formula>$D$11&gt;0</formula>
    </cfRule>
  </conditionalFormatting>
  <conditionalFormatting sqref="B12:C12 B26:C26 B40:C40 B54:C54 B68:C68 B82:C82 B96:C96 B110:C110 B124:C124 B138:C138 B152:C152 B166:C166">
    <cfRule type="expression" dxfId="33" priority="77">
      <formula>$D$12&gt;0</formula>
    </cfRule>
  </conditionalFormatting>
  <conditionalFormatting sqref="B13 B27:C27 B41:C41 B55:C55 B69:C69 B83:C83 B97:C97 B111:C111 B125:C125 B139:C139 B153:C153 B167:C167 C13:C15">
    <cfRule type="expression" dxfId="32" priority="78">
      <formula>$D$13&gt;0</formula>
    </cfRule>
  </conditionalFormatting>
  <conditionalFormatting sqref="B14:C14 B28:C28 B42:C42 B56:C56 B70:C70 B84:C84 B98:C98 B112:C112 B126:C126 B140:C140 B154:C154 B168:C168">
    <cfRule type="expression" dxfId="31" priority="79">
      <formula>$D$14&gt;0</formula>
    </cfRule>
  </conditionalFormatting>
  <conditionalFormatting sqref="B15:C15 B29:C29 B43:C43 B57:C57 B71:C71 B85:C85 B99:C99 B113:C113 B127:C127 B141:C141 B155:C155 B169:C169">
    <cfRule type="expression" dxfId="30" priority="80">
      <formula>$D$15&gt;0</formula>
    </cfRule>
  </conditionalFormatting>
  <conditionalFormatting sqref="B16:C16 B30:C30 B44:C44 B58:C58 B72:C72 B86:C86 B100:C100 B114:C114 B128:C128 B142:C142 B156:C156 B170:C170">
    <cfRule type="expression" dxfId="29" priority="81">
      <formula>$D$16&gt;0</formula>
    </cfRule>
  </conditionalFormatting>
  <conditionalFormatting sqref="B17:C17 B31:C31 B45:C45 B59:C59 B73:C73 B87:C87 B101:C101 B115:C115 B129:C129 B143:C143 B157:C157 B171:C171">
    <cfRule type="expression" dxfId="28" priority="82">
      <formula>$D$17&gt;0</formula>
    </cfRule>
  </conditionalFormatting>
  <conditionalFormatting sqref="B18:C18 B32:C32 B46:C46 B60:C60 B74:C74 B88:C88 B102:C102 B116:C116 B130:C130 B144:C144 B158:C158 B172:C172">
    <cfRule type="expression" dxfId="27" priority="83">
      <formula>$D$18&gt;0</formula>
    </cfRule>
  </conditionalFormatting>
  <conditionalFormatting sqref="B8:B18 B21:C32 B35:B46 B50:B60 B64:B74 B78:B88 B92:B102 B106:B116 B120:B130 B134:B144 B148:B158 B162:B172 C7:C18 C36 C50 C64 C78 C92 C106 C120 C134 C148 C162">
    <cfRule type="expression" dxfId="26" priority="84">
      <formula>$D$8&gt;0</formula>
    </cfRule>
  </conditionalFormatting>
  <conditionalFormatting sqref="D8:D18 D21:D32 D35:D46 D49:D60 D63:D74 D77:D88 D91:D102 D105:D116 D119:D130 D133:D144 D147:D158 D161:D172 E85 E115 F6">
    <cfRule type="cellIs" dxfId="25" priority="85" operator="greaterThan">
      <formula>0</formula>
    </cfRule>
  </conditionalFormatting>
  <conditionalFormatting sqref="D7:D18 D21:D32 D35:D46 D49:D60 D63:D74 D77:D88 D91:D102 D105:D116 D119:D130 D133:D144 D147:D158 D161:D172">
    <cfRule type="cellIs" dxfId="24" priority="86" operator="greaterThan">
      <formula>0</formula>
    </cfRule>
  </conditionalFormatting>
  <conditionalFormatting sqref="D9 D23 D37 D51 D65 D79 D93 D107:E107 D121:E121 D135 D149 D163 E77 E135:E144">
    <cfRule type="cellIs" dxfId="23" priority="87" operator="greaterThan">
      <formula>0</formula>
    </cfRule>
  </conditionalFormatting>
  <conditionalFormatting sqref="D10 D24 D38 D52 D66 D80 D94 D108 D122 D136 D150 D164">
    <cfRule type="cellIs" dxfId="22" priority="88" operator="greaterThan">
      <formula>0</formula>
    </cfRule>
  </conditionalFormatting>
  <conditionalFormatting sqref="D11 D25 D39 D53 D67 D81 D95 D109 D123 D137 D151 D165">
    <cfRule type="cellIs" dxfId="21" priority="89" operator="greaterThan">
      <formula>0</formula>
    </cfRule>
  </conditionalFormatting>
  <conditionalFormatting sqref="D12 D26 D40 D54 D68 D82 D96 D110 D124 D138 D152:D153 D166">
    <cfRule type="cellIs" dxfId="20" priority="90" operator="greaterThan">
      <formula>0</formula>
    </cfRule>
  </conditionalFormatting>
  <conditionalFormatting sqref="D13 D18 D27 D32 D41 D46 D55 D60 D69 D74 D83 D88 D97 D102 D111 D116:E116 D125 D130:E130 D139 D144:E144 D153 D158 D167 D172 E86 F7 F21:F32 F35:F46 F49 F51:F60 F63 F65:F74 F77:F78 F80:F88 F91:F102 F105 F107:F116 F119:F130 F133:F144 F147:F149 F154:F158 F161 F163:F172">
    <cfRule type="cellIs" dxfId="19" priority="91" operator="lessThan">
      <formula>0</formula>
    </cfRule>
  </conditionalFormatting>
  <conditionalFormatting sqref="D14 D28 D42 D56 D70 D84 D98 D112:E112 D126 D140 D154 D168 E77 E82 E126:E130 E140:E144 H17 H31 H45 H58:H59 H73 H87 H101 H115 H129 H143 H150 H154 H157 H171">
    <cfRule type="cellIs" dxfId="18" priority="92" operator="greaterThan">
      <formula>0</formula>
    </cfRule>
  </conditionalFormatting>
  <conditionalFormatting sqref="D15 D29 D43 D57 D71 D85 D99 D113 D127 D141 D155 D169 H7:H8 H16 H21:H22 H30 H35:H36 H44 H49:H50 H57:H58 H63:H64 H72 H77:H79 H86 H91:H92 H100 H105:H106 H114 H119:H120 H128 H133:H134 H142 H147:H149 H151:H153 H156 H161:H162 H170">
    <cfRule type="cellIs" dxfId="17" priority="93" operator="greaterThan">
      <formula>0</formula>
    </cfRule>
  </conditionalFormatting>
  <conditionalFormatting sqref="D16 D30 D44 D58 D72 D86 D100 D114 D128 D142 D156 D170">
    <cfRule type="cellIs" dxfId="16" priority="94" operator="greaterThan">
      <formula>0</formula>
    </cfRule>
  </conditionalFormatting>
  <conditionalFormatting sqref="D17 D31 D45 D59 D73 D87 D101 D115 D129 D143 D157 D171">
    <cfRule type="cellIs" dxfId="15" priority="95" operator="greaterThan">
      <formula>0</formula>
    </cfRule>
  </conditionalFormatting>
  <conditionalFormatting sqref="D18 D32 D46 D60 D74 D88 D102 D116 D130 D144 D158 D172">
    <cfRule type="cellIs" dxfId="14" priority="96" operator="greaterThan">
      <formula>0</formula>
    </cfRule>
  </conditionalFormatting>
  <printOptions horizontalCentered="1" gridLines="1"/>
  <pageMargins left="0.7" right="0.7" top="0.75" bottom="0.75" header="0" footer="0"/>
  <pageSetup paperSize="9" pageOrder="overThenDown" orientation="portrait" cellComments="atEnd"/>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6DDE8"/>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3.140625" customWidth="1"/>
    <col min="7" max="8" width="14.28515625" customWidth="1"/>
    <col min="9" max="9" width="11.28515625" customWidth="1"/>
    <col min="10" max="10" width="15.85546875" customWidth="1"/>
    <col min="11" max="11" width="17" customWidth="1"/>
  </cols>
  <sheetData>
    <row r="1" spans="1:11" ht="11.25" customHeight="1">
      <c r="A1" s="754"/>
      <c r="B1" s="754"/>
      <c r="C1" s="754"/>
      <c r="D1" s="754"/>
      <c r="E1" s="754"/>
      <c r="F1" s="754"/>
      <c r="G1" s="754"/>
      <c r="H1" s="754"/>
      <c r="I1" s="754"/>
      <c r="J1" s="755"/>
      <c r="K1" s="754"/>
    </row>
    <row r="2" spans="1:11" ht="16.5" customHeight="1">
      <c r="A2" s="754"/>
      <c r="B2" s="1245" t="str">
        <f>'1-ABA-DE-CARREGAMENTO'!C11</f>
        <v xml:space="preserve"> S E R V I Ç O S     -   REFEITORIO_×_JARDINAGEM</v>
      </c>
      <c r="C2" s="1130"/>
      <c r="D2" s="1130"/>
      <c r="E2" s="1130"/>
      <c r="F2" s="1130"/>
      <c r="G2" s="1130"/>
      <c r="H2" s="1130"/>
      <c r="I2" s="1130"/>
      <c r="J2" s="1128"/>
      <c r="K2" s="756"/>
    </row>
    <row r="3" spans="1:11" ht="16.5" customHeight="1">
      <c r="A3" s="754"/>
      <c r="B3" s="1246" t="str">
        <f>'1-ABA-DE-CARREGAMENTO'!H33</f>
        <v>A NÃO TEM MAIS POSTOS-33</v>
      </c>
      <c r="C3" s="1060"/>
      <c r="D3" s="1060"/>
      <c r="E3" s="1060"/>
      <c r="F3" s="1060"/>
      <c r="G3" s="1060"/>
      <c r="H3" s="1060"/>
      <c r="I3" s="1060"/>
      <c r="J3" s="1062"/>
      <c r="K3" s="757"/>
    </row>
    <row r="4" spans="1:11" ht="16.5" customHeight="1">
      <c r="A4" s="754"/>
      <c r="B4" s="1247" t="s">
        <v>511</v>
      </c>
      <c r="C4" s="1060"/>
      <c r="D4" s="1060"/>
      <c r="E4" s="1060"/>
      <c r="F4" s="1062"/>
      <c r="G4" s="1248">
        <f>'1-ABA-DE-CARREGAMENTO'!C12</f>
        <v>0</v>
      </c>
      <c r="H4" s="1060"/>
      <c r="I4" s="1060"/>
      <c r="J4" s="1062"/>
      <c r="K4" s="758"/>
    </row>
    <row r="5" spans="1:11" ht="16.5" customHeight="1">
      <c r="A5" s="754"/>
      <c r="B5" s="1178" t="s">
        <v>512</v>
      </c>
      <c r="C5" s="1009"/>
      <c r="D5" s="1009"/>
      <c r="E5" s="1009"/>
      <c r="F5" s="1010"/>
      <c r="G5" s="1249">
        <f>'1-ABA-DE-CARREGAMENTO'!C13</f>
        <v>0</v>
      </c>
      <c r="H5" s="1009"/>
      <c r="I5" s="1009"/>
      <c r="J5" s="1010"/>
      <c r="K5" s="758"/>
    </row>
    <row r="6" spans="1:11" ht="16.5" customHeight="1">
      <c r="A6" s="754"/>
      <c r="B6" s="1250">
        <f>'1-ABA-DE-CARREGAMENTO'!C16</f>
        <v>0</v>
      </c>
      <c r="C6" s="1009"/>
      <c r="D6" s="1009"/>
      <c r="E6" s="1009"/>
      <c r="F6" s="1009"/>
      <c r="G6" s="1009"/>
      <c r="H6" s="1009"/>
      <c r="I6" s="1009"/>
      <c r="J6" s="1010"/>
      <c r="K6" s="760"/>
    </row>
    <row r="7" spans="1:11" ht="16.5" customHeight="1">
      <c r="A7" s="754"/>
      <c r="B7" s="1086" t="s">
        <v>513</v>
      </c>
      <c r="C7" s="1009"/>
      <c r="D7" s="1009"/>
      <c r="E7" s="1009"/>
      <c r="F7" s="1009"/>
      <c r="G7" s="1009"/>
      <c r="H7" s="1009"/>
      <c r="I7" s="1009"/>
      <c r="J7" s="1010"/>
      <c r="K7" s="594"/>
    </row>
    <row r="8" spans="1:11" ht="16.5" customHeight="1">
      <c r="A8" s="754"/>
      <c r="B8" s="761" t="s">
        <v>514</v>
      </c>
      <c r="C8" s="1178" t="s">
        <v>515</v>
      </c>
      <c r="D8" s="1009"/>
      <c r="E8" s="1009"/>
      <c r="F8" s="1009"/>
      <c r="G8" s="1009"/>
      <c r="H8" s="1010"/>
      <c r="I8" s="1251">
        <f>'1-ABA-DE-CARREGAMENTO'!C16</f>
        <v>0</v>
      </c>
      <c r="J8" s="1010"/>
      <c r="K8" s="762"/>
    </row>
    <row r="9" spans="1:11" ht="16.5" customHeight="1">
      <c r="A9" s="754"/>
      <c r="B9" s="761" t="s">
        <v>516</v>
      </c>
      <c r="C9" s="1178" t="s">
        <v>517</v>
      </c>
      <c r="D9" s="1009"/>
      <c r="E9" s="1009"/>
      <c r="F9" s="1009"/>
      <c r="G9" s="1009"/>
      <c r="H9" s="1010"/>
      <c r="I9" s="1249" t="str">
        <f>'1-ABA-DE-CARREGAMENTO'!C14</f>
        <v xml:space="preserve">JULIO-DE-CASTILHOS </v>
      </c>
      <c r="J9" s="1010"/>
      <c r="K9" s="758"/>
    </row>
    <row r="10" spans="1:11" ht="16.5" customHeight="1">
      <c r="A10" s="754"/>
      <c r="B10" s="761" t="s">
        <v>518</v>
      </c>
      <c r="C10" s="1178" t="s">
        <v>519</v>
      </c>
      <c r="D10" s="1009"/>
      <c r="E10" s="1009"/>
      <c r="F10" s="1009"/>
      <c r="G10" s="1009"/>
      <c r="H10" s="1010"/>
      <c r="I10" s="1249" t="str">
        <f>'1-ABA-DE-CARREGAMENTO'!H35</f>
        <v>RS005021/2021</v>
      </c>
      <c r="J10" s="1010"/>
      <c r="K10" s="758"/>
    </row>
    <row r="11" spans="1:11" ht="16.5" customHeight="1">
      <c r="A11" s="754"/>
      <c r="B11" s="761" t="s">
        <v>520</v>
      </c>
      <c r="C11" s="1178" t="s">
        <v>521</v>
      </c>
      <c r="D11" s="1009"/>
      <c r="E11" s="1009"/>
      <c r="F11" s="1009"/>
      <c r="G11" s="1009"/>
      <c r="H11" s="1010"/>
      <c r="I11" s="1240">
        <f>'1-ABA-DE-CARREGAMENTO'!H94</f>
        <v>30</v>
      </c>
      <c r="J11" s="1010"/>
      <c r="K11" s="758"/>
    </row>
    <row r="12" spans="1:11" ht="16.5" customHeight="1">
      <c r="A12" s="754"/>
      <c r="B12" s="1140" t="s">
        <v>522</v>
      </c>
      <c r="C12" s="1009"/>
      <c r="D12" s="1009"/>
      <c r="E12" s="1009"/>
      <c r="F12" s="1009"/>
      <c r="G12" s="1009"/>
      <c r="H12" s="1009"/>
      <c r="I12" s="1009"/>
      <c r="J12" s="1010"/>
      <c r="K12" s="592"/>
    </row>
    <row r="13" spans="1:11" ht="16.5" customHeight="1">
      <c r="A13" s="754"/>
      <c r="B13" s="1185" t="str">
        <f>'1-ABA-DE-CARREGAMENTO'!C11</f>
        <v xml:space="preserve"> S E R V I Ç O S     -   REFEITORIO_×_JARDINAGEM</v>
      </c>
      <c r="C13" s="1009"/>
      <c r="D13" s="1009"/>
      <c r="E13" s="1009"/>
      <c r="F13" s="1030"/>
      <c r="G13" s="1185" t="s">
        <v>523</v>
      </c>
      <c r="H13" s="1010"/>
      <c r="I13" s="1185" t="s">
        <v>524</v>
      </c>
      <c r="J13" s="1010"/>
      <c r="K13" s="763"/>
    </row>
    <row r="14" spans="1:11" ht="16.5" hidden="1" customHeight="1" outlineLevel="1">
      <c r="A14" s="754"/>
      <c r="B14" s="1241" t="s">
        <v>525</v>
      </c>
      <c r="C14" s="1009"/>
      <c r="D14" s="1009"/>
      <c r="E14" s="1009"/>
      <c r="F14" s="1010"/>
      <c r="G14" s="1242" t="s">
        <v>526</v>
      </c>
      <c r="H14" s="1010"/>
      <c r="I14" s="1243" t="s">
        <v>527</v>
      </c>
      <c r="J14" s="1010"/>
      <c r="K14" s="764"/>
    </row>
    <row r="15" spans="1:11" ht="16.5" hidden="1" customHeight="1" outlineLevel="1">
      <c r="A15" s="754"/>
      <c r="B15" s="1241" t="s">
        <v>528</v>
      </c>
      <c r="C15" s="1009"/>
      <c r="D15" s="1009"/>
      <c r="E15" s="1009"/>
      <c r="F15" s="1010"/>
      <c r="G15" s="1242" t="s">
        <v>526</v>
      </c>
      <c r="H15" s="1010"/>
      <c r="I15" s="1243" t="s">
        <v>527</v>
      </c>
      <c r="J15" s="1010"/>
      <c r="K15" s="764"/>
    </row>
    <row r="16" spans="1:11" ht="16.5" hidden="1" customHeight="1" outlineLevel="1">
      <c r="A16" s="754"/>
      <c r="B16" s="1241" t="s">
        <v>529</v>
      </c>
      <c r="C16" s="1009"/>
      <c r="D16" s="1009"/>
      <c r="E16" s="1009"/>
      <c r="F16" s="1010"/>
      <c r="G16" s="1242" t="s">
        <v>526</v>
      </c>
      <c r="H16" s="1010"/>
      <c r="I16" s="1243" t="s">
        <v>527</v>
      </c>
      <c r="J16" s="1010"/>
      <c r="K16" s="764"/>
    </row>
    <row r="17" spans="1:11" ht="16.5" customHeight="1" collapsed="1">
      <c r="A17" s="754"/>
      <c r="B17" s="1241" t="str">
        <f>B3</f>
        <v>A NÃO TEM MAIS POSTOS-33</v>
      </c>
      <c r="C17" s="1009"/>
      <c r="D17" s="1009"/>
      <c r="E17" s="1009"/>
      <c r="F17" s="1010"/>
      <c r="G17" s="1242" t="s">
        <v>526</v>
      </c>
      <c r="H17" s="1010"/>
      <c r="I17" s="1243">
        <f>'1-ABA-DE-CARREGAMENTO'!H92</f>
        <v>0</v>
      </c>
      <c r="J17" s="1010"/>
      <c r="K17" s="764"/>
    </row>
    <row r="18" spans="1:11" ht="16.5" hidden="1" customHeight="1" outlineLevel="1">
      <c r="A18" s="754"/>
      <c r="B18" s="1241" t="s">
        <v>530</v>
      </c>
      <c r="C18" s="1009"/>
      <c r="D18" s="1009"/>
      <c r="E18" s="1009"/>
      <c r="F18" s="1010"/>
      <c r="G18" s="1242" t="s">
        <v>526</v>
      </c>
      <c r="H18" s="1010"/>
      <c r="I18" s="1243" t="s">
        <v>527</v>
      </c>
      <c r="J18" s="1010"/>
      <c r="K18" s="764"/>
    </row>
    <row r="19" spans="1:11" ht="16.5" hidden="1" customHeight="1" outlineLevel="1">
      <c r="A19" s="754"/>
      <c r="B19" s="1241" t="s">
        <v>962</v>
      </c>
      <c r="C19" s="1009"/>
      <c r="D19" s="1009"/>
      <c r="E19" s="1009"/>
      <c r="F19" s="1010"/>
      <c r="G19" s="1242" t="s">
        <v>526</v>
      </c>
      <c r="H19" s="1010"/>
      <c r="I19" s="1243" t="s">
        <v>527</v>
      </c>
      <c r="J19" s="1010"/>
      <c r="K19" s="764"/>
    </row>
    <row r="20" spans="1:11" ht="16.5" customHeight="1" collapsed="1">
      <c r="A20" s="754"/>
      <c r="B20" s="1254" t="s">
        <v>532</v>
      </c>
      <c r="C20" s="1009"/>
      <c r="D20" s="1009"/>
      <c r="E20" s="1009"/>
      <c r="F20" s="1009"/>
      <c r="G20" s="1009"/>
      <c r="H20" s="1010"/>
      <c r="I20" s="1253">
        <f>SUM(I14:I19)</f>
        <v>0</v>
      </c>
      <c r="J20" s="1010"/>
      <c r="K20" s="765"/>
    </row>
    <row r="21" spans="1:11" ht="16.5" customHeight="1">
      <c r="A21" s="754"/>
      <c r="B21" s="1220"/>
      <c r="C21" s="1009"/>
      <c r="D21" s="1009"/>
      <c r="E21" s="1009"/>
      <c r="F21" s="1009"/>
      <c r="G21" s="1009"/>
      <c r="H21" s="1009"/>
      <c r="I21" s="1009"/>
      <c r="J21" s="1010"/>
      <c r="K21" s="763"/>
    </row>
    <row r="22" spans="1:11" ht="51" customHeight="1">
      <c r="A22" s="754"/>
      <c r="B22" s="1211" t="s">
        <v>533</v>
      </c>
      <c r="C22" s="1009"/>
      <c r="D22" s="1009"/>
      <c r="E22" s="1009"/>
      <c r="F22" s="1009"/>
      <c r="G22" s="1009"/>
      <c r="H22" s="1009"/>
      <c r="I22" s="1009"/>
      <c r="J22" s="1010"/>
      <c r="K22" s="766"/>
    </row>
    <row r="23" spans="1:11" ht="16.5" customHeight="1">
      <c r="A23" s="754"/>
      <c r="B23" s="1225"/>
      <c r="C23" s="1009"/>
      <c r="D23" s="1009"/>
      <c r="E23" s="1009"/>
      <c r="F23" s="1009"/>
      <c r="G23" s="1009"/>
      <c r="H23" s="1009"/>
      <c r="I23" s="1009"/>
      <c r="J23" s="1010"/>
      <c r="K23" s="376"/>
    </row>
    <row r="24" spans="1:11" ht="16.5" customHeight="1">
      <c r="A24" s="754"/>
      <c r="B24" s="1255" t="s">
        <v>963</v>
      </c>
      <c r="C24" s="1009"/>
      <c r="D24" s="1009"/>
      <c r="E24" s="1009"/>
      <c r="F24" s="1009"/>
      <c r="G24" s="1009"/>
      <c r="H24" s="1009"/>
      <c r="I24" s="1009"/>
      <c r="J24" s="1010"/>
      <c r="K24" s="767"/>
    </row>
    <row r="25" spans="1:11" ht="15" customHeight="1">
      <c r="A25" s="754"/>
      <c r="B25" s="1123"/>
      <c r="C25" s="1009"/>
      <c r="D25" s="1009"/>
      <c r="E25" s="1009"/>
      <c r="F25" s="1009"/>
      <c r="G25" s="1009"/>
      <c r="H25" s="1009"/>
      <c r="I25" s="1009"/>
      <c r="J25" s="1010"/>
      <c r="K25" s="602"/>
    </row>
    <row r="26" spans="1:11" ht="21" customHeight="1">
      <c r="A26" s="763"/>
      <c r="B26" s="1086" t="s">
        <v>535</v>
      </c>
      <c r="C26" s="1009"/>
      <c r="D26" s="1009"/>
      <c r="E26" s="1009"/>
      <c r="F26" s="1009"/>
      <c r="G26" s="1009"/>
      <c r="H26" s="1009"/>
      <c r="I26" s="1009"/>
      <c r="J26" s="1010"/>
      <c r="K26" s="594"/>
    </row>
    <row r="27" spans="1:11" ht="27" customHeight="1">
      <c r="A27" s="754"/>
      <c r="B27" s="761">
        <v>1</v>
      </c>
      <c r="C27" s="1178" t="s">
        <v>536</v>
      </c>
      <c r="D27" s="1009"/>
      <c r="E27" s="1009"/>
      <c r="F27" s="1009"/>
      <c r="G27" s="1009"/>
      <c r="H27" s="1010"/>
      <c r="I27" s="1256" t="str">
        <f>'1-ABA-DE-CARREGAMENTO'!H33</f>
        <v>A NÃO TEM MAIS POSTOS-33</v>
      </c>
      <c r="J27" s="1010"/>
      <c r="K27" s="768"/>
    </row>
    <row r="28" spans="1:11" ht="20.25" customHeight="1">
      <c r="A28" s="754"/>
      <c r="B28" s="769">
        <v>2</v>
      </c>
      <c r="C28" s="1215" t="s">
        <v>537</v>
      </c>
      <c r="D28" s="1009"/>
      <c r="E28" s="1009"/>
      <c r="F28" s="1009"/>
      <c r="G28" s="1009"/>
      <c r="H28" s="1010"/>
      <c r="I28" s="1257"/>
      <c r="J28" s="1010"/>
      <c r="K28" s="770"/>
    </row>
    <row r="29" spans="1:11" ht="34.5" customHeight="1">
      <c r="A29" s="754"/>
      <c r="B29" s="761">
        <v>3</v>
      </c>
      <c r="C29" s="1258" t="s">
        <v>538</v>
      </c>
      <c r="D29" s="948"/>
      <c r="E29" s="748">
        <v>220</v>
      </c>
      <c r="F29" s="606">
        <f>'1-ABA-DE-CARREGAMENTO'!H37</f>
        <v>1396.01</v>
      </c>
      <c r="G29" s="759" t="s">
        <v>539</v>
      </c>
      <c r="H29" s="895">
        <f>'1-ABA-DE-CARREGAMENTO'!H52</f>
        <v>220</v>
      </c>
      <c r="I29" s="1259">
        <f>F29/E29*H29</f>
        <v>1396.01</v>
      </c>
      <c r="J29" s="1010"/>
      <c r="K29" s="773"/>
    </row>
    <row r="30" spans="1:11" ht="13.5" customHeight="1">
      <c r="A30" s="754"/>
      <c r="B30" s="761">
        <v>4</v>
      </c>
      <c r="C30" s="1178" t="s">
        <v>540</v>
      </c>
      <c r="D30" s="1009"/>
      <c r="E30" s="1009"/>
      <c r="F30" s="1009"/>
      <c r="G30" s="1009"/>
      <c r="H30" s="1010"/>
      <c r="I30" s="1260"/>
      <c r="J30" s="1010"/>
      <c r="K30" s="774"/>
    </row>
    <row r="31" spans="1:11" ht="11.25" customHeight="1">
      <c r="A31" s="754"/>
      <c r="B31" s="761">
        <v>5</v>
      </c>
      <c r="C31" s="1178" t="s">
        <v>541</v>
      </c>
      <c r="D31" s="1009"/>
      <c r="E31" s="1009"/>
      <c r="F31" s="1009"/>
      <c r="G31" s="1009"/>
      <c r="H31" s="1010"/>
      <c r="I31" s="1244" t="str">
        <f>'1-ABA-DE-CARREGAMENTO'!H36</f>
        <v>01 de JANEIRO</v>
      </c>
      <c r="J31" s="1010"/>
      <c r="K31" s="775"/>
    </row>
    <row r="32" spans="1:11" ht="12.75" customHeight="1">
      <c r="A32" s="754"/>
      <c r="B32" s="776">
        <v>6</v>
      </c>
      <c r="C32" s="1229" t="s">
        <v>964</v>
      </c>
      <c r="D32" s="1009"/>
      <c r="E32" s="1009"/>
      <c r="F32" s="1009"/>
      <c r="G32" s="1009"/>
      <c r="H32" s="1010"/>
      <c r="I32" s="1231">
        <f>I29/H29</f>
        <v>6.3455000000000004</v>
      </c>
      <c r="J32" s="1010"/>
      <c r="K32" s="777"/>
    </row>
    <row r="33" spans="1:11" ht="36.75" customHeight="1">
      <c r="A33" s="754"/>
      <c r="B33" s="776">
        <v>7</v>
      </c>
      <c r="C33" s="1229" t="s">
        <v>965</v>
      </c>
      <c r="D33" s="1009"/>
      <c r="E33" s="1009"/>
      <c r="F33" s="1010"/>
      <c r="G33" s="1239"/>
      <c r="H33" s="1010"/>
      <c r="I33" s="1230">
        <f>(SUM(J47:J50)/H29)</f>
        <v>7.5454999999999997</v>
      </c>
      <c r="J33" s="1010"/>
      <c r="K33" s="777"/>
    </row>
    <row r="34" spans="1:11" ht="28.5" customHeight="1">
      <c r="A34" s="754"/>
      <c r="B34" s="776">
        <v>8</v>
      </c>
      <c r="C34" s="1229" t="s">
        <v>966</v>
      </c>
      <c r="D34" s="1009"/>
      <c r="E34" s="1009"/>
      <c r="F34" s="1010"/>
      <c r="G34" s="1239"/>
      <c r="H34" s="1010"/>
      <c r="I34" s="1231">
        <f t="shared" ref="I34:I35" si="0">I32*1.5</f>
        <v>9.5182500000000001</v>
      </c>
      <c r="J34" s="1010"/>
      <c r="K34" s="777"/>
    </row>
    <row r="35" spans="1:11" ht="28.5" customHeight="1">
      <c r="A35" s="754"/>
      <c r="B35" s="776">
        <v>9</v>
      </c>
      <c r="C35" s="1229" t="s">
        <v>967</v>
      </c>
      <c r="D35" s="1009"/>
      <c r="E35" s="1009"/>
      <c r="F35" s="1010"/>
      <c r="G35" s="1239" t="s">
        <v>546</v>
      </c>
      <c r="H35" s="1010"/>
      <c r="I35" s="1230">
        <f t="shared" si="0"/>
        <v>11.318249999999999</v>
      </c>
      <c r="J35" s="1010"/>
      <c r="K35" s="778"/>
    </row>
    <row r="36" spans="1:11" ht="28.5" customHeight="1">
      <c r="A36" s="754"/>
      <c r="B36" s="776">
        <v>10</v>
      </c>
      <c r="C36" s="1229" t="s">
        <v>968</v>
      </c>
      <c r="D36" s="1009"/>
      <c r="E36" s="1009"/>
      <c r="F36" s="1009"/>
      <c r="G36" s="1009"/>
      <c r="H36" s="1010"/>
      <c r="I36" s="1231">
        <f>I35*1.2</f>
        <v>13.581899999999999</v>
      </c>
      <c r="J36" s="1010"/>
      <c r="K36" s="777"/>
    </row>
    <row r="37" spans="1:11" ht="28.5" customHeight="1">
      <c r="A37" s="754"/>
      <c r="B37" s="776">
        <v>11</v>
      </c>
      <c r="C37" s="1229" t="s">
        <v>969</v>
      </c>
      <c r="D37" s="1009"/>
      <c r="E37" s="1009"/>
      <c r="F37" s="1009"/>
      <c r="G37" s="1009"/>
      <c r="H37" s="1010"/>
      <c r="I37" s="1230">
        <f>I35*2</f>
        <v>22.636499999999998</v>
      </c>
      <c r="J37" s="1010"/>
      <c r="K37" s="777"/>
    </row>
    <row r="38" spans="1:11" ht="14.25" customHeight="1">
      <c r="A38" s="754"/>
      <c r="B38" s="776">
        <v>12</v>
      </c>
      <c r="C38" s="1229" t="s">
        <v>970</v>
      </c>
      <c r="D38" s="1009"/>
      <c r="E38" s="1009"/>
      <c r="F38" s="1009"/>
      <c r="G38" s="1009"/>
      <c r="H38" s="1010"/>
      <c r="I38" s="1231">
        <f>I29*'1-ABA-DE-CARREGAMENTO'!D44</f>
        <v>0</v>
      </c>
      <c r="J38" s="1010"/>
      <c r="K38" s="777"/>
    </row>
    <row r="39" spans="1:11" ht="14.25" customHeight="1">
      <c r="A39" s="754"/>
      <c r="B39" s="776">
        <v>13</v>
      </c>
      <c r="C39" s="1229" t="s">
        <v>550</v>
      </c>
      <c r="D39" s="1009"/>
      <c r="E39" s="1009"/>
      <c r="F39" s="1009"/>
      <c r="G39" s="1009"/>
      <c r="H39" s="1010"/>
      <c r="I39" s="1231">
        <f>ROUND(I32/6,2)*1.3</f>
        <v>1.3780000000000001</v>
      </c>
      <c r="J39" s="1010"/>
      <c r="K39" s="777"/>
    </row>
    <row r="40" spans="1:11" ht="11.25" customHeight="1">
      <c r="A40" s="754"/>
      <c r="B40" s="776">
        <v>14</v>
      </c>
      <c r="C40" s="1269" t="s">
        <v>551</v>
      </c>
      <c r="D40" s="1009"/>
      <c r="E40" s="1009"/>
      <c r="F40" s="1009"/>
      <c r="G40" s="1009"/>
      <c r="H40" s="1010"/>
      <c r="I40" s="1274">
        <f>'1-ABA-DE-CARREGAMENTO'!H93</f>
        <v>1</v>
      </c>
      <c r="J40" s="1010"/>
      <c r="K40" s="780"/>
    </row>
    <row r="41" spans="1:11" ht="11.25" customHeight="1">
      <c r="A41" s="754"/>
      <c r="B41" s="776">
        <v>15</v>
      </c>
      <c r="C41" s="1269" t="s">
        <v>907</v>
      </c>
      <c r="D41" s="1009"/>
      <c r="E41" s="1009"/>
      <c r="F41" s="1009"/>
      <c r="G41" s="1009"/>
      <c r="H41" s="1010"/>
      <c r="I41" s="1270">
        <f>'1-ABA-DE-CARREGAMENTO'!E42</f>
        <v>1320</v>
      </c>
      <c r="J41" s="1010"/>
      <c r="K41" s="781"/>
    </row>
    <row r="42" spans="1:11" ht="11.25" customHeight="1">
      <c r="A42" s="754"/>
      <c r="B42" s="1225"/>
      <c r="C42" s="1009"/>
      <c r="D42" s="1009"/>
      <c r="E42" s="1009"/>
      <c r="F42" s="1009"/>
      <c r="G42" s="1009"/>
      <c r="H42" s="1009"/>
      <c r="I42" s="1009"/>
      <c r="J42" s="1010"/>
      <c r="K42" s="376"/>
    </row>
    <row r="43" spans="1:11" ht="28.5" customHeight="1">
      <c r="A43" s="754"/>
      <c r="B43" s="1214" t="s">
        <v>553</v>
      </c>
      <c r="C43" s="1009"/>
      <c r="D43" s="1009"/>
      <c r="E43" s="1009"/>
      <c r="F43" s="1009"/>
      <c r="G43" s="1009"/>
      <c r="H43" s="1009"/>
      <c r="I43" s="1009"/>
      <c r="J43" s="1010"/>
      <c r="K43" s="782"/>
    </row>
    <row r="44" spans="1:11" ht="14.25" customHeight="1">
      <c r="A44" s="754"/>
      <c r="B44" s="1226"/>
      <c r="C44" s="1009"/>
      <c r="D44" s="1009"/>
      <c r="E44" s="1009"/>
      <c r="F44" s="1009"/>
      <c r="G44" s="1009"/>
      <c r="H44" s="1009"/>
      <c r="I44" s="1009"/>
      <c r="J44" s="1010"/>
      <c r="K44" s="783"/>
    </row>
    <row r="45" spans="1:11" ht="28.5" customHeight="1">
      <c r="A45" s="754"/>
      <c r="B45" s="1227" t="s">
        <v>554</v>
      </c>
      <c r="C45" s="1009"/>
      <c r="D45" s="1009"/>
      <c r="E45" s="1009"/>
      <c r="F45" s="1009"/>
      <c r="G45" s="1009"/>
      <c r="H45" s="1009"/>
      <c r="I45" s="1009"/>
      <c r="J45" s="1010"/>
      <c r="K45" s="784"/>
    </row>
    <row r="46" spans="1:11" ht="28.5" customHeight="1">
      <c r="A46" s="785"/>
      <c r="B46" s="622">
        <v>1</v>
      </c>
      <c r="C46" s="1083" t="s">
        <v>555</v>
      </c>
      <c r="D46" s="1009"/>
      <c r="E46" s="1009"/>
      <c r="F46" s="1009"/>
      <c r="G46" s="1009"/>
      <c r="H46" s="1010"/>
      <c r="I46" s="786" t="s">
        <v>556</v>
      </c>
      <c r="J46" s="622" t="s">
        <v>557</v>
      </c>
      <c r="K46" s="592"/>
    </row>
    <row r="47" spans="1:11" ht="17.25" customHeight="1">
      <c r="A47" s="754"/>
      <c r="B47" s="761" t="s">
        <v>514</v>
      </c>
      <c r="C47" s="1178" t="s">
        <v>558</v>
      </c>
      <c r="D47" s="1009"/>
      <c r="E47" s="1009"/>
      <c r="F47" s="1010"/>
      <c r="G47" s="787" t="s">
        <v>185</v>
      </c>
      <c r="H47" s="788">
        <f>'1-ABA-DE-CARREGAMENTO'!H52</f>
        <v>220</v>
      </c>
      <c r="I47" s="787"/>
      <c r="J47" s="789">
        <f>I29*I40</f>
        <v>1396.01</v>
      </c>
      <c r="K47" s="790"/>
    </row>
    <row r="48" spans="1:11" ht="50.25" customHeight="1">
      <c r="A48" s="754"/>
      <c r="B48" s="761" t="s">
        <v>516</v>
      </c>
      <c r="C48" s="1273" t="s">
        <v>971</v>
      </c>
      <c r="D48" s="1009"/>
      <c r="E48" s="1030"/>
      <c r="F48" s="1228" t="str">
        <f>'1-ABA-DE-CARREGAMENTO'!H38</f>
        <v>SEM ADICIONAL DE FUNÇÃO</v>
      </c>
      <c r="G48" s="1009"/>
      <c r="H48" s="1010"/>
      <c r="I48" s="791">
        <f>'1-ABA-DE-CARREGAMENTO'!H39</f>
        <v>0</v>
      </c>
      <c r="J48" s="927">
        <f>(J47*I48)/3</f>
        <v>0</v>
      </c>
      <c r="K48" s="790"/>
    </row>
    <row r="49" spans="1:11" ht="27" customHeight="1">
      <c r="A49" s="754"/>
      <c r="B49" s="761" t="s">
        <v>518</v>
      </c>
      <c r="C49" s="1178" t="s">
        <v>972</v>
      </c>
      <c r="D49" s="1009"/>
      <c r="E49" s="1009"/>
      <c r="F49" s="1009"/>
      <c r="G49" s="1009"/>
      <c r="H49" s="1010"/>
      <c r="I49" s="792">
        <f>'1-ABA-DE-CARREGAMENTO'!H44</f>
        <v>0</v>
      </c>
      <c r="J49" s="789">
        <f>ROUND(J47*I49,2)</f>
        <v>0</v>
      </c>
      <c r="K49" s="790"/>
    </row>
    <row r="50" spans="1:11" ht="18" customHeight="1">
      <c r="A50" s="754"/>
      <c r="B50" s="761" t="s">
        <v>520</v>
      </c>
      <c r="C50" s="1178" t="s">
        <v>792</v>
      </c>
      <c r="D50" s="1009"/>
      <c r="E50" s="1009"/>
      <c r="F50" s="1009"/>
      <c r="G50" s="1228" t="str">
        <f>'1-ABA-DE-CARREGAMENTO'!H40</f>
        <v>INSALUB S/NORMATIVO</v>
      </c>
      <c r="H50" s="1010"/>
      <c r="I50" s="896">
        <f>'1-ABA-DE-CARREGAMENTO'!H41</f>
        <v>0.2</v>
      </c>
      <c r="J50" s="789">
        <f>ROUND(I50*I41,2)</f>
        <v>264</v>
      </c>
      <c r="K50" s="790"/>
    </row>
    <row r="51" spans="1:11" ht="31.5" customHeight="1">
      <c r="A51" s="754"/>
      <c r="B51" s="761" t="s">
        <v>562</v>
      </c>
      <c r="C51" s="1119" t="s">
        <v>973</v>
      </c>
      <c r="D51" s="1009"/>
      <c r="E51" s="1010"/>
      <c r="F51" s="630" t="s">
        <v>564</v>
      </c>
      <c r="G51" s="795">
        <v>0</v>
      </c>
      <c r="H51" s="630" t="s">
        <v>565</v>
      </c>
      <c r="I51" s="632">
        <f>I36</f>
        <v>13.581899999999999</v>
      </c>
      <c r="J51" s="633">
        <f>G51*I51</f>
        <v>0</v>
      </c>
      <c r="K51" s="790"/>
    </row>
    <row r="52" spans="1:11" ht="43.5" customHeight="1" outlineLevel="1">
      <c r="A52" s="754"/>
      <c r="B52" s="761" t="s">
        <v>566</v>
      </c>
      <c r="C52" s="1215" t="s">
        <v>974</v>
      </c>
      <c r="D52" s="1009"/>
      <c r="E52" s="1009"/>
      <c r="F52" s="1009"/>
      <c r="G52" s="1009"/>
      <c r="H52" s="1009"/>
      <c r="I52" s="1010"/>
      <c r="J52" s="789">
        <f>ROUND(I38*(((12*15)+15)-((44/6)*26))*I35,2)*0+ROUND(2*4.33*I35,2)*0</f>
        <v>0</v>
      </c>
      <c r="K52" s="790"/>
    </row>
    <row r="53" spans="1:11" ht="31.5" customHeight="1" outlineLevel="1">
      <c r="A53" s="754"/>
      <c r="B53" s="761" t="s">
        <v>568</v>
      </c>
      <c r="C53" s="1215" t="s">
        <v>975</v>
      </c>
      <c r="D53" s="1009"/>
      <c r="E53" s="1009"/>
      <c r="F53" s="1009"/>
      <c r="G53" s="1009"/>
      <c r="H53" s="1009"/>
      <c r="I53" s="1010"/>
      <c r="J53" s="789">
        <f>ROUND(I39*I40*15,2)*0</f>
        <v>0</v>
      </c>
      <c r="K53" s="790"/>
    </row>
    <row r="54" spans="1:11" ht="31.5" customHeight="1">
      <c r="A54" s="754"/>
      <c r="B54" s="761" t="s">
        <v>570</v>
      </c>
      <c r="C54" s="1120" t="s">
        <v>976</v>
      </c>
      <c r="D54" s="1060"/>
      <c r="E54" s="1060"/>
      <c r="F54" s="634" t="s">
        <v>572</v>
      </c>
      <c r="G54" s="928">
        <v>0</v>
      </c>
      <c r="H54" s="634" t="s">
        <v>573</v>
      </c>
      <c r="I54" s="636">
        <f>I35</f>
        <v>11.318249999999999</v>
      </c>
      <c r="J54" s="633">
        <f t="shared" ref="J54:J55" si="1">G54*I54</f>
        <v>0</v>
      </c>
      <c r="K54" s="790"/>
    </row>
    <row r="55" spans="1:11" ht="31.5" customHeight="1">
      <c r="A55" s="754"/>
      <c r="B55" s="761" t="s">
        <v>574</v>
      </c>
      <c r="C55" s="1121" t="s">
        <v>977</v>
      </c>
      <c r="D55" s="1023"/>
      <c r="E55" s="1023"/>
      <c r="F55" s="634" t="s">
        <v>576</v>
      </c>
      <c r="G55" s="928">
        <v>0</v>
      </c>
      <c r="H55" s="634" t="s">
        <v>577</v>
      </c>
      <c r="I55" s="636">
        <f>I37</f>
        <v>22.636499999999998</v>
      </c>
      <c r="J55" s="637">
        <f t="shared" si="1"/>
        <v>0</v>
      </c>
      <c r="K55" s="790"/>
    </row>
    <row r="56" spans="1:11" ht="43.5" customHeight="1">
      <c r="A56" s="754"/>
      <c r="B56" s="761" t="s">
        <v>578</v>
      </c>
      <c r="C56" s="1178" t="s">
        <v>978</v>
      </c>
      <c r="D56" s="1009"/>
      <c r="E56" s="1009"/>
      <c r="F56" s="1009"/>
      <c r="G56" s="1009"/>
      <c r="H56" s="1009"/>
      <c r="I56" s="1010"/>
      <c r="J56" s="789">
        <f>ROUND(((J54+J55)/25)*5,2)</f>
        <v>0</v>
      </c>
      <c r="K56" s="790"/>
    </row>
    <row r="57" spans="1:11" ht="11.25" customHeight="1">
      <c r="A57" s="754"/>
      <c r="B57" s="761" t="s">
        <v>580</v>
      </c>
      <c r="C57" s="1178" t="s">
        <v>581</v>
      </c>
      <c r="D57" s="1009"/>
      <c r="E57" s="1009"/>
      <c r="F57" s="1009"/>
      <c r="G57" s="1009"/>
      <c r="H57" s="1009"/>
      <c r="I57" s="1010"/>
      <c r="J57" s="798" t="s">
        <v>527</v>
      </c>
      <c r="K57" s="799"/>
    </row>
    <row r="58" spans="1:11" ht="26.25" customHeight="1">
      <c r="A58" s="754"/>
      <c r="B58" s="1086" t="s">
        <v>582</v>
      </c>
      <c r="C58" s="1009"/>
      <c r="D58" s="1009"/>
      <c r="E58" s="1009"/>
      <c r="F58" s="1009"/>
      <c r="G58" s="1009"/>
      <c r="H58" s="1009"/>
      <c r="I58" s="1010"/>
      <c r="J58" s="640">
        <f>SUM(J47:J57)</f>
        <v>1660.01</v>
      </c>
      <c r="K58" s="626"/>
    </row>
    <row r="59" spans="1:11" ht="14.25" customHeight="1">
      <c r="A59" s="754"/>
      <c r="B59" s="800"/>
      <c r="C59" s="1219"/>
      <c r="D59" s="1009"/>
      <c r="E59" s="1009"/>
      <c r="F59" s="1009"/>
      <c r="G59" s="1009"/>
      <c r="H59" s="1009"/>
      <c r="I59" s="1010"/>
      <c r="J59" s="642"/>
      <c r="K59" s="626"/>
    </row>
    <row r="60" spans="1:11" ht="24.75" customHeight="1">
      <c r="A60" s="754"/>
      <c r="B60" s="761" t="s">
        <v>570</v>
      </c>
      <c r="C60" s="1178" t="s">
        <v>979</v>
      </c>
      <c r="D60" s="1009"/>
      <c r="E60" s="1009"/>
      <c r="F60" s="1009"/>
      <c r="G60" s="1009"/>
      <c r="H60" s="1009"/>
      <c r="I60" s="1010"/>
      <c r="J60" s="789">
        <f>ROUND(I34*15*I40*0.5,2)*0</f>
        <v>0</v>
      </c>
      <c r="K60" s="790"/>
    </row>
    <row r="61" spans="1:11" ht="29.25" customHeight="1">
      <c r="A61" s="754"/>
      <c r="B61" s="1086" t="s">
        <v>980</v>
      </c>
      <c r="C61" s="1009"/>
      <c r="D61" s="1009"/>
      <c r="E61" s="1009"/>
      <c r="F61" s="1009"/>
      <c r="G61" s="1009"/>
      <c r="H61" s="1009"/>
      <c r="I61" s="1010"/>
      <c r="J61" s="640">
        <f>J60</f>
        <v>0</v>
      </c>
      <c r="K61" s="626"/>
    </row>
    <row r="62" spans="1:11" ht="11.25" customHeight="1">
      <c r="A62" s="754"/>
      <c r="B62" s="1220"/>
      <c r="C62" s="1009"/>
      <c r="D62" s="1009"/>
      <c r="E62" s="1009"/>
      <c r="F62" s="1009"/>
      <c r="G62" s="1009"/>
      <c r="H62" s="1009"/>
      <c r="I62" s="1009"/>
      <c r="J62" s="1010"/>
      <c r="K62" s="763"/>
    </row>
    <row r="63" spans="1:11" ht="44.25" customHeight="1">
      <c r="A63" s="754"/>
      <c r="B63" s="1221" t="s">
        <v>981</v>
      </c>
      <c r="C63" s="1009"/>
      <c r="D63" s="1009"/>
      <c r="E63" s="1009"/>
      <c r="F63" s="1009"/>
      <c r="G63" s="1009"/>
      <c r="H63" s="1009"/>
      <c r="I63" s="1010"/>
      <c r="J63" s="801">
        <f>J58+J61</f>
        <v>1660.01</v>
      </c>
      <c r="K63" s="802"/>
    </row>
    <row r="64" spans="1:11" ht="11.25" customHeight="1">
      <c r="A64" s="754"/>
      <c r="B64" s="1219"/>
      <c r="C64" s="1009"/>
      <c r="D64" s="1009"/>
      <c r="E64" s="1009"/>
      <c r="F64" s="1009"/>
      <c r="G64" s="1009"/>
      <c r="H64" s="1009"/>
      <c r="I64" s="1009"/>
      <c r="J64" s="1010"/>
      <c r="K64" s="803"/>
    </row>
    <row r="65" spans="1:11" ht="27.75" customHeight="1">
      <c r="A65" s="754"/>
      <c r="B65" s="1222" t="s">
        <v>586</v>
      </c>
      <c r="C65" s="1009"/>
      <c r="D65" s="1009"/>
      <c r="E65" s="1009"/>
      <c r="F65" s="1009"/>
      <c r="G65" s="1009"/>
      <c r="H65" s="1009"/>
      <c r="I65" s="1009"/>
      <c r="J65" s="1010"/>
      <c r="K65" s="804"/>
    </row>
    <row r="66" spans="1:11" ht="11.25" customHeight="1">
      <c r="A66" s="754"/>
      <c r="B66" s="1219"/>
      <c r="C66" s="1009"/>
      <c r="D66" s="1009"/>
      <c r="E66" s="1009"/>
      <c r="F66" s="1009"/>
      <c r="G66" s="1009"/>
      <c r="H66" s="1009"/>
      <c r="I66" s="1009"/>
      <c r="J66" s="1010"/>
      <c r="K66" s="803"/>
    </row>
    <row r="67" spans="1:11" ht="28.5" customHeight="1">
      <c r="A67" s="754"/>
      <c r="B67" s="1201" t="s">
        <v>587</v>
      </c>
      <c r="C67" s="1009"/>
      <c r="D67" s="1009"/>
      <c r="E67" s="1009"/>
      <c r="F67" s="1009"/>
      <c r="G67" s="1009"/>
      <c r="H67" s="1009"/>
      <c r="I67" s="1009"/>
      <c r="J67" s="1010"/>
      <c r="K67" s="805"/>
    </row>
    <row r="68" spans="1:11" ht="21.75" customHeight="1">
      <c r="A68" s="754"/>
      <c r="B68" s="1112" t="s">
        <v>982</v>
      </c>
      <c r="C68" s="1009"/>
      <c r="D68" s="1009"/>
      <c r="E68" s="1009"/>
      <c r="F68" s="1009"/>
      <c r="G68" s="1009"/>
      <c r="H68" s="1009"/>
      <c r="I68" s="1009"/>
      <c r="J68" s="1010"/>
      <c r="K68" s="646"/>
    </row>
    <row r="69" spans="1:11" ht="15" customHeight="1">
      <c r="A69" s="754"/>
      <c r="B69" s="647" t="s">
        <v>589</v>
      </c>
      <c r="C69" s="1113" t="s">
        <v>983</v>
      </c>
      <c r="D69" s="1009"/>
      <c r="E69" s="1009"/>
      <c r="F69" s="1009"/>
      <c r="G69" s="1009"/>
      <c r="H69" s="1009"/>
      <c r="I69" s="1010"/>
      <c r="J69" s="604" t="s">
        <v>591</v>
      </c>
      <c r="K69" s="487"/>
    </row>
    <row r="70" spans="1:11" ht="27.75" customHeight="1">
      <c r="A70" s="754"/>
      <c r="B70" s="647" t="s">
        <v>514</v>
      </c>
      <c r="C70" s="1215" t="s">
        <v>984</v>
      </c>
      <c r="D70" s="1009"/>
      <c r="E70" s="1009"/>
      <c r="F70" s="1009"/>
      <c r="G70" s="1009"/>
      <c r="H70" s="1010"/>
      <c r="I70" s="648">
        <v>8.3299999999999999E-2</v>
      </c>
      <c r="J70" s="806">
        <f>ROUND(J58*I70,2)</f>
        <v>138.28</v>
      </c>
      <c r="K70" s="807"/>
    </row>
    <row r="71" spans="1:11" ht="89.25" customHeight="1">
      <c r="A71" s="754"/>
      <c r="B71" s="647" t="s">
        <v>516</v>
      </c>
      <c r="C71" s="1216" t="s">
        <v>985</v>
      </c>
      <c r="D71" s="1009"/>
      <c r="E71" s="1009"/>
      <c r="F71" s="1009"/>
      <c r="G71" s="1009"/>
      <c r="H71" s="1010"/>
      <c r="I71" s="651">
        <v>3.0249999999999999E-2</v>
      </c>
      <c r="J71" s="806">
        <f>ROUND(J58*I71,2)</f>
        <v>50.22</v>
      </c>
      <c r="K71" s="807"/>
    </row>
    <row r="72" spans="1:11" ht="11.25" customHeight="1">
      <c r="A72" s="754"/>
      <c r="B72" s="1199" t="s">
        <v>594</v>
      </c>
      <c r="C72" s="1009"/>
      <c r="D72" s="1009"/>
      <c r="E72" s="1009"/>
      <c r="F72" s="1009"/>
      <c r="G72" s="1009"/>
      <c r="H72" s="1009"/>
      <c r="I72" s="1010"/>
      <c r="J72" s="808">
        <f>SUM(J70+J71)</f>
        <v>188.5</v>
      </c>
      <c r="K72" s="809"/>
    </row>
    <row r="73" spans="1:11" ht="14.25" customHeight="1">
      <c r="A73" s="754"/>
      <c r="B73" s="1217"/>
      <c r="C73" s="1009"/>
      <c r="D73" s="1009"/>
      <c r="E73" s="1009"/>
      <c r="F73" s="1009"/>
      <c r="G73" s="1009"/>
      <c r="H73" s="1009"/>
      <c r="I73" s="1009"/>
      <c r="J73" s="1010"/>
      <c r="K73" s="810"/>
    </row>
    <row r="74" spans="1:11" ht="87" customHeight="1">
      <c r="A74" s="754"/>
      <c r="B74" s="1214" t="s">
        <v>986</v>
      </c>
      <c r="C74" s="1009"/>
      <c r="D74" s="1009"/>
      <c r="E74" s="1009"/>
      <c r="F74" s="1009"/>
      <c r="G74" s="1009"/>
      <c r="H74" s="1009"/>
      <c r="I74" s="1009"/>
      <c r="J74" s="1010"/>
      <c r="K74" s="782"/>
    </row>
    <row r="75" spans="1:11" ht="14.25" customHeight="1">
      <c r="A75" s="754"/>
      <c r="B75" s="1218"/>
      <c r="C75" s="1009"/>
      <c r="D75" s="1009"/>
      <c r="E75" s="1009"/>
      <c r="F75" s="1009"/>
      <c r="G75" s="1009"/>
      <c r="H75" s="1009"/>
      <c r="I75" s="1009"/>
      <c r="J75" s="1010"/>
      <c r="K75" s="782"/>
    </row>
    <row r="76" spans="1:11" ht="36" customHeight="1">
      <c r="A76" s="754"/>
      <c r="B76" s="1108" t="s">
        <v>987</v>
      </c>
      <c r="C76" s="1009"/>
      <c r="D76" s="1009"/>
      <c r="E76" s="1009"/>
      <c r="F76" s="1009"/>
      <c r="G76" s="1009"/>
      <c r="H76" s="1009"/>
      <c r="I76" s="1009"/>
      <c r="J76" s="1010"/>
      <c r="K76" s="655"/>
    </row>
    <row r="77" spans="1:11" ht="26.25" customHeight="1">
      <c r="A77" s="754"/>
      <c r="B77" s="656" t="s">
        <v>597</v>
      </c>
      <c r="C77" s="1165" t="s">
        <v>598</v>
      </c>
      <c r="D77" s="1009"/>
      <c r="E77" s="1009"/>
      <c r="F77" s="1009"/>
      <c r="G77" s="1009"/>
      <c r="H77" s="1010"/>
      <c r="I77" s="811" t="s">
        <v>556</v>
      </c>
      <c r="J77" s="657" t="s">
        <v>599</v>
      </c>
      <c r="K77" s="487"/>
    </row>
    <row r="78" spans="1:11" ht="11.25" customHeight="1">
      <c r="A78" s="754"/>
      <c r="B78" s="812" t="s">
        <v>514</v>
      </c>
      <c r="C78" s="1178" t="s">
        <v>600</v>
      </c>
      <c r="D78" s="1009"/>
      <c r="E78" s="1009"/>
      <c r="F78" s="1009"/>
      <c r="G78" s="1009"/>
      <c r="H78" s="1010"/>
      <c r="I78" s="813">
        <v>0.2</v>
      </c>
      <c r="J78" s="814">
        <f>ROUND((J58+J72)*I78,2)</f>
        <v>369.7</v>
      </c>
      <c r="K78" s="809"/>
    </row>
    <row r="79" spans="1:11" ht="11.25" customHeight="1">
      <c r="A79" s="754"/>
      <c r="B79" s="812" t="s">
        <v>516</v>
      </c>
      <c r="C79" s="1178" t="s">
        <v>601</v>
      </c>
      <c r="D79" s="1009"/>
      <c r="E79" s="1009"/>
      <c r="F79" s="1009"/>
      <c r="G79" s="1009"/>
      <c r="H79" s="1010"/>
      <c r="I79" s="813">
        <v>2.5000000000000001E-2</v>
      </c>
      <c r="J79" s="814">
        <f>ROUND((J58+J72)*I79,2)</f>
        <v>46.21</v>
      </c>
      <c r="K79" s="809"/>
    </row>
    <row r="80" spans="1:11" ht="33" customHeight="1">
      <c r="A80" s="754"/>
      <c r="B80" s="812" t="s">
        <v>518</v>
      </c>
      <c r="C80" s="1178" t="s">
        <v>988</v>
      </c>
      <c r="D80" s="1010"/>
      <c r="E80" s="815" t="s">
        <v>603</v>
      </c>
      <c r="F80" s="816">
        <f>'1-ABA-DE-CARREGAMENTO'!H57</f>
        <v>0.03</v>
      </c>
      <c r="G80" s="815" t="s">
        <v>604</v>
      </c>
      <c r="H80" s="817">
        <f>'1-ABA-DE-CARREGAMENTO'!H58</f>
        <v>1</v>
      </c>
      <c r="I80" s="818">
        <f>ROUND((F80*H80),6)</f>
        <v>0.03</v>
      </c>
      <c r="J80" s="814">
        <f>ROUND((J58+J72)*I80,2)</f>
        <v>55.46</v>
      </c>
      <c r="K80" s="809"/>
    </row>
    <row r="81" spans="1:11" ht="16.5" customHeight="1">
      <c r="A81" s="754"/>
      <c r="B81" s="812" t="s">
        <v>520</v>
      </c>
      <c r="C81" s="1178" t="s">
        <v>605</v>
      </c>
      <c r="D81" s="1009"/>
      <c r="E81" s="1009"/>
      <c r="F81" s="1009"/>
      <c r="G81" s="1009"/>
      <c r="H81" s="1010"/>
      <c r="I81" s="813">
        <v>1.4999999999999999E-2</v>
      </c>
      <c r="J81" s="814">
        <f>ROUND((J58+J72)*I81,2)</f>
        <v>27.73</v>
      </c>
      <c r="K81" s="809"/>
    </row>
    <row r="82" spans="1:11" ht="16.5" customHeight="1">
      <c r="A82" s="754"/>
      <c r="B82" s="812" t="s">
        <v>562</v>
      </c>
      <c r="C82" s="1178" t="s">
        <v>606</v>
      </c>
      <c r="D82" s="1009"/>
      <c r="E82" s="1009"/>
      <c r="F82" s="1009"/>
      <c r="G82" s="1009"/>
      <c r="H82" s="1010"/>
      <c r="I82" s="813">
        <v>0.01</v>
      </c>
      <c r="J82" s="814">
        <f>ROUND((J58+J72)*I82,2)</f>
        <v>18.489999999999998</v>
      </c>
      <c r="K82" s="809"/>
    </row>
    <row r="83" spans="1:11" ht="16.5" customHeight="1">
      <c r="A83" s="754"/>
      <c r="B83" s="812" t="s">
        <v>566</v>
      </c>
      <c r="C83" s="1178" t="s">
        <v>607</v>
      </c>
      <c r="D83" s="1009"/>
      <c r="E83" s="1009"/>
      <c r="F83" s="1009"/>
      <c r="G83" s="1009"/>
      <c r="H83" s="1010"/>
      <c r="I83" s="813">
        <v>6.0000000000000001E-3</v>
      </c>
      <c r="J83" s="814">
        <f>ROUND((J58+J72)*I83,2)</f>
        <v>11.09</v>
      </c>
      <c r="K83" s="809"/>
    </row>
    <row r="84" spans="1:11" ht="16.5" customHeight="1">
      <c r="A84" s="754"/>
      <c r="B84" s="812" t="s">
        <v>568</v>
      </c>
      <c r="C84" s="1178" t="s">
        <v>608</v>
      </c>
      <c r="D84" s="1009"/>
      <c r="E84" s="1009"/>
      <c r="F84" s="1009"/>
      <c r="G84" s="1009"/>
      <c r="H84" s="1010"/>
      <c r="I84" s="813">
        <v>2E-3</v>
      </c>
      <c r="J84" s="814">
        <f>ROUND((J58+J72)*I84,2)</f>
        <v>3.7</v>
      </c>
      <c r="K84" s="809"/>
    </row>
    <row r="85" spans="1:11" ht="28.5" customHeight="1">
      <c r="A85" s="754"/>
      <c r="B85" s="812" t="s">
        <v>570</v>
      </c>
      <c r="C85" s="1178" t="s">
        <v>609</v>
      </c>
      <c r="D85" s="1009"/>
      <c r="E85" s="1009"/>
      <c r="F85" s="1009"/>
      <c r="G85" s="1009"/>
      <c r="H85" s="1010"/>
      <c r="I85" s="813">
        <v>0.08</v>
      </c>
      <c r="J85" s="814">
        <f>ROUND((J58+J72)*I85,2)</f>
        <v>147.88</v>
      </c>
      <c r="K85" s="809"/>
    </row>
    <row r="86" spans="1:11" ht="12" customHeight="1">
      <c r="A86" s="754"/>
      <c r="B86" s="1204" t="s">
        <v>594</v>
      </c>
      <c r="C86" s="1009"/>
      <c r="D86" s="1009"/>
      <c r="E86" s="1009"/>
      <c r="F86" s="1009"/>
      <c r="G86" s="1009"/>
      <c r="H86" s="1010"/>
      <c r="I86" s="819">
        <f t="shared" ref="I86:J86" si="2">SUM(I78:I85)</f>
        <v>0.36800000000000005</v>
      </c>
      <c r="J86" s="808">
        <f t="shared" si="2"/>
        <v>680.26</v>
      </c>
      <c r="K86" s="809"/>
    </row>
    <row r="87" spans="1:11" ht="12" customHeight="1">
      <c r="A87" s="754"/>
      <c r="B87" s="820"/>
      <c r="C87" s="666"/>
      <c r="D87" s="666"/>
      <c r="E87" s="666"/>
      <c r="F87" s="666"/>
      <c r="G87" s="666"/>
      <c r="H87" s="666"/>
      <c r="I87" s="821"/>
      <c r="J87" s="822"/>
      <c r="K87" s="809"/>
    </row>
    <row r="88" spans="1:11" ht="34.5" customHeight="1">
      <c r="A88" s="754"/>
      <c r="B88" s="1214" t="s">
        <v>610</v>
      </c>
      <c r="C88" s="1009"/>
      <c r="D88" s="1009"/>
      <c r="E88" s="1009"/>
      <c r="F88" s="1009"/>
      <c r="G88" s="1009"/>
      <c r="H88" s="1009"/>
      <c r="I88" s="1009"/>
      <c r="J88" s="1010"/>
      <c r="K88" s="782"/>
    </row>
    <row r="89" spans="1:11" ht="18.75" customHeight="1">
      <c r="A89" s="754"/>
      <c r="B89" s="1225"/>
      <c r="C89" s="1009"/>
      <c r="D89" s="1009"/>
      <c r="E89" s="1009"/>
      <c r="F89" s="1009"/>
      <c r="G89" s="1009"/>
      <c r="H89" s="1009"/>
      <c r="I89" s="1009"/>
      <c r="J89" s="1010"/>
      <c r="K89" s="376"/>
    </row>
    <row r="90" spans="1:11" ht="15" customHeight="1">
      <c r="A90" s="754"/>
      <c r="B90" s="1096" t="s">
        <v>611</v>
      </c>
      <c r="C90" s="1009"/>
      <c r="D90" s="1009"/>
      <c r="E90" s="1009"/>
      <c r="F90" s="1009"/>
      <c r="G90" s="1009"/>
      <c r="H90" s="1009"/>
      <c r="I90" s="1009"/>
      <c r="J90" s="1010"/>
      <c r="K90" s="646"/>
    </row>
    <row r="91" spans="1:11" ht="15" customHeight="1">
      <c r="A91" s="754"/>
      <c r="B91" s="669" t="s">
        <v>612</v>
      </c>
      <c r="C91" s="1083" t="s">
        <v>613</v>
      </c>
      <c r="D91" s="1009"/>
      <c r="E91" s="1009"/>
      <c r="F91" s="1009"/>
      <c r="G91" s="1009"/>
      <c r="H91" s="1009"/>
      <c r="I91" s="1010"/>
      <c r="J91" s="929" t="s">
        <v>591</v>
      </c>
      <c r="K91" s="592"/>
    </row>
    <row r="92" spans="1:11" ht="15" customHeight="1">
      <c r="A92" s="754"/>
      <c r="B92" s="823" t="s">
        <v>514</v>
      </c>
      <c r="C92" s="1178" t="s">
        <v>989</v>
      </c>
      <c r="D92" s="1009"/>
      <c r="E92" s="1009"/>
      <c r="F92" s="1009"/>
      <c r="G92" s="1009"/>
      <c r="H92" s="1010"/>
      <c r="I92" s="794">
        <f>J47</f>
        <v>1396.01</v>
      </c>
      <c r="J92" s="824">
        <f>IF(ROUND((I93*I95*I94)-(J47*I96),2)&lt;0,0,ROUND((I93*I95*I94)-(J47*I96),2))</f>
        <v>57.04</v>
      </c>
      <c r="K92" s="809"/>
    </row>
    <row r="93" spans="1:11" ht="28.5" customHeight="1">
      <c r="A93" s="754"/>
      <c r="B93" s="823" t="s">
        <v>516</v>
      </c>
      <c r="C93" s="1178" t="s">
        <v>990</v>
      </c>
      <c r="D93" s="1009"/>
      <c r="E93" s="1009"/>
      <c r="F93" s="1009"/>
      <c r="G93" s="1009"/>
      <c r="H93" s="1009"/>
      <c r="I93" s="930">
        <f>'1-ABA-DE-CARREGAMENTO'!H72</f>
        <v>3.2</v>
      </c>
      <c r="J93" s="826" t="s">
        <v>527</v>
      </c>
      <c r="K93" s="799"/>
    </row>
    <row r="94" spans="1:11" ht="25.5" customHeight="1">
      <c r="A94" s="754"/>
      <c r="B94" s="823" t="s">
        <v>518</v>
      </c>
      <c r="C94" s="1178" t="s">
        <v>991</v>
      </c>
      <c r="D94" s="1009"/>
      <c r="E94" s="1009"/>
      <c r="F94" s="1009"/>
      <c r="G94" s="1009"/>
      <c r="H94" s="1010"/>
      <c r="I94" s="931">
        <f>'1-ABA-DE-CARREGAMENTO'!H73</f>
        <v>2</v>
      </c>
      <c r="J94" s="826" t="s">
        <v>527</v>
      </c>
      <c r="K94" s="799"/>
    </row>
    <row r="95" spans="1:11" ht="19.5" customHeight="1">
      <c r="A95" s="754"/>
      <c r="B95" s="823" t="s">
        <v>520</v>
      </c>
      <c r="C95" s="1229" t="s">
        <v>617</v>
      </c>
      <c r="D95" s="1009"/>
      <c r="E95" s="1009"/>
      <c r="F95" s="1009"/>
      <c r="G95" s="1009"/>
      <c r="H95" s="1010"/>
      <c r="I95" s="931">
        <f>'1-ABA-DE-CARREGAMENTO'!H74</f>
        <v>22</v>
      </c>
      <c r="J95" s="826" t="s">
        <v>527</v>
      </c>
      <c r="K95" s="799"/>
    </row>
    <row r="96" spans="1:11" ht="25.5" customHeight="1">
      <c r="A96" s="754"/>
      <c r="B96" s="823" t="s">
        <v>562</v>
      </c>
      <c r="C96" s="1229" t="s">
        <v>992</v>
      </c>
      <c r="D96" s="1009"/>
      <c r="E96" s="1009"/>
      <c r="F96" s="1009"/>
      <c r="G96" s="1009"/>
      <c r="H96" s="1010"/>
      <c r="I96" s="832">
        <f>'1-ABA-DE-CARREGAMENTO'!H75</f>
        <v>0.06</v>
      </c>
      <c r="J96" s="830" t="s">
        <v>527</v>
      </c>
      <c r="K96" s="799"/>
    </row>
    <row r="97" spans="1:11" ht="15" customHeight="1">
      <c r="A97" s="754"/>
      <c r="B97" s="823" t="s">
        <v>566</v>
      </c>
      <c r="C97" s="1178" t="s">
        <v>993</v>
      </c>
      <c r="D97" s="1009"/>
      <c r="E97" s="1009"/>
      <c r="F97" s="1009"/>
      <c r="G97" s="1009"/>
      <c r="H97" s="1009"/>
      <c r="I97" s="1009"/>
      <c r="J97" s="932">
        <f>ROUND(I98*I99,2)-ROUND((I98*I99)*I100,2)</f>
        <v>0</v>
      </c>
      <c r="K97" s="809"/>
    </row>
    <row r="98" spans="1:11" ht="15" customHeight="1">
      <c r="A98" s="754"/>
      <c r="B98" s="823" t="s">
        <v>568</v>
      </c>
      <c r="C98" s="1178" t="s">
        <v>994</v>
      </c>
      <c r="D98" s="1009"/>
      <c r="E98" s="1009"/>
      <c r="F98" s="1009"/>
      <c r="G98" s="1009"/>
      <c r="H98" s="1010"/>
      <c r="I98" s="825">
        <f>'1-ABA-DE-CARREGAMENTO'!H64</f>
        <v>0</v>
      </c>
      <c r="J98" s="831"/>
      <c r="K98" s="799"/>
    </row>
    <row r="99" spans="1:11" ht="22.5" customHeight="1">
      <c r="A99" s="754"/>
      <c r="B99" s="823" t="s">
        <v>570</v>
      </c>
      <c r="C99" s="1178" t="s">
        <v>995</v>
      </c>
      <c r="D99" s="1009"/>
      <c r="E99" s="1009"/>
      <c r="F99" s="1009"/>
      <c r="G99" s="1009"/>
      <c r="H99" s="1009"/>
      <c r="I99" s="827">
        <f>'1-ABA-DE-CARREGAMENTO'!H62</f>
        <v>22</v>
      </c>
      <c r="J99" s="831"/>
      <c r="K99" s="799"/>
    </row>
    <row r="100" spans="1:11" ht="25.5" customHeight="1">
      <c r="A100" s="754"/>
      <c r="B100" s="823" t="s">
        <v>574</v>
      </c>
      <c r="C100" s="1266" t="s">
        <v>996</v>
      </c>
      <c r="D100" s="1009"/>
      <c r="E100" s="1009"/>
      <c r="F100" s="1009"/>
      <c r="G100" s="1009"/>
      <c r="H100" s="1010"/>
      <c r="I100" s="832">
        <f>'1-ABA-DE-CARREGAMENTO'!H61</f>
        <v>0.19</v>
      </c>
      <c r="J100" s="833"/>
      <c r="K100" s="799"/>
    </row>
    <row r="101" spans="1:11" ht="15" customHeight="1" outlineLevel="1">
      <c r="A101" s="754"/>
      <c r="B101" s="823" t="s">
        <v>578</v>
      </c>
      <c r="C101" s="1178" t="s">
        <v>623</v>
      </c>
      <c r="D101" s="1009"/>
      <c r="E101" s="1009"/>
      <c r="F101" s="1009"/>
      <c r="G101" s="1009"/>
      <c r="H101" s="1009"/>
      <c r="I101" s="1009"/>
      <c r="J101" s="814">
        <f>'1-ABA-DE-CARREGAMENTO'!H79/12</f>
        <v>0</v>
      </c>
      <c r="K101" s="809"/>
    </row>
    <row r="102" spans="1:11" ht="24" customHeight="1" outlineLevel="1">
      <c r="A102" s="754"/>
      <c r="B102" s="823" t="s">
        <v>580</v>
      </c>
      <c r="C102" s="1178" t="s">
        <v>997</v>
      </c>
      <c r="D102" s="1009"/>
      <c r="E102" s="1009"/>
      <c r="F102" s="1009"/>
      <c r="G102" s="1009"/>
      <c r="H102" s="1009"/>
      <c r="I102" s="1009"/>
      <c r="J102" s="814">
        <v>0</v>
      </c>
      <c r="K102" s="809"/>
    </row>
    <row r="103" spans="1:11" ht="39.75" customHeight="1" outlineLevel="1">
      <c r="A103" s="754"/>
      <c r="B103" s="823" t="s">
        <v>625</v>
      </c>
      <c r="C103" s="1178" t="s">
        <v>998</v>
      </c>
      <c r="D103" s="1009"/>
      <c r="E103" s="1009"/>
      <c r="F103" s="1009"/>
      <c r="G103" s="1009"/>
      <c r="H103" s="1009"/>
      <c r="I103" s="1010"/>
      <c r="J103" s="814">
        <v>0</v>
      </c>
      <c r="K103" s="809"/>
    </row>
    <row r="104" spans="1:11" ht="16.5" customHeight="1" outlineLevel="1">
      <c r="A104" s="754"/>
      <c r="B104" s="823" t="s">
        <v>627</v>
      </c>
      <c r="C104" s="1178" t="s">
        <v>818</v>
      </c>
      <c r="D104" s="1009"/>
      <c r="E104" s="1009"/>
      <c r="F104" s="1009"/>
      <c r="G104" s="1009"/>
      <c r="H104" s="1009"/>
      <c r="I104" s="1010"/>
      <c r="J104" s="814">
        <f>'1-ABA-DE-CARREGAMENTO'!H76</f>
        <v>17.32</v>
      </c>
      <c r="K104" s="809"/>
    </row>
    <row r="105" spans="1:11" ht="17.25" customHeight="1">
      <c r="A105" s="754"/>
      <c r="B105" s="823" t="s">
        <v>129</v>
      </c>
      <c r="C105" s="1212" t="s">
        <v>668</v>
      </c>
      <c r="D105" s="1009"/>
      <c r="E105" s="1009"/>
      <c r="F105" s="1009"/>
      <c r="G105" s="1009"/>
      <c r="H105" s="1009"/>
      <c r="I105" s="1009"/>
      <c r="J105" s="834">
        <v>0</v>
      </c>
      <c r="K105" s="835"/>
    </row>
    <row r="106" spans="1:11" ht="33.75" customHeight="1">
      <c r="A106" s="754"/>
      <c r="B106" s="836"/>
      <c r="C106" s="1204" t="s">
        <v>594</v>
      </c>
      <c r="D106" s="1009"/>
      <c r="E106" s="1009"/>
      <c r="F106" s="1009"/>
      <c r="G106" s="1009"/>
      <c r="H106" s="1009"/>
      <c r="I106" s="1030"/>
      <c r="J106" s="808">
        <f>SUM(J92:J105)</f>
        <v>74.36</v>
      </c>
      <c r="K106" s="809"/>
    </row>
    <row r="107" spans="1:11" ht="17.25" customHeight="1">
      <c r="A107" s="754"/>
      <c r="B107" s="1225"/>
      <c r="C107" s="1009"/>
      <c r="D107" s="1009"/>
      <c r="E107" s="1009"/>
      <c r="F107" s="1009"/>
      <c r="G107" s="1009"/>
      <c r="H107" s="1009"/>
      <c r="I107" s="1009"/>
      <c r="J107" s="1010"/>
      <c r="K107" s="376"/>
    </row>
    <row r="108" spans="1:11" ht="38.25" customHeight="1">
      <c r="A108" s="754"/>
      <c r="B108" s="1214" t="s">
        <v>630</v>
      </c>
      <c r="C108" s="1009"/>
      <c r="D108" s="1009"/>
      <c r="E108" s="1009"/>
      <c r="F108" s="1009"/>
      <c r="G108" s="1009"/>
      <c r="H108" s="1009"/>
      <c r="I108" s="1009"/>
      <c r="J108" s="1010"/>
      <c r="K108" s="782"/>
    </row>
    <row r="109" spans="1:11" ht="19.5" customHeight="1">
      <c r="A109" s="754"/>
      <c r="B109" s="1220"/>
      <c r="C109" s="1009"/>
      <c r="D109" s="1009"/>
      <c r="E109" s="1009"/>
      <c r="F109" s="1009"/>
      <c r="G109" s="1009"/>
      <c r="H109" s="1009"/>
      <c r="I109" s="1009"/>
      <c r="J109" s="1010"/>
      <c r="K109" s="763"/>
    </row>
    <row r="110" spans="1:11" ht="19.5" customHeight="1">
      <c r="A110" s="754"/>
      <c r="B110" s="1265" t="s">
        <v>631</v>
      </c>
      <c r="C110" s="1009"/>
      <c r="D110" s="1009"/>
      <c r="E110" s="1009"/>
      <c r="F110" s="1009"/>
      <c r="G110" s="1009"/>
      <c r="H110" s="1009"/>
      <c r="I110" s="1009"/>
      <c r="J110" s="1010"/>
      <c r="K110" s="837"/>
    </row>
    <row r="111" spans="1:11" ht="19.5" customHeight="1">
      <c r="A111" s="754"/>
      <c r="B111" s="657">
        <v>2</v>
      </c>
      <c r="C111" s="1165" t="s">
        <v>632</v>
      </c>
      <c r="D111" s="1009"/>
      <c r="E111" s="1009"/>
      <c r="F111" s="1009"/>
      <c r="G111" s="1009"/>
      <c r="H111" s="1009"/>
      <c r="I111" s="1010"/>
      <c r="J111" s="657" t="s">
        <v>591</v>
      </c>
      <c r="K111" s="487"/>
    </row>
    <row r="112" spans="1:11" ht="19.5" customHeight="1">
      <c r="A112" s="754"/>
      <c r="B112" s="769" t="s">
        <v>589</v>
      </c>
      <c r="C112" s="1215" t="s">
        <v>999</v>
      </c>
      <c r="D112" s="1009"/>
      <c r="E112" s="1009"/>
      <c r="F112" s="1009"/>
      <c r="G112" s="1009"/>
      <c r="H112" s="1009"/>
      <c r="I112" s="1010"/>
      <c r="J112" s="838">
        <f>J72</f>
        <v>188.5</v>
      </c>
      <c r="K112" s="839"/>
    </row>
    <row r="113" spans="1:11" ht="19.5" customHeight="1">
      <c r="A113" s="754"/>
      <c r="B113" s="769" t="s">
        <v>597</v>
      </c>
      <c r="C113" s="1215" t="s">
        <v>598</v>
      </c>
      <c r="D113" s="1009"/>
      <c r="E113" s="1009"/>
      <c r="F113" s="1009"/>
      <c r="G113" s="1009"/>
      <c r="H113" s="1009"/>
      <c r="I113" s="1010"/>
      <c r="J113" s="838">
        <f>J86</f>
        <v>680.26</v>
      </c>
      <c r="K113" s="839"/>
    </row>
    <row r="114" spans="1:11" ht="19.5" customHeight="1">
      <c r="A114" s="754"/>
      <c r="B114" s="769" t="s">
        <v>612</v>
      </c>
      <c r="C114" s="1215" t="s">
        <v>613</v>
      </c>
      <c r="D114" s="1009"/>
      <c r="E114" s="1009"/>
      <c r="F114" s="1009"/>
      <c r="G114" s="1009"/>
      <c r="H114" s="1009"/>
      <c r="I114" s="1010"/>
      <c r="J114" s="838">
        <f>J106</f>
        <v>74.36</v>
      </c>
      <c r="K114" s="839"/>
    </row>
    <row r="115" spans="1:11" ht="14.25" customHeight="1">
      <c r="A115" s="754"/>
      <c r="B115" s="1261" t="s">
        <v>594</v>
      </c>
      <c r="C115" s="1009"/>
      <c r="D115" s="1009"/>
      <c r="E115" s="1009"/>
      <c r="F115" s="1009"/>
      <c r="G115" s="1009"/>
      <c r="H115" s="1009"/>
      <c r="I115" s="1010"/>
      <c r="J115" s="840">
        <f>SUM(J112+J113+J114)</f>
        <v>943.12</v>
      </c>
      <c r="K115" s="839"/>
    </row>
    <row r="116" spans="1:11" ht="14.25" customHeight="1">
      <c r="A116" s="754"/>
      <c r="B116" s="1262"/>
      <c r="C116" s="1009"/>
      <c r="D116" s="1009"/>
      <c r="E116" s="1009"/>
      <c r="F116" s="1009"/>
      <c r="G116" s="1009"/>
      <c r="H116" s="1009"/>
      <c r="I116" s="1009"/>
      <c r="J116" s="1010"/>
      <c r="K116" s="841"/>
    </row>
    <row r="117" spans="1:11" ht="18.75" customHeight="1">
      <c r="A117" s="754"/>
      <c r="B117" s="1252" t="s">
        <v>634</v>
      </c>
      <c r="C117" s="1009"/>
      <c r="D117" s="1009"/>
      <c r="E117" s="1009"/>
      <c r="F117" s="1009"/>
      <c r="G117" s="1009"/>
      <c r="H117" s="1009"/>
      <c r="I117" s="1009"/>
      <c r="J117" s="1010"/>
      <c r="K117" s="842"/>
    </row>
    <row r="118" spans="1:11" ht="15.75" customHeight="1">
      <c r="A118" s="754"/>
      <c r="B118" s="669">
        <v>3</v>
      </c>
      <c r="C118" s="1162" t="s">
        <v>635</v>
      </c>
      <c r="D118" s="1009"/>
      <c r="E118" s="1009"/>
      <c r="F118" s="1009"/>
      <c r="G118" s="1009"/>
      <c r="H118" s="1009"/>
      <c r="I118" s="1010"/>
      <c r="J118" s="669" t="s">
        <v>591</v>
      </c>
      <c r="K118" s="601"/>
    </row>
    <row r="119" spans="1:11" ht="40.5" customHeight="1">
      <c r="A119" s="754"/>
      <c r="B119" s="823" t="s">
        <v>514</v>
      </c>
      <c r="C119" s="1178" t="s">
        <v>1000</v>
      </c>
      <c r="D119" s="1009"/>
      <c r="E119" s="1009"/>
      <c r="F119" s="1009"/>
      <c r="G119" s="1009"/>
      <c r="H119" s="1009"/>
      <c r="I119" s="1010"/>
      <c r="J119" s="814">
        <f>ROUND((($J$58/12)+($J$70/12)+(J58/12/12)+($J$71/12))*(30/30)*0.05,2)</f>
        <v>8.2799999999999994</v>
      </c>
      <c r="K119" s="809"/>
    </row>
    <row r="120" spans="1:11" ht="15.75" customHeight="1">
      <c r="A120" s="754"/>
      <c r="B120" s="823" t="s">
        <v>516</v>
      </c>
      <c r="C120" s="1212" t="s">
        <v>637</v>
      </c>
      <c r="D120" s="1009"/>
      <c r="E120" s="1009"/>
      <c r="F120" s="1009"/>
      <c r="G120" s="1009"/>
      <c r="H120" s="1009"/>
      <c r="I120" s="1010"/>
      <c r="J120" s="814">
        <f>ROUND($I$85*J119,2)</f>
        <v>0.66</v>
      </c>
      <c r="K120" s="809"/>
    </row>
    <row r="121" spans="1:11" ht="109.5" customHeight="1">
      <c r="A121" s="754"/>
      <c r="B121" s="823" t="s">
        <v>518</v>
      </c>
      <c r="C121" s="1213" t="s">
        <v>1001</v>
      </c>
      <c r="D121" s="1009"/>
      <c r="E121" s="1009"/>
      <c r="F121" s="1009"/>
      <c r="G121" s="1009"/>
      <c r="H121" s="1009"/>
      <c r="I121" s="1010"/>
      <c r="J121" s="814">
        <f>ROUND(((7/30)/$I$11)*$J$58*1,2)</f>
        <v>12.91</v>
      </c>
      <c r="K121" s="809"/>
    </row>
    <row r="122" spans="1:11" ht="18.75" customHeight="1">
      <c r="A122" s="754"/>
      <c r="B122" s="823" t="s">
        <v>520</v>
      </c>
      <c r="C122" s="1212" t="s">
        <v>639</v>
      </c>
      <c r="D122" s="1009"/>
      <c r="E122" s="1009"/>
      <c r="F122" s="1009"/>
      <c r="G122" s="1009"/>
      <c r="H122" s="1009"/>
      <c r="I122" s="1010"/>
      <c r="J122" s="814">
        <f>ROUND($I$86*J121,2)</f>
        <v>4.75</v>
      </c>
      <c r="K122" s="809"/>
    </row>
    <row r="123" spans="1:11" ht="38.25" customHeight="1">
      <c r="A123" s="754"/>
      <c r="B123" s="823" t="s">
        <v>562</v>
      </c>
      <c r="C123" s="1178" t="s">
        <v>1002</v>
      </c>
      <c r="D123" s="1009"/>
      <c r="E123" s="1009"/>
      <c r="F123" s="1009"/>
      <c r="G123" s="1009"/>
      <c r="H123" s="1010"/>
      <c r="I123" s="843">
        <v>0.04</v>
      </c>
      <c r="J123" s="814">
        <f>ROUND(J58*I123,2)</f>
        <v>66.400000000000006</v>
      </c>
      <c r="K123" s="809"/>
    </row>
    <row r="124" spans="1:11" ht="19.5" customHeight="1">
      <c r="A124" s="754"/>
      <c r="B124" s="1204" t="s">
        <v>641</v>
      </c>
      <c r="C124" s="1009"/>
      <c r="D124" s="1009"/>
      <c r="E124" s="1009"/>
      <c r="F124" s="1009"/>
      <c r="G124" s="1009"/>
      <c r="H124" s="1009"/>
      <c r="I124" s="1010"/>
      <c r="J124" s="808">
        <f>SUM(J119:J123)</f>
        <v>93</v>
      </c>
      <c r="K124" s="809"/>
    </row>
    <row r="125" spans="1:11" ht="15.75" customHeight="1">
      <c r="A125" s="754"/>
      <c r="B125" s="1186"/>
      <c r="C125" s="1009"/>
      <c r="D125" s="1009"/>
      <c r="E125" s="1009"/>
      <c r="F125" s="1009"/>
      <c r="G125" s="1009"/>
      <c r="H125" s="1009"/>
      <c r="I125" s="1009"/>
      <c r="J125" s="1010"/>
      <c r="K125" s="844"/>
    </row>
    <row r="126" spans="1:11" ht="17.25" customHeight="1">
      <c r="A126" s="754"/>
      <c r="B126" s="1187" t="s">
        <v>642</v>
      </c>
      <c r="C126" s="1009"/>
      <c r="D126" s="1009"/>
      <c r="E126" s="1009"/>
      <c r="F126" s="1009"/>
      <c r="G126" s="1009"/>
      <c r="H126" s="1009"/>
      <c r="I126" s="1009"/>
      <c r="J126" s="1010"/>
      <c r="K126" s="845"/>
    </row>
    <row r="127" spans="1:11" ht="42" customHeight="1">
      <c r="A127" s="754"/>
      <c r="B127" s="1214" t="s">
        <v>643</v>
      </c>
      <c r="C127" s="1009"/>
      <c r="D127" s="1009"/>
      <c r="E127" s="1009"/>
      <c r="F127" s="1009"/>
      <c r="G127" s="1009"/>
      <c r="H127" s="1009"/>
      <c r="I127" s="1009"/>
      <c r="J127" s="1010"/>
      <c r="K127" s="782"/>
    </row>
    <row r="128" spans="1:11" ht="56.25" customHeight="1">
      <c r="A128" s="754"/>
      <c r="B128" s="1108" t="s">
        <v>1003</v>
      </c>
      <c r="C128" s="1009"/>
      <c r="D128" s="1009"/>
      <c r="E128" s="1009"/>
      <c r="F128" s="1009"/>
      <c r="G128" s="1009"/>
      <c r="H128" s="1009"/>
      <c r="I128" s="1009"/>
      <c r="J128" s="1010"/>
      <c r="K128" s="655"/>
    </row>
    <row r="129" spans="1:11" ht="43.5" customHeight="1">
      <c r="A129" s="754"/>
      <c r="B129" s="694" t="s">
        <v>645</v>
      </c>
      <c r="C129" s="695">
        <f>J58</f>
        <v>1660.01</v>
      </c>
      <c r="D129" s="846" t="s">
        <v>646</v>
      </c>
      <c r="E129" s="694" t="s">
        <v>1004</v>
      </c>
      <c r="F129" s="695">
        <f>J115-J92-J97</f>
        <v>886.08</v>
      </c>
      <c r="G129" s="846" t="s">
        <v>646</v>
      </c>
      <c r="H129" s="694" t="s">
        <v>648</v>
      </c>
      <c r="I129" s="695">
        <f>J124</f>
        <v>93</v>
      </c>
      <c r="J129" s="847">
        <f>C129+F129+I129</f>
        <v>2639.09</v>
      </c>
      <c r="K129" s="848"/>
    </row>
    <row r="130" spans="1:11" ht="30.75" customHeight="1">
      <c r="A130" s="754"/>
      <c r="B130" s="1263"/>
      <c r="C130" s="1009"/>
      <c r="D130" s="1009"/>
      <c r="E130" s="1009"/>
      <c r="F130" s="1009"/>
      <c r="G130" s="1009"/>
      <c r="H130" s="1009"/>
      <c r="I130" s="1009"/>
      <c r="J130" s="1010"/>
      <c r="K130" s="849"/>
    </row>
    <row r="131" spans="1:11" ht="15.75" customHeight="1">
      <c r="A131" s="754"/>
      <c r="B131" s="1069" t="s">
        <v>649</v>
      </c>
      <c r="C131" s="1009"/>
      <c r="D131" s="1009"/>
      <c r="E131" s="1009"/>
      <c r="F131" s="1009"/>
      <c r="G131" s="1009"/>
      <c r="H131" s="1009"/>
      <c r="I131" s="1009"/>
      <c r="J131" s="1010"/>
      <c r="K131" s="698"/>
    </row>
    <row r="132" spans="1:11" ht="17.25" customHeight="1">
      <c r="A132" s="754"/>
      <c r="B132" s="699" t="s">
        <v>650</v>
      </c>
      <c r="C132" s="1162" t="s">
        <v>651</v>
      </c>
      <c r="D132" s="1009"/>
      <c r="E132" s="1009"/>
      <c r="F132" s="1009"/>
      <c r="G132" s="1009"/>
      <c r="H132" s="1009"/>
      <c r="I132" s="1010"/>
      <c r="J132" s="699" t="s">
        <v>591</v>
      </c>
      <c r="K132" s="700"/>
    </row>
    <row r="133" spans="1:11" ht="51" customHeight="1">
      <c r="A133" s="754"/>
      <c r="B133" s="823" t="s">
        <v>514</v>
      </c>
      <c r="C133" s="1215" t="s">
        <v>1005</v>
      </c>
      <c r="D133" s="1009"/>
      <c r="E133" s="1009"/>
      <c r="F133" s="1009"/>
      <c r="G133" s="1009"/>
      <c r="H133" s="701">
        <v>9.0749999999999997E-2</v>
      </c>
      <c r="I133" s="702">
        <f>I86</f>
        <v>0.36800000000000005</v>
      </c>
      <c r="J133" s="814">
        <f>ROUND(H133*J58,2)*(1+I133)</f>
        <v>206.08920000000003</v>
      </c>
      <c r="K133" s="809"/>
    </row>
    <row r="134" spans="1:11" ht="17.25" customHeight="1">
      <c r="A134" s="754"/>
      <c r="B134" s="823" t="s">
        <v>516</v>
      </c>
      <c r="C134" s="1178" t="s">
        <v>1006</v>
      </c>
      <c r="D134" s="1009"/>
      <c r="E134" s="1009"/>
      <c r="F134" s="1009"/>
      <c r="G134" s="1009"/>
      <c r="H134" s="1009"/>
      <c r="I134" s="1010"/>
      <c r="J134" s="814">
        <f>ROUND((1/30)/12*(J129),2)</f>
        <v>7.33</v>
      </c>
      <c r="K134" s="809"/>
    </row>
    <row r="135" spans="1:11" ht="29.25" customHeight="1">
      <c r="A135" s="754"/>
      <c r="B135" s="823" t="s">
        <v>518</v>
      </c>
      <c r="C135" s="1178" t="s">
        <v>1007</v>
      </c>
      <c r="D135" s="1009"/>
      <c r="E135" s="1009"/>
      <c r="F135" s="1009"/>
      <c r="G135" s="1009"/>
      <c r="H135" s="1009"/>
      <c r="I135" s="1010"/>
      <c r="J135" s="814">
        <f>ROUND((5/30)/12*0.015*(J129),2)</f>
        <v>0.55000000000000004</v>
      </c>
      <c r="K135" s="809"/>
    </row>
    <row r="136" spans="1:11" ht="28.5" customHeight="1">
      <c r="A136" s="754"/>
      <c r="B136" s="823" t="s">
        <v>520</v>
      </c>
      <c r="C136" s="1178" t="s">
        <v>1008</v>
      </c>
      <c r="D136" s="1009"/>
      <c r="E136" s="1009"/>
      <c r="F136" s="1009"/>
      <c r="G136" s="1009"/>
      <c r="H136" s="1009"/>
      <c r="I136" s="1010"/>
      <c r="J136" s="814">
        <f>ROUND(((15/30)/12)*0.0078*(J129),2)</f>
        <v>0.86</v>
      </c>
      <c r="K136" s="809"/>
    </row>
    <row r="137" spans="1:11" ht="30.75" customHeight="1">
      <c r="A137" s="754"/>
      <c r="B137" s="850" t="s">
        <v>562</v>
      </c>
      <c r="C137" s="1264" t="s">
        <v>1009</v>
      </c>
      <c r="D137" s="1009"/>
      <c r="E137" s="1009"/>
      <c r="F137" s="1009"/>
      <c r="G137" s="1009"/>
      <c r="H137" s="1009"/>
      <c r="I137" s="1010"/>
      <c r="J137" s="704">
        <f>ROUND(((((C129+C129/3)+(I86)*(C129+C129/3))*(4/12))/12)*0.02,2) + ((J106 -J92-J97+ J124)*4/12)*0.02</f>
        <v>2.4154666666666667</v>
      </c>
      <c r="K137" s="653"/>
    </row>
    <row r="138" spans="1:11" ht="36" customHeight="1">
      <c r="A138" s="754"/>
      <c r="B138" s="823" t="s">
        <v>566</v>
      </c>
      <c r="C138" s="1178" t="s">
        <v>1010</v>
      </c>
      <c r="D138" s="1009"/>
      <c r="E138" s="1009"/>
      <c r="F138" s="1009"/>
      <c r="G138" s="1009"/>
      <c r="H138" s="1009"/>
      <c r="I138" s="1010"/>
      <c r="J138" s="814">
        <f>ROUND(((3/30)/12)*(J129),2)</f>
        <v>21.99</v>
      </c>
      <c r="K138" s="809"/>
    </row>
    <row r="139" spans="1:11" ht="19.5" customHeight="1">
      <c r="A139" s="754"/>
      <c r="B139" s="1204" t="s">
        <v>594</v>
      </c>
      <c r="C139" s="1009"/>
      <c r="D139" s="1009"/>
      <c r="E139" s="1009"/>
      <c r="F139" s="1009"/>
      <c r="G139" s="1009"/>
      <c r="H139" s="1009"/>
      <c r="I139" s="1010"/>
      <c r="J139" s="808">
        <f>SUM(J133:J138)</f>
        <v>239.23466666666675</v>
      </c>
      <c r="K139" s="809"/>
    </row>
    <row r="140" spans="1:11" ht="19.5" customHeight="1">
      <c r="A140" s="754"/>
      <c r="B140" s="1186"/>
      <c r="C140" s="1009"/>
      <c r="D140" s="1009"/>
      <c r="E140" s="1009"/>
      <c r="F140" s="1009"/>
      <c r="G140" s="1009"/>
      <c r="H140" s="1009"/>
      <c r="I140" s="1009"/>
      <c r="J140" s="1010"/>
      <c r="K140" s="844"/>
    </row>
    <row r="141" spans="1:11" ht="19.5" customHeight="1">
      <c r="A141" s="754"/>
      <c r="B141" s="1096" t="s">
        <v>658</v>
      </c>
      <c r="C141" s="1009"/>
      <c r="D141" s="1009"/>
      <c r="E141" s="1009"/>
      <c r="F141" s="1009"/>
      <c r="G141" s="1009"/>
      <c r="H141" s="1009"/>
      <c r="I141" s="1009"/>
      <c r="J141" s="1010"/>
      <c r="K141" s="646"/>
    </row>
    <row r="142" spans="1:11" ht="19.5" customHeight="1">
      <c r="A142" s="754"/>
      <c r="B142" s="705" t="s">
        <v>659</v>
      </c>
      <c r="C142" s="1097" t="s">
        <v>660</v>
      </c>
      <c r="D142" s="1009"/>
      <c r="E142" s="1009"/>
      <c r="F142" s="1009"/>
      <c r="G142" s="1009"/>
      <c r="H142" s="1009"/>
      <c r="I142" s="1010"/>
      <c r="J142" s="706" t="s">
        <v>591</v>
      </c>
      <c r="K142" s="707"/>
    </row>
    <row r="143" spans="1:11" ht="19.5" customHeight="1">
      <c r="A143" s="754"/>
      <c r="B143" s="851" t="s">
        <v>514</v>
      </c>
      <c r="C143" s="1202" t="s">
        <v>661</v>
      </c>
      <c r="D143" s="1009"/>
      <c r="E143" s="1009"/>
      <c r="F143" s="1009"/>
      <c r="G143" s="1009"/>
      <c r="H143" s="1009"/>
      <c r="I143" s="1010"/>
      <c r="J143" s="852">
        <v>0</v>
      </c>
      <c r="K143" s="853"/>
    </row>
    <row r="144" spans="1:11" ht="19.5" customHeight="1">
      <c r="A144" s="754"/>
      <c r="B144" s="1199" t="s">
        <v>594</v>
      </c>
      <c r="C144" s="1009"/>
      <c r="D144" s="1009"/>
      <c r="E144" s="1009"/>
      <c r="F144" s="1009"/>
      <c r="G144" s="1009"/>
      <c r="H144" s="1009"/>
      <c r="I144" s="1010"/>
      <c r="J144" s="854">
        <v>0</v>
      </c>
      <c r="K144" s="853"/>
    </row>
    <row r="145" spans="1:11" ht="19.5" customHeight="1">
      <c r="A145" s="754"/>
      <c r="B145" s="1200"/>
      <c r="C145" s="1009"/>
      <c r="D145" s="1009"/>
      <c r="E145" s="1009"/>
      <c r="F145" s="1009"/>
      <c r="G145" s="1009"/>
      <c r="H145" s="1009"/>
      <c r="I145" s="1009"/>
      <c r="J145" s="1010"/>
      <c r="K145" s="855"/>
    </row>
    <row r="146" spans="1:11" ht="19.5" customHeight="1">
      <c r="A146" s="754"/>
      <c r="B146" s="1201" t="s">
        <v>662</v>
      </c>
      <c r="C146" s="1009"/>
      <c r="D146" s="1009"/>
      <c r="E146" s="1009"/>
      <c r="F146" s="1009"/>
      <c r="G146" s="1009"/>
      <c r="H146" s="1009"/>
      <c r="I146" s="1009"/>
      <c r="J146" s="1010"/>
      <c r="K146" s="805"/>
    </row>
    <row r="147" spans="1:11" ht="19.5" customHeight="1">
      <c r="A147" s="754"/>
      <c r="B147" s="657">
        <v>4</v>
      </c>
      <c r="C147" s="1097" t="s">
        <v>663</v>
      </c>
      <c r="D147" s="1009"/>
      <c r="E147" s="1009"/>
      <c r="F147" s="1009"/>
      <c r="G147" s="1009"/>
      <c r="H147" s="1009"/>
      <c r="I147" s="1010"/>
      <c r="J147" s="706" t="s">
        <v>591</v>
      </c>
      <c r="K147" s="707"/>
    </row>
    <row r="148" spans="1:11" ht="28.5" customHeight="1">
      <c r="A148" s="754"/>
      <c r="B148" s="769" t="s">
        <v>650</v>
      </c>
      <c r="C148" s="1202" t="s">
        <v>651</v>
      </c>
      <c r="D148" s="1009"/>
      <c r="E148" s="1009"/>
      <c r="F148" s="1009"/>
      <c r="G148" s="1009"/>
      <c r="H148" s="1009"/>
      <c r="I148" s="1010"/>
      <c r="J148" s="852">
        <f>J139</f>
        <v>239.23466666666675</v>
      </c>
      <c r="K148" s="853"/>
    </row>
    <row r="149" spans="1:11" ht="24" customHeight="1">
      <c r="A149" s="754"/>
      <c r="B149" s="769" t="s">
        <v>664</v>
      </c>
      <c r="C149" s="1202" t="s">
        <v>660</v>
      </c>
      <c r="D149" s="1009"/>
      <c r="E149" s="1009"/>
      <c r="F149" s="1009"/>
      <c r="G149" s="1009"/>
      <c r="H149" s="1009"/>
      <c r="I149" s="1010"/>
      <c r="J149" s="852">
        <f>J144</f>
        <v>0</v>
      </c>
      <c r="K149" s="853"/>
    </row>
    <row r="150" spans="1:11" ht="24" customHeight="1">
      <c r="A150" s="754"/>
      <c r="B150" s="1261" t="s">
        <v>594</v>
      </c>
      <c r="C150" s="1009"/>
      <c r="D150" s="1009"/>
      <c r="E150" s="1009"/>
      <c r="F150" s="1009"/>
      <c r="G150" s="1009"/>
      <c r="H150" s="1009"/>
      <c r="I150" s="1010"/>
      <c r="J150" s="854">
        <f>SUM(J148+J149)</f>
        <v>239.23466666666675</v>
      </c>
      <c r="K150" s="853"/>
    </row>
    <row r="151" spans="1:11" ht="15.75" customHeight="1">
      <c r="A151" s="754"/>
      <c r="B151" s="1200"/>
      <c r="C151" s="1009"/>
      <c r="D151" s="1009"/>
      <c r="E151" s="1009"/>
      <c r="F151" s="1009"/>
      <c r="G151" s="1009"/>
      <c r="H151" s="1009"/>
      <c r="I151" s="1009"/>
      <c r="J151" s="1010"/>
      <c r="K151" s="855"/>
    </row>
    <row r="152" spans="1:11" ht="15.75" customHeight="1">
      <c r="A152" s="754"/>
      <c r="B152" s="1187" t="s">
        <v>665</v>
      </c>
      <c r="C152" s="1009"/>
      <c r="D152" s="1009"/>
      <c r="E152" s="1009"/>
      <c r="F152" s="1009"/>
      <c r="G152" s="1009"/>
      <c r="H152" s="1009"/>
      <c r="I152" s="1009"/>
      <c r="J152" s="1010"/>
      <c r="K152" s="845"/>
    </row>
    <row r="153" spans="1:11" ht="15.75" customHeight="1">
      <c r="A153" s="754"/>
      <c r="B153" s="669">
        <v>3</v>
      </c>
      <c r="C153" s="1083" t="s">
        <v>666</v>
      </c>
      <c r="D153" s="1009"/>
      <c r="E153" s="1009"/>
      <c r="F153" s="1009"/>
      <c r="G153" s="1009"/>
      <c r="H153" s="1009"/>
      <c r="I153" s="1010"/>
      <c r="J153" s="669" t="s">
        <v>591</v>
      </c>
      <c r="K153" s="601"/>
    </row>
    <row r="154" spans="1:11" ht="17.25" customHeight="1">
      <c r="A154" s="754"/>
      <c r="B154" s="823" t="s">
        <v>514</v>
      </c>
      <c r="C154" s="1178" t="s">
        <v>769</v>
      </c>
      <c r="D154" s="1009"/>
      <c r="E154" s="1009"/>
      <c r="F154" s="1009"/>
      <c r="G154" s="1009"/>
      <c r="H154" s="1009"/>
      <c r="I154" s="1010"/>
      <c r="J154" s="856" t="e">
        <f>#REF!+#REF!</f>
        <v>#REF!</v>
      </c>
      <c r="K154" s="809"/>
    </row>
    <row r="155" spans="1:11" ht="15.75" customHeight="1">
      <c r="A155" s="754"/>
      <c r="B155" s="823" t="s">
        <v>516</v>
      </c>
      <c r="C155" s="1178" t="s">
        <v>770</v>
      </c>
      <c r="D155" s="1009"/>
      <c r="E155" s="1009"/>
      <c r="F155" s="1009"/>
      <c r="G155" s="1009"/>
      <c r="H155" s="1009"/>
      <c r="I155" s="1010"/>
      <c r="J155" s="834">
        <v>0</v>
      </c>
      <c r="K155" s="835"/>
    </row>
    <row r="156" spans="1:11" ht="15.75" customHeight="1">
      <c r="A156" s="754"/>
      <c r="B156" s="823" t="s">
        <v>518</v>
      </c>
      <c r="C156" s="1178" t="s">
        <v>668</v>
      </c>
      <c r="D156" s="1009"/>
      <c r="E156" s="1009"/>
      <c r="F156" s="1009"/>
      <c r="G156" s="1009"/>
      <c r="H156" s="1009"/>
      <c r="I156" s="1010"/>
      <c r="J156" s="834" t="s">
        <v>669</v>
      </c>
      <c r="K156" s="835"/>
    </row>
    <row r="157" spans="1:11" ht="19.5" customHeight="1">
      <c r="A157" s="754"/>
      <c r="B157" s="1204" t="s">
        <v>670</v>
      </c>
      <c r="C157" s="1009"/>
      <c r="D157" s="1009"/>
      <c r="E157" s="1009"/>
      <c r="F157" s="1009"/>
      <c r="G157" s="1009"/>
      <c r="H157" s="1009"/>
      <c r="I157" s="1010"/>
      <c r="J157" s="857" t="e">
        <f>ROUND(SUM(J154:J156),2)</f>
        <v>#REF!</v>
      </c>
      <c r="K157" s="835"/>
    </row>
    <row r="158" spans="1:11" ht="15.75" customHeight="1">
      <c r="A158" s="754"/>
      <c r="B158" s="1267"/>
      <c r="C158" s="1009"/>
      <c r="D158" s="1009"/>
      <c r="E158" s="1009"/>
      <c r="F158" s="1009"/>
      <c r="G158" s="1009"/>
      <c r="H158" s="1009"/>
      <c r="I158" s="1009"/>
      <c r="J158" s="1010"/>
      <c r="K158" s="858"/>
    </row>
    <row r="159" spans="1:11" ht="27.75" customHeight="1">
      <c r="A159" s="754"/>
      <c r="B159" s="1268" t="s">
        <v>671</v>
      </c>
      <c r="C159" s="1009"/>
      <c r="D159" s="1009"/>
      <c r="E159" s="1009"/>
      <c r="F159" s="1009"/>
      <c r="G159" s="1009"/>
      <c r="H159" s="1009"/>
      <c r="I159" s="1009"/>
      <c r="J159" s="1010"/>
      <c r="K159" s="859"/>
    </row>
    <row r="160" spans="1:11" ht="19.5" customHeight="1">
      <c r="A160" s="754"/>
      <c r="B160" s="860"/>
      <c r="C160" s="714"/>
      <c r="D160" s="714"/>
      <c r="E160" s="714"/>
      <c r="F160" s="714"/>
      <c r="G160" s="714"/>
      <c r="H160" s="714"/>
      <c r="I160" s="714"/>
      <c r="J160" s="715"/>
      <c r="K160" s="329"/>
    </row>
    <row r="161" spans="1:11" ht="24" customHeight="1">
      <c r="A161" s="754"/>
      <c r="B161" s="1252" t="s">
        <v>672</v>
      </c>
      <c r="C161" s="1009"/>
      <c r="D161" s="1009"/>
      <c r="E161" s="1009"/>
      <c r="F161" s="1009"/>
      <c r="G161" s="1009"/>
      <c r="H161" s="1009"/>
      <c r="I161" s="1009"/>
      <c r="J161" s="1010"/>
      <c r="K161" s="842"/>
    </row>
    <row r="162" spans="1:11" ht="30" customHeight="1">
      <c r="A162" s="754"/>
      <c r="B162" s="669">
        <v>6</v>
      </c>
      <c r="C162" s="1162" t="s">
        <v>673</v>
      </c>
      <c r="D162" s="1009"/>
      <c r="E162" s="1009"/>
      <c r="F162" s="1009"/>
      <c r="G162" s="1009"/>
      <c r="H162" s="1010"/>
      <c r="I162" s="861" t="s">
        <v>556</v>
      </c>
      <c r="J162" s="716" t="s">
        <v>599</v>
      </c>
      <c r="K162" s="717"/>
    </row>
    <row r="163" spans="1:11" ht="54" customHeight="1">
      <c r="A163" s="754"/>
      <c r="B163" s="1229" t="s">
        <v>674</v>
      </c>
      <c r="C163" s="1009"/>
      <c r="D163" s="1009"/>
      <c r="E163" s="1009"/>
      <c r="F163" s="1009"/>
      <c r="G163" s="1009"/>
      <c r="H163" s="1010"/>
      <c r="I163" s="355" t="s">
        <v>527</v>
      </c>
      <c r="J163" s="862" t="e">
        <f>SUM(J63+J115+J124+J150+J157)</f>
        <v>#REF!</v>
      </c>
      <c r="K163" s="863"/>
    </row>
    <row r="164" spans="1:11" ht="27.75" customHeight="1">
      <c r="A164" s="754"/>
      <c r="B164" s="823" t="s">
        <v>514</v>
      </c>
      <c r="C164" s="1109" t="s">
        <v>675</v>
      </c>
      <c r="D164" s="1009"/>
      <c r="E164" s="1009"/>
      <c r="F164" s="1009"/>
      <c r="G164" s="1009"/>
      <c r="H164" s="1010"/>
      <c r="I164" s="813">
        <f>'1-ABA-DE-CARREGAMENTO'!H85</f>
        <v>0.06</v>
      </c>
      <c r="J164" s="814" t="e">
        <f>ROUND(I164*J163,2)</f>
        <v>#REF!</v>
      </c>
      <c r="K164" s="809"/>
    </row>
    <row r="165" spans="1:11" ht="54" customHeight="1">
      <c r="A165" s="754"/>
      <c r="B165" s="1229" t="s">
        <v>676</v>
      </c>
      <c r="C165" s="1009"/>
      <c r="D165" s="1009"/>
      <c r="E165" s="1009"/>
      <c r="F165" s="1009"/>
      <c r="G165" s="1009"/>
      <c r="H165" s="1010"/>
      <c r="I165" s="864" t="s">
        <v>527</v>
      </c>
      <c r="J165" s="862" t="e">
        <f>SUM(J63+J115+J124+J150+J157+J164)</f>
        <v>#REF!</v>
      </c>
      <c r="K165" s="863"/>
    </row>
    <row r="166" spans="1:11" ht="19.5" customHeight="1">
      <c r="A166" s="754"/>
      <c r="B166" s="823" t="s">
        <v>516</v>
      </c>
      <c r="C166" s="1109" t="s">
        <v>312</v>
      </c>
      <c r="D166" s="1009"/>
      <c r="E166" s="1009"/>
      <c r="F166" s="1009"/>
      <c r="G166" s="1009"/>
      <c r="H166" s="1010"/>
      <c r="I166" s="813">
        <f>'1-ABA-DE-CARREGAMENTO'!H86</f>
        <v>0.06</v>
      </c>
      <c r="J166" s="814" t="e">
        <f>ROUND(I166*J165,2)</f>
        <v>#REF!</v>
      </c>
      <c r="K166" s="809"/>
    </row>
    <row r="167" spans="1:11" ht="54.75" customHeight="1">
      <c r="A167" s="754"/>
      <c r="B167" s="1229" t="s">
        <v>677</v>
      </c>
      <c r="C167" s="1009"/>
      <c r="D167" s="1009"/>
      <c r="E167" s="1009"/>
      <c r="F167" s="1009"/>
      <c r="G167" s="1009"/>
      <c r="H167" s="1010"/>
      <c r="I167" s="864" t="s">
        <v>527</v>
      </c>
      <c r="J167" s="862" t="e">
        <f>SUM(J163+J164+J166)</f>
        <v>#REF!</v>
      </c>
      <c r="K167" s="863"/>
    </row>
    <row r="168" spans="1:11" ht="18.75" customHeight="1">
      <c r="A168" s="754"/>
      <c r="B168" s="865" t="s">
        <v>518</v>
      </c>
      <c r="C168" s="1252" t="s">
        <v>678</v>
      </c>
      <c r="D168" s="1009"/>
      <c r="E168" s="1009"/>
      <c r="F168" s="1009"/>
      <c r="G168" s="1009"/>
      <c r="H168" s="1010"/>
      <c r="I168" s="792" t="s">
        <v>527</v>
      </c>
      <c r="J168" s="798" t="s">
        <v>527</v>
      </c>
      <c r="K168" s="799"/>
    </row>
    <row r="169" spans="1:11" ht="30" customHeight="1">
      <c r="A169" s="754"/>
      <c r="B169" s="823"/>
      <c r="C169" s="1212" t="s">
        <v>679</v>
      </c>
      <c r="D169" s="1009"/>
      <c r="E169" s="1009"/>
      <c r="F169" s="1009"/>
      <c r="G169" s="1009"/>
      <c r="H169" s="1010"/>
      <c r="I169" s="792" t="s">
        <v>527</v>
      </c>
      <c r="J169" s="798" t="s">
        <v>527</v>
      </c>
      <c r="K169" s="799"/>
    </row>
    <row r="170" spans="1:11" ht="21.75" customHeight="1">
      <c r="A170" s="754"/>
      <c r="B170" s="823"/>
      <c r="C170" s="1099" t="s">
        <v>1011</v>
      </c>
      <c r="D170" s="1009"/>
      <c r="E170" s="1009"/>
      <c r="F170" s="1009"/>
      <c r="G170" s="1009"/>
      <c r="H170" s="1010"/>
      <c r="I170" s="866">
        <f>'1-ABA-DE-CARREGAMENTO'!E28</f>
        <v>1.6500000000000001E-2</v>
      </c>
      <c r="J170" s="867" t="e">
        <f t="shared" ref="J170:J171" si="3">ROUND(($J$167/(1-$I$179))*I170,2)</f>
        <v>#REF!</v>
      </c>
      <c r="K170" s="868"/>
    </row>
    <row r="171" spans="1:11" ht="21.75" customHeight="1">
      <c r="A171" s="754"/>
      <c r="B171" s="823"/>
      <c r="C171" s="1099" t="s">
        <v>1012</v>
      </c>
      <c r="D171" s="1009"/>
      <c r="E171" s="1009"/>
      <c r="F171" s="1009"/>
      <c r="G171" s="1009"/>
      <c r="H171" s="1010"/>
      <c r="I171" s="866">
        <f>'1-ABA-DE-CARREGAMENTO'!F28</f>
        <v>7.5999999999999998E-2</v>
      </c>
      <c r="J171" s="867" t="e">
        <f t="shared" si="3"/>
        <v>#REF!</v>
      </c>
      <c r="K171" s="868"/>
    </row>
    <row r="172" spans="1:11" ht="27" customHeight="1">
      <c r="A172" s="754"/>
      <c r="B172" s="823"/>
      <c r="C172" s="1178" t="s">
        <v>1013</v>
      </c>
      <c r="D172" s="1009"/>
      <c r="E172" s="1009"/>
      <c r="F172" s="1009"/>
      <c r="G172" s="1009"/>
      <c r="H172" s="1010"/>
      <c r="I172" s="869" t="s">
        <v>527</v>
      </c>
      <c r="J172" s="798" t="s">
        <v>527</v>
      </c>
      <c r="K172" s="799"/>
    </row>
    <row r="173" spans="1:11" ht="27" customHeight="1">
      <c r="A173" s="754"/>
      <c r="B173" s="823"/>
      <c r="C173" s="1178" t="s">
        <v>1014</v>
      </c>
      <c r="D173" s="1009"/>
      <c r="E173" s="1009"/>
      <c r="F173" s="1009"/>
      <c r="G173" s="1009"/>
      <c r="H173" s="1010"/>
      <c r="I173" s="869" t="s">
        <v>527</v>
      </c>
      <c r="J173" s="798" t="s">
        <v>527</v>
      </c>
      <c r="K173" s="799"/>
    </row>
    <row r="174" spans="1:11" ht="15.75" customHeight="1">
      <c r="A174" s="754"/>
      <c r="B174" s="823"/>
      <c r="C174" s="1178" t="s">
        <v>684</v>
      </c>
      <c r="D174" s="1009"/>
      <c r="E174" s="1009"/>
      <c r="F174" s="1009"/>
      <c r="G174" s="1009"/>
      <c r="H174" s="1009"/>
      <c r="I174" s="870" t="s">
        <v>527</v>
      </c>
      <c r="J174" s="871" t="s">
        <v>527</v>
      </c>
      <c r="K174" s="872"/>
    </row>
    <row r="175" spans="1:11" ht="15.75" customHeight="1">
      <c r="A175" s="754"/>
      <c r="B175" s="823"/>
      <c r="C175" s="1178" t="s">
        <v>685</v>
      </c>
      <c r="D175" s="1009"/>
      <c r="E175" s="1009"/>
      <c r="F175" s="1009"/>
      <c r="G175" s="1009"/>
      <c r="H175" s="1009"/>
      <c r="I175" s="870" t="s">
        <v>527</v>
      </c>
      <c r="J175" s="871" t="s">
        <v>527</v>
      </c>
      <c r="K175" s="872"/>
    </row>
    <row r="176" spans="1:11" ht="15.75" customHeight="1">
      <c r="A176" s="754"/>
      <c r="B176" s="823"/>
      <c r="C176" s="1178" t="s">
        <v>1015</v>
      </c>
      <c r="D176" s="1009"/>
      <c r="E176" s="1009"/>
      <c r="F176" s="1009"/>
      <c r="G176" s="1009"/>
      <c r="H176" s="1010"/>
      <c r="I176" s="873">
        <f>'1-ABA-DE-CARREGAMENTO'!D87</f>
        <v>0.04</v>
      </c>
      <c r="J176" s="867" t="e">
        <f>ROUND(($J$167/(1-$I$179))*I176,2)</f>
        <v>#REF!</v>
      </c>
      <c r="K176" s="868"/>
    </row>
    <row r="177" spans="1:11" ht="15.75" customHeight="1">
      <c r="A177" s="754"/>
      <c r="B177" s="1204" t="s">
        <v>641</v>
      </c>
      <c r="C177" s="1009"/>
      <c r="D177" s="1009"/>
      <c r="E177" s="1009"/>
      <c r="F177" s="1009"/>
      <c r="G177" s="1009"/>
      <c r="H177" s="1009"/>
      <c r="I177" s="1010"/>
      <c r="J177" s="808" t="e">
        <f>SUM(J164+J166+J170+J171+J176)</f>
        <v>#REF!</v>
      </c>
      <c r="K177" s="809"/>
    </row>
    <row r="178" spans="1:11" ht="15.75" customHeight="1">
      <c r="A178" s="754"/>
      <c r="B178" s="1186"/>
      <c r="C178" s="1009"/>
      <c r="D178" s="1009"/>
      <c r="E178" s="1009"/>
      <c r="F178" s="1009"/>
      <c r="G178" s="1009"/>
      <c r="H178" s="1009"/>
      <c r="I178" s="1009"/>
      <c r="J178" s="1010"/>
      <c r="K178" s="844"/>
    </row>
    <row r="179" spans="1:11" ht="15.75" customHeight="1">
      <c r="A179" s="754"/>
      <c r="B179" s="1205" t="s">
        <v>687</v>
      </c>
      <c r="C179" s="1009"/>
      <c r="D179" s="1009"/>
      <c r="E179" s="1009"/>
      <c r="F179" s="1009"/>
      <c r="G179" s="1009"/>
      <c r="H179" s="1010"/>
      <c r="I179" s="874">
        <f t="shared" ref="I179:J179" si="4">SUM(I170:I176)</f>
        <v>0.13250000000000001</v>
      </c>
      <c r="J179" s="862" t="e">
        <f t="shared" si="4"/>
        <v>#REF!</v>
      </c>
      <c r="K179" s="863"/>
    </row>
    <row r="180" spans="1:11" ht="15.75" customHeight="1">
      <c r="A180" s="754"/>
      <c r="B180" s="1206" t="s">
        <v>688</v>
      </c>
      <c r="C180" s="1023"/>
      <c r="D180" s="1207" t="s">
        <v>689</v>
      </c>
      <c r="E180" s="1023"/>
      <c r="F180" s="1023"/>
      <c r="G180" s="1023"/>
      <c r="H180" s="1023"/>
      <c r="I180" s="1023"/>
      <c r="J180" s="1040"/>
      <c r="K180" s="875"/>
    </row>
    <row r="181" spans="1:11" ht="15.75" customHeight="1">
      <c r="A181" s="754"/>
      <c r="B181" s="1102"/>
      <c r="C181" s="1023"/>
      <c r="D181" s="1208" t="s">
        <v>690</v>
      </c>
      <c r="E181" s="1023"/>
      <c r="F181" s="1023"/>
      <c r="G181" s="1023"/>
      <c r="H181" s="1023"/>
      <c r="I181" s="1023"/>
      <c r="J181" s="1040"/>
      <c r="K181" s="876"/>
    </row>
    <row r="182" spans="1:11" ht="15.75" customHeight="1">
      <c r="A182" s="754"/>
      <c r="B182" s="1103"/>
      <c r="C182" s="1060"/>
      <c r="D182" s="1209" t="s">
        <v>691</v>
      </c>
      <c r="E182" s="1060"/>
      <c r="F182" s="1060"/>
      <c r="G182" s="1060"/>
      <c r="H182" s="1060"/>
      <c r="I182" s="1060"/>
      <c r="J182" s="1062"/>
      <c r="K182" s="875"/>
    </row>
    <row r="183" spans="1:11" ht="10.5" customHeight="1">
      <c r="A183" s="754"/>
      <c r="B183" s="1210"/>
      <c r="C183" s="1009"/>
      <c r="D183" s="1009"/>
      <c r="E183" s="1009"/>
      <c r="F183" s="1009"/>
      <c r="G183" s="1009"/>
      <c r="H183" s="1009"/>
      <c r="I183" s="1009"/>
      <c r="J183" s="1010"/>
      <c r="K183" s="877"/>
    </row>
    <row r="184" spans="1:11" ht="24" customHeight="1">
      <c r="A184" s="754"/>
      <c r="B184" s="1211" t="s">
        <v>692</v>
      </c>
      <c r="C184" s="1009"/>
      <c r="D184" s="1009"/>
      <c r="E184" s="1009"/>
      <c r="F184" s="1009"/>
      <c r="G184" s="1009"/>
      <c r="H184" s="1009"/>
      <c r="I184" s="1009"/>
      <c r="J184" s="1010"/>
      <c r="K184" s="766"/>
    </row>
    <row r="185" spans="1:11" ht="9" customHeight="1">
      <c r="A185" s="754"/>
      <c r="B185" s="1186"/>
      <c r="C185" s="1009"/>
      <c r="D185" s="1009"/>
      <c r="E185" s="1009"/>
      <c r="F185" s="1009"/>
      <c r="G185" s="1009"/>
      <c r="H185" s="1009"/>
      <c r="I185" s="1009"/>
      <c r="J185" s="1010"/>
      <c r="K185" s="844"/>
    </row>
    <row r="186" spans="1:11" ht="15.75" customHeight="1">
      <c r="A186" s="754"/>
      <c r="B186" s="1187" t="s">
        <v>1016</v>
      </c>
      <c r="C186" s="1009"/>
      <c r="D186" s="1009"/>
      <c r="E186" s="1009"/>
      <c r="F186" s="1009"/>
      <c r="G186" s="1009"/>
      <c r="H186" s="1009"/>
      <c r="I186" s="1009"/>
      <c r="J186" s="1010"/>
      <c r="K186" s="845"/>
    </row>
    <row r="187" spans="1:11" ht="15.75" customHeight="1">
      <c r="A187" s="754"/>
      <c r="B187" s="1086" t="s">
        <v>694</v>
      </c>
      <c r="C187" s="1009"/>
      <c r="D187" s="1009"/>
      <c r="E187" s="1009"/>
      <c r="F187" s="1009"/>
      <c r="G187" s="1009"/>
      <c r="H187" s="1009"/>
      <c r="I187" s="1010"/>
      <c r="J187" s="861" t="s">
        <v>591</v>
      </c>
      <c r="K187" s="763"/>
    </row>
    <row r="188" spans="1:11" ht="15.75" customHeight="1">
      <c r="A188" s="754"/>
      <c r="B188" s="878" t="s">
        <v>514</v>
      </c>
      <c r="C188" s="1181" t="s">
        <v>695</v>
      </c>
      <c r="D188" s="1009"/>
      <c r="E188" s="1009"/>
      <c r="F188" s="1009"/>
      <c r="G188" s="1009"/>
      <c r="H188" s="1009"/>
      <c r="I188" s="1009"/>
      <c r="J188" s="834">
        <f>J63</f>
        <v>1660.01</v>
      </c>
      <c r="K188" s="835"/>
    </row>
    <row r="189" spans="1:11" ht="15.75" customHeight="1">
      <c r="A189" s="754"/>
      <c r="B189" s="878" t="s">
        <v>516</v>
      </c>
      <c r="C189" s="1181" t="s">
        <v>696</v>
      </c>
      <c r="D189" s="1009"/>
      <c r="E189" s="1009"/>
      <c r="F189" s="1009"/>
      <c r="G189" s="1009"/>
      <c r="H189" s="1009"/>
      <c r="I189" s="1009"/>
      <c r="J189" s="834">
        <f>J115</f>
        <v>943.12</v>
      </c>
      <c r="K189" s="835"/>
    </row>
    <row r="190" spans="1:11" ht="15.75" customHeight="1">
      <c r="A190" s="754"/>
      <c r="B190" s="878" t="s">
        <v>518</v>
      </c>
      <c r="C190" s="1181" t="s">
        <v>697</v>
      </c>
      <c r="D190" s="1009"/>
      <c r="E190" s="1009"/>
      <c r="F190" s="1009"/>
      <c r="G190" s="1009"/>
      <c r="H190" s="1009"/>
      <c r="I190" s="1009"/>
      <c r="J190" s="834">
        <f>J124</f>
        <v>93</v>
      </c>
      <c r="K190" s="835"/>
    </row>
    <row r="191" spans="1:11" ht="15.75" customHeight="1">
      <c r="A191" s="754"/>
      <c r="B191" s="878" t="s">
        <v>520</v>
      </c>
      <c r="C191" s="1181" t="s">
        <v>698</v>
      </c>
      <c r="D191" s="1009"/>
      <c r="E191" s="1009"/>
      <c r="F191" s="1009"/>
      <c r="G191" s="1009"/>
      <c r="H191" s="1009"/>
      <c r="I191" s="1009"/>
      <c r="J191" s="834">
        <f>J150</f>
        <v>239.23466666666675</v>
      </c>
      <c r="K191" s="835"/>
    </row>
    <row r="192" spans="1:11" ht="15.75" customHeight="1">
      <c r="A192" s="754"/>
      <c r="B192" s="878" t="s">
        <v>562</v>
      </c>
      <c r="C192" s="1181" t="s">
        <v>699</v>
      </c>
      <c r="D192" s="1009"/>
      <c r="E192" s="1009"/>
      <c r="F192" s="1009"/>
      <c r="G192" s="1009"/>
      <c r="H192" s="1009"/>
      <c r="I192" s="1009"/>
      <c r="J192" s="834" t="e">
        <f>J157</f>
        <v>#REF!</v>
      </c>
      <c r="K192" s="835"/>
    </row>
    <row r="193" spans="1:11" ht="15.75" customHeight="1">
      <c r="A193" s="754"/>
      <c r="B193" s="1182" t="s">
        <v>700</v>
      </c>
      <c r="C193" s="1009"/>
      <c r="D193" s="1009"/>
      <c r="E193" s="1009"/>
      <c r="F193" s="1009"/>
      <c r="G193" s="1009"/>
      <c r="H193" s="1009"/>
      <c r="I193" s="1030"/>
      <c r="J193" s="857" t="e">
        <f>ROUND(SUM(J188:J192),2)</f>
        <v>#REF!</v>
      </c>
      <c r="K193" s="835"/>
    </row>
    <row r="194" spans="1:11" ht="15.75" customHeight="1">
      <c r="A194" s="754"/>
      <c r="B194" s="879" t="s">
        <v>566</v>
      </c>
      <c r="C194" s="1181" t="s">
        <v>672</v>
      </c>
      <c r="D194" s="1009"/>
      <c r="E194" s="1009"/>
      <c r="F194" s="1009"/>
      <c r="G194" s="1009"/>
      <c r="H194" s="1009"/>
      <c r="I194" s="1009"/>
      <c r="J194" s="834" t="e">
        <f>J177</f>
        <v>#REF!</v>
      </c>
      <c r="K194" s="835"/>
    </row>
    <row r="195" spans="1:11" ht="15.75" customHeight="1">
      <c r="A195" s="754"/>
      <c r="B195" s="1182" t="s">
        <v>777</v>
      </c>
      <c r="C195" s="1009"/>
      <c r="D195" s="1009"/>
      <c r="E195" s="1009"/>
      <c r="F195" s="1009"/>
      <c r="G195" s="1009"/>
      <c r="H195" s="1009"/>
      <c r="I195" s="1030"/>
      <c r="J195" s="857" t="e">
        <f>J193+J194</f>
        <v>#REF!</v>
      </c>
      <c r="K195" s="835"/>
    </row>
    <row r="196" spans="1:11" ht="36.75" customHeight="1">
      <c r="A196" s="754"/>
      <c r="B196" s="1183" t="s">
        <v>702</v>
      </c>
      <c r="C196" s="1009"/>
      <c r="D196" s="1009"/>
      <c r="E196" s="1009"/>
      <c r="F196" s="1009"/>
      <c r="G196" s="1009"/>
      <c r="H196" s="1009"/>
      <c r="I196" s="1009"/>
      <c r="J196" s="1010"/>
      <c r="K196" s="880"/>
    </row>
    <row r="197" spans="1:11" ht="9" customHeight="1">
      <c r="A197" s="754"/>
      <c r="B197" s="1184"/>
      <c r="C197" s="1009"/>
      <c r="D197" s="1009"/>
      <c r="E197" s="1009"/>
      <c r="F197" s="1009"/>
      <c r="G197" s="1009"/>
      <c r="H197" s="1009"/>
      <c r="I197" s="1009"/>
      <c r="J197" s="1010"/>
      <c r="K197" s="881"/>
    </row>
    <row r="198" spans="1:11" ht="15.75" customHeight="1">
      <c r="A198" s="754"/>
      <c r="B198" s="882"/>
      <c r="C198" s="760"/>
      <c r="D198" s="760"/>
      <c r="E198" s="760"/>
      <c r="F198" s="760"/>
      <c r="G198" s="760"/>
      <c r="H198" s="760"/>
      <c r="I198" s="883"/>
      <c r="J198" s="884"/>
      <c r="K198" s="883"/>
    </row>
    <row r="199" spans="1:11" ht="15.75" customHeight="1">
      <c r="A199" s="754"/>
      <c r="B199" s="1082" t="s">
        <v>703</v>
      </c>
      <c r="C199" s="1023"/>
      <c r="D199" s="1023"/>
      <c r="E199" s="1023"/>
      <c r="F199" s="1023"/>
      <c r="G199" s="1023"/>
      <c r="H199" s="1023"/>
      <c r="I199" s="1023"/>
      <c r="J199" s="1040"/>
      <c r="K199" s="594"/>
    </row>
    <row r="200" spans="1:11" ht="22.5" customHeight="1">
      <c r="A200" s="754"/>
      <c r="B200" s="1185" t="s">
        <v>704</v>
      </c>
      <c r="C200" s="1009"/>
      <c r="D200" s="1009"/>
      <c r="E200" s="1010"/>
      <c r="F200" s="1185" t="s">
        <v>778</v>
      </c>
      <c r="G200" s="1010"/>
      <c r="H200" s="861" t="s">
        <v>707</v>
      </c>
      <c r="I200" s="1185" t="s">
        <v>708</v>
      </c>
      <c r="J200" s="1010"/>
      <c r="K200" s="763"/>
    </row>
    <row r="201" spans="1:11" ht="36" hidden="1" customHeight="1" outlineLevel="1">
      <c r="A201" s="754"/>
      <c r="B201" s="1178" t="s">
        <v>709</v>
      </c>
      <c r="C201" s="1009"/>
      <c r="D201" s="1009"/>
      <c r="E201" s="1010"/>
      <c r="F201" s="1176">
        <v>0</v>
      </c>
      <c r="G201" s="1010"/>
      <c r="H201" s="885">
        <f t="shared" ref="H201:H202" si="5">E201*F201</f>
        <v>0</v>
      </c>
      <c r="I201" s="1176">
        <f t="shared" ref="I201:I203" si="6">F201*H201</f>
        <v>0</v>
      </c>
      <c r="J201" s="1010"/>
      <c r="K201" s="886"/>
    </row>
    <row r="202" spans="1:11" ht="36" hidden="1" customHeight="1" outlineLevel="1">
      <c r="A202" s="754"/>
      <c r="B202" s="1178" t="s">
        <v>710</v>
      </c>
      <c r="C202" s="1009"/>
      <c r="D202" s="1009"/>
      <c r="E202" s="1010"/>
      <c r="F202" s="1176">
        <v>0</v>
      </c>
      <c r="G202" s="1010"/>
      <c r="H202" s="885">
        <f t="shared" si="5"/>
        <v>0</v>
      </c>
      <c r="I202" s="1176">
        <f t="shared" si="6"/>
        <v>0</v>
      </c>
      <c r="J202" s="1010"/>
      <c r="K202" s="886"/>
    </row>
    <row r="203" spans="1:11" ht="36" customHeight="1" collapsed="1">
      <c r="A203" s="754"/>
      <c r="B203" s="1179" t="str">
        <f>B3</f>
        <v>A NÃO TEM MAIS POSTOS-33</v>
      </c>
      <c r="C203" s="1009"/>
      <c r="D203" s="1009"/>
      <c r="E203" s="1010"/>
      <c r="F203" s="1180" t="e">
        <f>J195</f>
        <v>#REF!</v>
      </c>
      <c r="G203" s="1010"/>
      <c r="H203" s="885">
        <f>I17</f>
        <v>0</v>
      </c>
      <c r="I203" s="1176" t="e">
        <f t="shared" si="6"/>
        <v>#REF!</v>
      </c>
      <c r="J203" s="1010"/>
      <c r="K203" s="886"/>
    </row>
    <row r="204" spans="1:11" ht="36" hidden="1" customHeight="1" outlineLevel="1">
      <c r="A204" s="754"/>
      <c r="B204" s="1178" t="s">
        <v>711</v>
      </c>
      <c r="C204" s="1009"/>
      <c r="D204" s="1009"/>
      <c r="E204" s="1010"/>
      <c r="F204" s="1180">
        <v>0</v>
      </c>
      <c r="G204" s="1010"/>
      <c r="H204" s="885">
        <f t="shared" ref="H204:I204" si="7">E204*G204</f>
        <v>0</v>
      </c>
      <c r="I204" s="1176">
        <f t="shared" si="7"/>
        <v>0</v>
      </c>
      <c r="J204" s="1010"/>
      <c r="K204" s="886"/>
    </row>
    <row r="205" spans="1:11" ht="36" hidden="1" customHeight="1" outlineLevel="1">
      <c r="A205" s="754"/>
      <c r="B205" s="1178" t="s">
        <v>712</v>
      </c>
      <c r="C205" s="1009"/>
      <c r="D205" s="1009"/>
      <c r="E205" s="1010"/>
      <c r="F205" s="1180">
        <v>0</v>
      </c>
      <c r="G205" s="1010"/>
      <c r="H205" s="885">
        <f t="shared" ref="H205:I205" si="8">E205*G205</f>
        <v>0</v>
      </c>
      <c r="I205" s="1176">
        <f t="shared" si="8"/>
        <v>0</v>
      </c>
      <c r="J205" s="1010"/>
      <c r="K205" s="886"/>
    </row>
    <row r="206" spans="1:11" ht="15.75" hidden="1" customHeight="1" outlineLevel="1">
      <c r="A206" s="754"/>
      <c r="B206" s="1203" t="s">
        <v>1017</v>
      </c>
      <c r="C206" s="1009"/>
      <c r="D206" s="1009"/>
      <c r="E206" s="1010"/>
      <c r="F206" s="1176">
        <v>0</v>
      </c>
      <c r="G206" s="1010"/>
      <c r="H206" s="885">
        <f t="shared" ref="H206:I206" si="9">E206*G206</f>
        <v>0</v>
      </c>
      <c r="I206" s="1176">
        <f t="shared" si="9"/>
        <v>0</v>
      </c>
      <c r="J206" s="1010"/>
      <c r="K206" s="886"/>
    </row>
    <row r="207" spans="1:11" ht="15.75" customHeight="1" collapsed="1">
      <c r="A207" s="754"/>
      <c r="B207" s="1188" t="s">
        <v>714</v>
      </c>
      <c r="C207" s="1009"/>
      <c r="D207" s="1009"/>
      <c r="E207" s="1009"/>
      <c r="F207" s="1009"/>
      <c r="G207" s="1010"/>
      <c r="H207" s="887">
        <f>SUM(H201:H206)</f>
        <v>0</v>
      </c>
      <c r="I207" s="1177" t="e">
        <f>SUM(I201:J206)</f>
        <v>#REF!</v>
      </c>
      <c r="J207" s="1010"/>
      <c r="K207" s="888"/>
    </row>
    <row r="208" spans="1:11" ht="15.75" customHeight="1">
      <c r="A208" s="754"/>
      <c r="B208" s="1189"/>
      <c r="C208" s="1092"/>
      <c r="D208" s="1092"/>
      <c r="E208" s="1092"/>
      <c r="F208" s="1092"/>
      <c r="G208" s="1092"/>
      <c r="H208" s="1092"/>
      <c r="I208" s="1092"/>
      <c r="J208" s="1093"/>
      <c r="K208" s="844"/>
    </row>
    <row r="209" spans="1:11" ht="15.75" customHeight="1">
      <c r="A209" s="754"/>
      <c r="B209" s="1190" t="s">
        <v>715</v>
      </c>
      <c r="C209" s="1060"/>
      <c r="D209" s="1060"/>
      <c r="E209" s="1060"/>
      <c r="F209" s="1060"/>
      <c r="G209" s="1060"/>
      <c r="H209" s="1060"/>
      <c r="I209" s="1060"/>
      <c r="J209" s="1062"/>
      <c r="K209" s="766"/>
    </row>
    <row r="210" spans="1:11" ht="6" customHeight="1">
      <c r="A210" s="754"/>
      <c r="B210" s="1194"/>
      <c r="C210" s="1009"/>
      <c r="D210" s="1009"/>
      <c r="E210" s="1009"/>
      <c r="F210" s="1009"/>
      <c r="G210" s="1009"/>
      <c r="H210" s="1009"/>
      <c r="I210" s="1009"/>
      <c r="J210" s="1010"/>
      <c r="K210" s="889"/>
    </row>
    <row r="211" spans="1:11" ht="15.75" customHeight="1">
      <c r="A211" s="754"/>
      <c r="B211" s="1191" t="s">
        <v>716</v>
      </c>
      <c r="C211" s="1009"/>
      <c r="D211" s="1009"/>
      <c r="E211" s="1009"/>
      <c r="F211" s="1009"/>
      <c r="G211" s="1010"/>
      <c r="H211" s="1195" t="e">
        <f>$I$207</f>
        <v>#REF!</v>
      </c>
      <c r="I211" s="1009"/>
      <c r="J211" s="1010"/>
      <c r="K211" s="890"/>
    </row>
    <row r="212" spans="1:11" ht="6" customHeight="1">
      <c r="A212" s="754"/>
      <c r="B212" s="1196"/>
      <c r="C212" s="1015"/>
      <c r="D212" s="1015"/>
      <c r="E212" s="1015"/>
      <c r="F212" s="1015"/>
      <c r="G212" s="1015"/>
      <c r="H212" s="1015"/>
      <c r="I212" s="1015"/>
      <c r="J212" s="1075"/>
      <c r="K212" s="891"/>
    </row>
    <row r="213" spans="1:11" ht="15.75" customHeight="1">
      <c r="A213" s="754"/>
      <c r="B213" s="1191" t="s">
        <v>717</v>
      </c>
      <c r="C213" s="1009"/>
      <c r="D213" s="1009"/>
      <c r="E213" s="1009"/>
      <c r="F213" s="1009"/>
      <c r="G213" s="1010"/>
      <c r="H213" s="1197">
        <f>$I$11</f>
        <v>30</v>
      </c>
      <c r="I213" s="1009"/>
      <c r="J213" s="1010"/>
      <c r="K213" s="892"/>
    </row>
    <row r="214" spans="1:11" ht="6" customHeight="1">
      <c r="A214" s="754"/>
      <c r="B214" s="1198"/>
      <c r="C214" s="1009"/>
      <c r="D214" s="1009"/>
      <c r="E214" s="1009"/>
      <c r="F214" s="1009"/>
      <c r="G214" s="1009"/>
      <c r="H214" s="1009"/>
      <c r="I214" s="1009"/>
      <c r="J214" s="1010"/>
      <c r="K214" s="893"/>
    </row>
    <row r="215" spans="1:11" ht="15.75" customHeight="1">
      <c r="A215" s="754"/>
      <c r="B215" s="1191" t="s">
        <v>1018</v>
      </c>
      <c r="C215" s="1009"/>
      <c r="D215" s="1009"/>
      <c r="E215" s="1009"/>
      <c r="F215" s="1009"/>
      <c r="G215" s="1010"/>
      <c r="H215" s="1192" t="e">
        <f>ROUND(H211*H213,2)</f>
        <v>#REF!</v>
      </c>
      <c r="I215" s="1009"/>
      <c r="J215" s="1010"/>
      <c r="K215" s="894"/>
    </row>
    <row r="216" spans="1:11" ht="6" customHeight="1">
      <c r="A216" s="754"/>
      <c r="B216" s="1193"/>
      <c r="C216" s="1009"/>
      <c r="D216" s="1009"/>
      <c r="E216" s="1009"/>
      <c r="F216" s="1009"/>
      <c r="G216" s="1009"/>
      <c r="H216" s="1009"/>
      <c r="I216" s="1009"/>
      <c r="J216" s="1010"/>
      <c r="K216" s="760"/>
    </row>
    <row r="217" spans="1:11" ht="15.75" customHeight="1">
      <c r="A217" s="754"/>
      <c r="B217" s="754"/>
      <c r="C217" s="754"/>
      <c r="D217" s="754"/>
      <c r="E217" s="754"/>
      <c r="F217" s="754"/>
      <c r="G217" s="754"/>
      <c r="H217" s="754"/>
      <c r="I217" s="754"/>
      <c r="J217" s="754"/>
      <c r="K217" s="754"/>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C96:H96"/>
    <mergeCell ref="C149:I149"/>
    <mergeCell ref="B150:I150"/>
    <mergeCell ref="B151:J151"/>
    <mergeCell ref="B152:J152"/>
    <mergeCell ref="C153:I153"/>
    <mergeCell ref="C154:I154"/>
    <mergeCell ref="C155:I155"/>
    <mergeCell ref="C156:I156"/>
    <mergeCell ref="B86:H86"/>
    <mergeCell ref="B88:J88"/>
    <mergeCell ref="B89:J89"/>
    <mergeCell ref="B90:J90"/>
    <mergeCell ref="C91:I91"/>
    <mergeCell ref="C92:H92"/>
    <mergeCell ref="C93:H93"/>
    <mergeCell ref="C94:H94"/>
    <mergeCell ref="C95:H95"/>
    <mergeCell ref="C77:H77"/>
    <mergeCell ref="C78:H78"/>
    <mergeCell ref="C79:H79"/>
    <mergeCell ref="C80:D80"/>
    <mergeCell ref="C81:H81"/>
    <mergeCell ref="C82:H82"/>
    <mergeCell ref="C83:H83"/>
    <mergeCell ref="C84:H84"/>
    <mergeCell ref="C85:H85"/>
    <mergeCell ref="C98:H98"/>
    <mergeCell ref="C99:H99"/>
    <mergeCell ref="C100:H100"/>
    <mergeCell ref="C101:I101"/>
    <mergeCell ref="C102:I102"/>
    <mergeCell ref="C103:I103"/>
    <mergeCell ref="C104:I104"/>
    <mergeCell ref="C105:I105"/>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46:H46"/>
    <mergeCell ref="C47:F47"/>
    <mergeCell ref="C48:E48"/>
    <mergeCell ref="F48:H48"/>
    <mergeCell ref="C49:H49"/>
    <mergeCell ref="C50:F50"/>
    <mergeCell ref="G50:H50"/>
    <mergeCell ref="C51:E51"/>
    <mergeCell ref="C52:I52"/>
    <mergeCell ref="C53:I53"/>
    <mergeCell ref="C54:E54"/>
    <mergeCell ref="C55:E55"/>
    <mergeCell ref="C56:I56"/>
    <mergeCell ref="C57:I57"/>
    <mergeCell ref="B58:I58"/>
    <mergeCell ref="C59:I59"/>
    <mergeCell ref="C60:I60"/>
    <mergeCell ref="B61:I61"/>
    <mergeCell ref="B62:J62"/>
    <mergeCell ref="B63:I63"/>
    <mergeCell ref="B64:J64"/>
    <mergeCell ref="B65:J65"/>
    <mergeCell ref="B66:J66"/>
    <mergeCell ref="B67:J67"/>
    <mergeCell ref="B68:J68"/>
    <mergeCell ref="C69:I69"/>
    <mergeCell ref="C70:H70"/>
    <mergeCell ref="C71:H71"/>
    <mergeCell ref="B72:I72"/>
    <mergeCell ref="B73:J73"/>
    <mergeCell ref="B74:J74"/>
    <mergeCell ref="B75:J75"/>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144:I144"/>
    <mergeCell ref="B145:J145"/>
    <mergeCell ref="B146:J146"/>
    <mergeCell ref="C147:I147"/>
    <mergeCell ref="C148:I148"/>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208:J208"/>
    <mergeCell ref="B209:J209"/>
    <mergeCell ref="B215:G215"/>
    <mergeCell ref="H215:J215"/>
    <mergeCell ref="B216:J216"/>
    <mergeCell ref="B210:J210"/>
    <mergeCell ref="B211:G211"/>
    <mergeCell ref="H211:J211"/>
    <mergeCell ref="B212:J212"/>
    <mergeCell ref="B213:G213"/>
    <mergeCell ref="H213:J213"/>
    <mergeCell ref="B214:J214"/>
    <mergeCell ref="B185:J185"/>
    <mergeCell ref="B186:J186"/>
    <mergeCell ref="B187:I187"/>
    <mergeCell ref="C188:I188"/>
    <mergeCell ref="C189:I189"/>
    <mergeCell ref="C190:I190"/>
    <mergeCell ref="C191:I191"/>
    <mergeCell ref="C192:I192"/>
    <mergeCell ref="B193:I193"/>
    <mergeCell ref="C194:I194"/>
    <mergeCell ref="B195:I195"/>
    <mergeCell ref="B196:J196"/>
    <mergeCell ref="B197:J197"/>
    <mergeCell ref="B199:J199"/>
    <mergeCell ref="B200:E200"/>
    <mergeCell ref="F200:G200"/>
    <mergeCell ref="I200:J200"/>
    <mergeCell ref="B201:E201"/>
    <mergeCell ref="F201:G201"/>
    <mergeCell ref="I201:J201"/>
    <mergeCell ref="I203:J203"/>
    <mergeCell ref="I204:J204"/>
    <mergeCell ref="I205:J205"/>
    <mergeCell ref="I206:J206"/>
    <mergeCell ref="I207:J207"/>
    <mergeCell ref="B202:E202"/>
    <mergeCell ref="F202:G202"/>
    <mergeCell ref="I202:J202"/>
    <mergeCell ref="B203:E203"/>
    <mergeCell ref="F203:G203"/>
    <mergeCell ref="B204:E204"/>
    <mergeCell ref="F204:G204"/>
    <mergeCell ref="B207:G207"/>
  </mergeCells>
  <conditionalFormatting sqref="I49:I50">
    <cfRule type="cellIs" dxfId="13" priority="1" operator="equal">
      <formula>0</formula>
    </cfRule>
  </conditionalFormatting>
  <conditionalFormatting sqref="I48">
    <cfRule type="cellIs" dxfId="12" priority="2" operator="equal">
      <formula>0</formula>
    </cfRule>
  </conditionalFormatting>
  <pageMargins left="0.511811024" right="0.511811024" top="0.78740157499999996" bottom="0.78740157499999996" header="0" footer="0"/>
  <pageSetup orientation="landscape"/>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BD4B4"/>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4" customWidth="1"/>
    <col min="7" max="7" width="14.85546875" customWidth="1"/>
    <col min="8" max="8" width="14.42578125" customWidth="1"/>
    <col min="9" max="9" width="11.28515625" customWidth="1"/>
    <col min="10" max="10" width="16.7109375" customWidth="1"/>
    <col min="11" max="11" width="1.42578125" customWidth="1"/>
  </cols>
  <sheetData>
    <row r="1" spans="1:11" ht="11.25" customHeight="1">
      <c r="A1" s="933" t="s">
        <v>1019</v>
      </c>
      <c r="B1" s="754"/>
      <c r="C1" s="754"/>
      <c r="D1" s="754"/>
      <c r="E1" s="754"/>
      <c r="F1" s="754"/>
      <c r="G1" s="754"/>
      <c r="H1" s="754"/>
      <c r="I1" s="754"/>
      <c r="J1" s="755"/>
      <c r="K1" s="754"/>
    </row>
    <row r="2" spans="1:11" ht="17.25" customHeight="1">
      <c r="A2" s="754"/>
      <c r="B2" s="1245" t="str">
        <f>'1-ABA-DE-CARREGAMENTO'!C11</f>
        <v xml:space="preserve"> S E R V I Ç O S     -   REFEITORIO_×_JARDINAGEM</v>
      </c>
      <c r="C2" s="1130"/>
      <c r="D2" s="1130"/>
      <c r="E2" s="1130"/>
      <c r="F2" s="1130"/>
      <c r="G2" s="1130"/>
      <c r="H2" s="1130"/>
      <c r="I2" s="1130"/>
      <c r="J2" s="1128"/>
      <c r="K2" s="756"/>
    </row>
    <row r="3" spans="1:11" ht="17.25" customHeight="1">
      <c r="A3" s="754"/>
      <c r="B3" s="1246" t="str">
        <f>'1-ABA-DE-CARREGAMENTO'!I33</f>
        <v>A NÃO TEM MAIS POSTOS-44</v>
      </c>
      <c r="C3" s="1060"/>
      <c r="D3" s="1060"/>
      <c r="E3" s="1060"/>
      <c r="F3" s="1060"/>
      <c r="G3" s="1060"/>
      <c r="H3" s="1060"/>
      <c r="I3" s="1060"/>
      <c r="J3" s="1062"/>
      <c r="K3" s="757"/>
    </row>
    <row r="4" spans="1:11" ht="17.25" customHeight="1">
      <c r="A4" s="754"/>
      <c r="B4" s="1247" t="s">
        <v>511</v>
      </c>
      <c r="C4" s="1060"/>
      <c r="D4" s="1060"/>
      <c r="E4" s="1060"/>
      <c r="F4" s="1062"/>
      <c r="G4" s="1248">
        <f>'1-ABA-DE-CARREGAMENTO'!C12</f>
        <v>0</v>
      </c>
      <c r="H4" s="1060"/>
      <c r="I4" s="1060"/>
      <c r="J4" s="1062"/>
      <c r="K4" s="758"/>
    </row>
    <row r="5" spans="1:11" ht="17.25" customHeight="1">
      <c r="A5" s="754"/>
      <c r="B5" s="1178" t="s">
        <v>512</v>
      </c>
      <c r="C5" s="1009"/>
      <c r="D5" s="1009"/>
      <c r="E5" s="1009"/>
      <c r="F5" s="1010"/>
      <c r="G5" s="1249">
        <f>'1-ABA-DE-CARREGAMENTO'!C13</f>
        <v>0</v>
      </c>
      <c r="H5" s="1009"/>
      <c r="I5" s="1009"/>
      <c r="J5" s="1010"/>
      <c r="K5" s="758"/>
    </row>
    <row r="6" spans="1:11" ht="17.25" customHeight="1">
      <c r="A6" s="754"/>
      <c r="B6" s="1250">
        <f>'1-ABA-DE-CARREGAMENTO'!C16</f>
        <v>0</v>
      </c>
      <c r="C6" s="1009"/>
      <c r="D6" s="1009"/>
      <c r="E6" s="1009"/>
      <c r="F6" s="1009"/>
      <c r="G6" s="1009"/>
      <c r="H6" s="1009"/>
      <c r="I6" s="1009"/>
      <c r="J6" s="1010"/>
      <c r="K6" s="760"/>
    </row>
    <row r="7" spans="1:11" ht="17.25" customHeight="1">
      <c r="A7" s="754"/>
      <c r="B7" s="1086" t="s">
        <v>513</v>
      </c>
      <c r="C7" s="1009"/>
      <c r="D7" s="1009"/>
      <c r="E7" s="1009"/>
      <c r="F7" s="1009"/>
      <c r="G7" s="1009"/>
      <c r="H7" s="1009"/>
      <c r="I7" s="1009"/>
      <c r="J7" s="1010"/>
      <c r="K7" s="594"/>
    </row>
    <row r="8" spans="1:11" ht="17.25" customHeight="1">
      <c r="A8" s="754"/>
      <c r="B8" s="761" t="s">
        <v>514</v>
      </c>
      <c r="C8" s="1178" t="s">
        <v>515</v>
      </c>
      <c r="D8" s="1009"/>
      <c r="E8" s="1009"/>
      <c r="F8" s="1009"/>
      <c r="G8" s="1009"/>
      <c r="H8" s="1010"/>
      <c r="I8" s="1251">
        <f>'1-ABA-DE-CARREGAMENTO'!C16</f>
        <v>0</v>
      </c>
      <c r="J8" s="1010"/>
      <c r="K8" s="762"/>
    </row>
    <row r="9" spans="1:11" ht="17.25" customHeight="1">
      <c r="A9" s="754"/>
      <c r="B9" s="761" t="s">
        <v>516</v>
      </c>
      <c r="C9" s="1178" t="s">
        <v>517</v>
      </c>
      <c r="D9" s="1009"/>
      <c r="E9" s="1009"/>
      <c r="F9" s="1009"/>
      <c r="G9" s="1009"/>
      <c r="H9" s="1010"/>
      <c r="I9" s="1249" t="str">
        <f>'1-ABA-DE-CARREGAMENTO'!C14</f>
        <v xml:space="preserve">JULIO-DE-CASTILHOS </v>
      </c>
      <c r="J9" s="1010"/>
      <c r="K9" s="758"/>
    </row>
    <row r="10" spans="1:11" ht="17.25" customHeight="1">
      <c r="A10" s="754"/>
      <c r="B10" s="761" t="s">
        <v>518</v>
      </c>
      <c r="C10" s="1178" t="s">
        <v>519</v>
      </c>
      <c r="D10" s="1009"/>
      <c r="E10" s="1009"/>
      <c r="F10" s="1009"/>
      <c r="G10" s="1009"/>
      <c r="H10" s="1010"/>
      <c r="I10" s="1249" t="str">
        <f>'1-ABA-DE-CARREGAMENTO'!I35</f>
        <v>RS005021/2021</v>
      </c>
      <c r="J10" s="1010"/>
      <c r="K10" s="758"/>
    </row>
    <row r="11" spans="1:11" ht="17.25" customHeight="1">
      <c r="A11" s="754"/>
      <c r="B11" s="761" t="s">
        <v>520</v>
      </c>
      <c r="C11" s="1178" t="s">
        <v>521</v>
      </c>
      <c r="D11" s="1009"/>
      <c r="E11" s="1009"/>
      <c r="F11" s="1009"/>
      <c r="G11" s="1009"/>
      <c r="H11" s="1010"/>
      <c r="I11" s="1240">
        <f>'1-ABA-DE-CARREGAMENTO'!I94</f>
        <v>30</v>
      </c>
      <c r="J11" s="1010"/>
      <c r="K11" s="758"/>
    </row>
    <row r="12" spans="1:11" ht="17.25" customHeight="1">
      <c r="A12" s="754"/>
      <c r="B12" s="1140" t="s">
        <v>522</v>
      </c>
      <c r="C12" s="1009"/>
      <c r="D12" s="1009"/>
      <c r="E12" s="1009"/>
      <c r="F12" s="1009"/>
      <c r="G12" s="1009"/>
      <c r="H12" s="1009"/>
      <c r="I12" s="1009"/>
      <c r="J12" s="1010"/>
      <c r="K12" s="592"/>
    </row>
    <row r="13" spans="1:11" ht="25.5" customHeight="1">
      <c r="A13" s="754"/>
      <c r="B13" s="1185" t="str">
        <f>'1-ABA-DE-CARREGAMENTO'!C11</f>
        <v xml:space="preserve"> S E R V I Ç O S     -   REFEITORIO_×_JARDINAGEM</v>
      </c>
      <c r="C13" s="1009"/>
      <c r="D13" s="1009"/>
      <c r="E13" s="1009"/>
      <c r="F13" s="1030"/>
      <c r="G13" s="1185" t="s">
        <v>523</v>
      </c>
      <c r="H13" s="1010"/>
      <c r="I13" s="1185" t="s">
        <v>524</v>
      </c>
      <c r="J13" s="1010"/>
      <c r="K13" s="763"/>
    </row>
    <row r="14" spans="1:11" ht="11.25" hidden="1" customHeight="1" outlineLevel="1">
      <c r="A14" s="754"/>
      <c r="B14" s="1241" t="s">
        <v>525</v>
      </c>
      <c r="C14" s="1009"/>
      <c r="D14" s="1009"/>
      <c r="E14" s="1009"/>
      <c r="F14" s="1010"/>
      <c r="G14" s="1242" t="s">
        <v>526</v>
      </c>
      <c r="H14" s="1010"/>
      <c r="I14" s="1243" t="s">
        <v>527</v>
      </c>
      <c r="J14" s="1010"/>
      <c r="K14" s="764"/>
    </row>
    <row r="15" spans="1:11" ht="11.25" hidden="1" customHeight="1" outlineLevel="1">
      <c r="A15" s="754"/>
      <c r="B15" s="1241" t="s">
        <v>528</v>
      </c>
      <c r="C15" s="1009"/>
      <c r="D15" s="1009"/>
      <c r="E15" s="1009"/>
      <c r="F15" s="1010"/>
      <c r="G15" s="1242" t="s">
        <v>526</v>
      </c>
      <c r="H15" s="1010"/>
      <c r="I15" s="1243" t="s">
        <v>527</v>
      </c>
      <c r="J15" s="1010"/>
      <c r="K15" s="764"/>
    </row>
    <row r="16" spans="1:11" ht="11.25" hidden="1" customHeight="1" outlineLevel="1">
      <c r="A16" s="754"/>
      <c r="B16" s="1241" t="s">
        <v>529</v>
      </c>
      <c r="C16" s="1009"/>
      <c r="D16" s="1009"/>
      <c r="E16" s="1009"/>
      <c r="F16" s="1010"/>
      <c r="G16" s="1242" t="s">
        <v>526</v>
      </c>
      <c r="H16" s="1010"/>
      <c r="I16" s="1243" t="s">
        <v>527</v>
      </c>
      <c r="J16" s="1010"/>
      <c r="K16" s="764"/>
    </row>
    <row r="17" spans="1:11" ht="11.25" customHeight="1" collapsed="1">
      <c r="A17" s="754"/>
      <c r="B17" s="1241" t="str">
        <f>B3</f>
        <v>A NÃO TEM MAIS POSTOS-44</v>
      </c>
      <c r="C17" s="1009"/>
      <c r="D17" s="1009"/>
      <c r="E17" s="1009"/>
      <c r="F17" s="1010"/>
      <c r="G17" s="1242" t="s">
        <v>526</v>
      </c>
      <c r="H17" s="1010"/>
      <c r="I17" s="1243">
        <f>'1-ABA-DE-CARREGAMENTO'!I92</f>
        <v>0</v>
      </c>
      <c r="J17" s="1010"/>
      <c r="K17" s="764"/>
    </row>
    <row r="18" spans="1:11" ht="11.25" hidden="1" customHeight="1" outlineLevel="1">
      <c r="A18" s="754"/>
      <c r="B18" s="1241" t="s">
        <v>530</v>
      </c>
      <c r="C18" s="1009"/>
      <c r="D18" s="1009"/>
      <c r="E18" s="1009"/>
      <c r="F18" s="1010"/>
      <c r="G18" s="1242" t="s">
        <v>526</v>
      </c>
      <c r="H18" s="1010"/>
      <c r="I18" s="1243" t="s">
        <v>527</v>
      </c>
      <c r="J18" s="1010"/>
      <c r="K18" s="764"/>
    </row>
    <row r="19" spans="1:11" ht="11.25" hidden="1" customHeight="1" outlineLevel="1">
      <c r="A19" s="754"/>
      <c r="B19" s="1241" t="s">
        <v>1020</v>
      </c>
      <c r="C19" s="1009"/>
      <c r="D19" s="1009"/>
      <c r="E19" s="1009"/>
      <c r="F19" s="1010"/>
      <c r="G19" s="1242" t="s">
        <v>526</v>
      </c>
      <c r="H19" s="1010"/>
      <c r="I19" s="1243" t="s">
        <v>527</v>
      </c>
      <c r="J19" s="1010"/>
      <c r="K19" s="764"/>
    </row>
    <row r="20" spans="1:11" ht="11.25" customHeight="1" collapsed="1">
      <c r="A20" s="754"/>
      <c r="B20" s="1254" t="s">
        <v>532</v>
      </c>
      <c r="C20" s="1009"/>
      <c r="D20" s="1009"/>
      <c r="E20" s="1009"/>
      <c r="F20" s="1009"/>
      <c r="G20" s="1009"/>
      <c r="H20" s="1010"/>
      <c r="I20" s="1253">
        <f>SUM(I14:I19)</f>
        <v>0</v>
      </c>
      <c r="J20" s="1010"/>
      <c r="K20" s="765"/>
    </row>
    <row r="21" spans="1:11" ht="11.25" customHeight="1">
      <c r="A21" s="754"/>
      <c r="B21" s="1220"/>
      <c r="C21" s="1009"/>
      <c r="D21" s="1009"/>
      <c r="E21" s="1009"/>
      <c r="F21" s="1009"/>
      <c r="G21" s="1009"/>
      <c r="H21" s="1009"/>
      <c r="I21" s="1009"/>
      <c r="J21" s="1010"/>
      <c r="K21" s="763"/>
    </row>
    <row r="22" spans="1:11" ht="44.25" customHeight="1">
      <c r="A22" s="754"/>
      <c r="B22" s="1211" t="s">
        <v>533</v>
      </c>
      <c r="C22" s="1009"/>
      <c r="D22" s="1009"/>
      <c r="E22" s="1009"/>
      <c r="F22" s="1009"/>
      <c r="G22" s="1009"/>
      <c r="H22" s="1009"/>
      <c r="I22" s="1009"/>
      <c r="J22" s="1010"/>
      <c r="K22" s="766"/>
    </row>
    <row r="23" spans="1:11" ht="11.25" customHeight="1">
      <c r="A23" s="754"/>
      <c r="B23" s="1225"/>
      <c r="C23" s="1009"/>
      <c r="D23" s="1009"/>
      <c r="E23" s="1009"/>
      <c r="F23" s="1009"/>
      <c r="G23" s="1009"/>
      <c r="H23" s="1009"/>
      <c r="I23" s="1009"/>
      <c r="J23" s="1010"/>
      <c r="K23" s="376"/>
    </row>
    <row r="24" spans="1:11" ht="53.25" customHeight="1">
      <c r="A24" s="754"/>
      <c r="B24" s="1255" t="s">
        <v>1021</v>
      </c>
      <c r="C24" s="1009"/>
      <c r="D24" s="1009"/>
      <c r="E24" s="1009"/>
      <c r="F24" s="1009"/>
      <c r="G24" s="1009"/>
      <c r="H24" s="1009"/>
      <c r="I24" s="1009"/>
      <c r="J24" s="1010"/>
      <c r="K24" s="767"/>
    </row>
    <row r="25" spans="1:11" ht="15" customHeight="1">
      <c r="A25" s="754"/>
      <c r="B25" s="1123"/>
      <c r="C25" s="1009"/>
      <c r="D25" s="1009"/>
      <c r="E25" s="1009"/>
      <c r="F25" s="1009"/>
      <c r="G25" s="1009"/>
      <c r="H25" s="1009"/>
      <c r="I25" s="1009"/>
      <c r="J25" s="1010"/>
      <c r="K25" s="602"/>
    </row>
    <row r="26" spans="1:11" ht="22.5" customHeight="1">
      <c r="A26" s="763"/>
      <c r="B26" s="1086" t="s">
        <v>535</v>
      </c>
      <c r="C26" s="1009"/>
      <c r="D26" s="1009"/>
      <c r="E26" s="1009"/>
      <c r="F26" s="1009"/>
      <c r="G26" s="1009"/>
      <c r="H26" s="1009"/>
      <c r="I26" s="1009"/>
      <c r="J26" s="1010"/>
      <c r="K26" s="594"/>
    </row>
    <row r="27" spans="1:11" ht="31.5" customHeight="1">
      <c r="A27" s="754"/>
      <c r="B27" s="761">
        <v>1</v>
      </c>
      <c r="C27" s="1178" t="s">
        <v>536</v>
      </c>
      <c r="D27" s="1009"/>
      <c r="E27" s="1009"/>
      <c r="F27" s="1009"/>
      <c r="G27" s="1009"/>
      <c r="H27" s="1010"/>
      <c r="I27" s="1256" t="str">
        <f>'1-ABA-DE-CARREGAMENTO'!I33</f>
        <v>A NÃO TEM MAIS POSTOS-44</v>
      </c>
      <c r="J27" s="1010"/>
      <c r="K27" s="768"/>
    </row>
    <row r="28" spans="1:11" ht="18" customHeight="1">
      <c r="A28" s="754"/>
      <c r="B28" s="769">
        <v>2</v>
      </c>
      <c r="C28" s="1215" t="s">
        <v>537</v>
      </c>
      <c r="D28" s="1009"/>
      <c r="E28" s="1009"/>
      <c r="F28" s="1009"/>
      <c r="G28" s="1009"/>
      <c r="H28" s="1010"/>
      <c r="I28" s="1257"/>
      <c r="J28" s="1010"/>
      <c r="K28" s="770"/>
    </row>
    <row r="29" spans="1:11" ht="35.25" customHeight="1">
      <c r="A29" s="754"/>
      <c r="B29" s="761">
        <v>3</v>
      </c>
      <c r="C29" s="1258" t="s">
        <v>538</v>
      </c>
      <c r="D29" s="948"/>
      <c r="E29" s="748">
        <v>220</v>
      </c>
      <c r="F29" s="606">
        <f>'1-ABA-DE-CARREGAMENTO'!I37</f>
        <v>1396.01</v>
      </c>
      <c r="G29" s="759" t="s">
        <v>539</v>
      </c>
      <c r="H29" s="895">
        <f>'1-ABA-DE-CARREGAMENTO'!I52</f>
        <v>220</v>
      </c>
      <c r="I29" s="1259">
        <f>F29/E29*H29</f>
        <v>1396.01</v>
      </c>
      <c r="J29" s="1010"/>
      <c r="K29" s="773"/>
    </row>
    <row r="30" spans="1:11" ht="11.25" customHeight="1">
      <c r="A30" s="754"/>
      <c r="B30" s="761">
        <v>4</v>
      </c>
      <c r="C30" s="1178" t="s">
        <v>540</v>
      </c>
      <c r="D30" s="1009"/>
      <c r="E30" s="1009"/>
      <c r="F30" s="1009"/>
      <c r="G30" s="1009"/>
      <c r="H30" s="1010"/>
      <c r="I30" s="1260"/>
      <c r="J30" s="1010"/>
      <c r="K30" s="774"/>
    </row>
    <row r="31" spans="1:11" ht="11.25" customHeight="1">
      <c r="A31" s="754"/>
      <c r="B31" s="761">
        <v>5</v>
      </c>
      <c r="C31" s="1178" t="s">
        <v>541</v>
      </c>
      <c r="D31" s="1009"/>
      <c r="E31" s="1009"/>
      <c r="F31" s="1009"/>
      <c r="G31" s="1009"/>
      <c r="H31" s="1010"/>
      <c r="I31" s="1244" t="str">
        <f>'1-ABA-DE-CARREGAMENTO'!I36</f>
        <v>01 de JANEIRO</v>
      </c>
      <c r="J31" s="1010"/>
      <c r="K31" s="775"/>
    </row>
    <row r="32" spans="1:11" ht="12.75" customHeight="1">
      <c r="A32" s="754"/>
      <c r="B32" s="776">
        <v>6</v>
      </c>
      <c r="C32" s="1229" t="s">
        <v>1022</v>
      </c>
      <c r="D32" s="1009"/>
      <c r="E32" s="1009"/>
      <c r="F32" s="1009"/>
      <c r="G32" s="1009"/>
      <c r="H32" s="1010"/>
      <c r="I32" s="1231">
        <f>I29/H29</f>
        <v>6.3455000000000004</v>
      </c>
      <c r="J32" s="1010"/>
      <c r="K32" s="777"/>
    </row>
    <row r="33" spans="1:11" ht="42.75" customHeight="1">
      <c r="A33" s="754"/>
      <c r="B33" s="776">
        <v>7</v>
      </c>
      <c r="C33" s="1229" t="s">
        <v>1023</v>
      </c>
      <c r="D33" s="1009"/>
      <c r="E33" s="1009"/>
      <c r="F33" s="1010"/>
      <c r="G33" s="1239"/>
      <c r="H33" s="1010"/>
      <c r="I33" s="1230">
        <f>(SUM(J47:J50)/H29)</f>
        <v>7.5454999999999997</v>
      </c>
      <c r="J33" s="1010"/>
      <c r="K33" s="777"/>
    </row>
    <row r="34" spans="1:11" ht="33" customHeight="1">
      <c r="A34" s="754"/>
      <c r="B34" s="776">
        <v>8</v>
      </c>
      <c r="C34" s="1229" t="s">
        <v>1024</v>
      </c>
      <c r="D34" s="1009"/>
      <c r="E34" s="1009"/>
      <c r="F34" s="1010"/>
      <c r="G34" s="1239"/>
      <c r="H34" s="1010"/>
      <c r="I34" s="1231">
        <f t="shared" ref="I34:I35" si="0">I32*1.5</f>
        <v>9.5182500000000001</v>
      </c>
      <c r="J34" s="1010"/>
      <c r="K34" s="777"/>
    </row>
    <row r="35" spans="1:11" ht="33" customHeight="1">
      <c r="A35" s="754"/>
      <c r="B35" s="776">
        <v>9</v>
      </c>
      <c r="C35" s="1229" t="s">
        <v>1025</v>
      </c>
      <c r="D35" s="1009"/>
      <c r="E35" s="1009"/>
      <c r="F35" s="1010"/>
      <c r="G35" s="1239" t="s">
        <v>546</v>
      </c>
      <c r="H35" s="1010"/>
      <c r="I35" s="1230">
        <f t="shared" si="0"/>
        <v>11.318249999999999</v>
      </c>
      <c r="J35" s="1010"/>
      <c r="K35" s="778"/>
    </row>
    <row r="36" spans="1:11" ht="33" customHeight="1">
      <c r="A36" s="754"/>
      <c r="B36" s="776">
        <v>10</v>
      </c>
      <c r="C36" s="1229" t="s">
        <v>1026</v>
      </c>
      <c r="D36" s="1009"/>
      <c r="E36" s="1009"/>
      <c r="F36" s="1009"/>
      <c r="G36" s="1009"/>
      <c r="H36" s="1010"/>
      <c r="I36" s="1231">
        <f>I35*1.2</f>
        <v>13.581899999999999</v>
      </c>
      <c r="J36" s="1010"/>
      <c r="K36" s="777"/>
    </row>
    <row r="37" spans="1:11" ht="33" customHeight="1">
      <c r="A37" s="754"/>
      <c r="B37" s="776">
        <v>11</v>
      </c>
      <c r="C37" s="1229" t="s">
        <v>1027</v>
      </c>
      <c r="D37" s="1009"/>
      <c r="E37" s="1009"/>
      <c r="F37" s="1009"/>
      <c r="G37" s="1009"/>
      <c r="H37" s="1010"/>
      <c r="I37" s="1230">
        <f>I35*2</f>
        <v>22.636499999999998</v>
      </c>
      <c r="J37" s="1010"/>
      <c r="K37" s="777"/>
    </row>
    <row r="38" spans="1:11" ht="33" customHeight="1">
      <c r="A38" s="754"/>
      <c r="B38" s="776">
        <v>12</v>
      </c>
      <c r="C38" s="1229" t="s">
        <v>1028</v>
      </c>
      <c r="D38" s="1009"/>
      <c r="E38" s="1009"/>
      <c r="F38" s="1009"/>
      <c r="G38" s="1009"/>
      <c r="H38" s="1010"/>
      <c r="I38" s="1231">
        <f>I29*'1-ABA-DE-CARREGAMENTO'!D44</f>
        <v>0</v>
      </c>
      <c r="J38" s="1010"/>
      <c r="K38" s="777"/>
    </row>
    <row r="39" spans="1:11" ht="14.25" customHeight="1">
      <c r="A39" s="754"/>
      <c r="B39" s="776">
        <v>13</v>
      </c>
      <c r="C39" s="1229" t="s">
        <v>550</v>
      </c>
      <c r="D39" s="1009"/>
      <c r="E39" s="1009"/>
      <c r="F39" s="1009"/>
      <c r="G39" s="1009"/>
      <c r="H39" s="1010"/>
      <c r="I39" s="1231">
        <f>ROUND(I32/6,2)*1.3</f>
        <v>1.3780000000000001</v>
      </c>
      <c r="J39" s="1010"/>
      <c r="K39" s="777"/>
    </row>
    <row r="40" spans="1:11" ht="11.25" customHeight="1">
      <c r="A40" s="754"/>
      <c r="B40" s="776">
        <v>14</v>
      </c>
      <c r="C40" s="1269" t="s">
        <v>551</v>
      </c>
      <c r="D40" s="1009"/>
      <c r="E40" s="1009"/>
      <c r="F40" s="1009"/>
      <c r="G40" s="1009"/>
      <c r="H40" s="1010"/>
      <c r="I40" s="1274">
        <f>'1-ABA-DE-CARREGAMENTO'!I93</f>
        <v>1</v>
      </c>
      <c r="J40" s="1010"/>
      <c r="K40" s="780"/>
    </row>
    <row r="41" spans="1:11" ht="11.25" customHeight="1">
      <c r="A41" s="754"/>
      <c r="B41" s="776">
        <v>15</v>
      </c>
      <c r="C41" s="1269" t="s">
        <v>907</v>
      </c>
      <c r="D41" s="1009"/>
      <c r="E41" s="1009"/>
      <c r="F41" s="1009"/>
      <c r="G41" s="1009"/>
      <c r="H41" s="1010"/>
      <c r="I41" s="1270">
        <f>'1-ABA-DE-CARREGAMENTO'!E42</f>
        <v>1320</v>
      </c>
      <c r="J41" s="1010"/>
      <c r="K41" s="781"/>
    </row>
    <row r="42" spans="1:11" ht="11.25" customHeight="1">
      <c r="A42" s="754"/>
      <c r="B42" s="1225"/>
      <c r="C42" s="1009"/>
      <c r="D42" s="1009"/>
      <c r="E42" s="1009"/>
      <c r="F42" s="1009"/>
      <c r="G42" s="1009"/>
      <c r="H42" s="1009"/>
      <c r="I42" s="1009"/>
      <c r="J42" s="1010"/>
      <c r="K42" s="376"/>
    </row>
    <row r="43" spans="1:11" ht="24" customHeight="1">
      <c r="A43" s="754"/>
      <c r="B43" s="1214" t="s">
        <v>553</v>
      </c>
      <c r="C43" s="1009"/>
      <c r="D43" s="1009"/>
      <c r="E43" s="1009"/>
      <c r="F43" s="1009"/>
      <c r="G43" s="1009"/>
      <c r="H43" s="1009"/>
      <c r="I43" s="1009"/>
      <c r="J43" s="1010"/>
      <c r="K43" s="782"/>
    </row>
    <row r="44" spans="1:11" ht="14.25" customHeight="1">
      <c r="A44" s="754"/>
      <c r="B44" s="1226"/>
      <c r="C44" s="1009"/>
      <c r="D44" s="1009"/>
      <c r="E44" s="1009"/>
      <c r="F44" s="1009"/>
      <c r="G44" s="1009"/>
      <c r="H44" s="1009"/>
      <c r="I44" s="1009"/>
      <c r="J44" s="1010"/>
      <c r="K44" s="783"/>
    </row>
    <row r="45" spans="1:11" ht="11.25" customHeight="1">
      <c r="A45" s="754"/>
      <c r="B45" s="1227" t="s">
        <v>554</v>
      </c>
      <c r="C45" s="1009"/>
      <c r="D45" s="1009"/>
      <c r="E45" s="1009"/>
      <c r="F45" s="1009"/>
      <c r="G45" s="1009"/>
      <c r="H45" s="1009"/>
      <c r="I45" s="1009"/>
      <c r="J45" s="1010"/>
      <c r="K45" s="784"/>
    </row>
    <row r="46" spans="1:11" ht="25.5" customHeight="1">
      <c r="A46" s="785"/>
      <c r="B46" s="622">
        <v>1</v>
      </c>
      <c r="C46" s="1083" t="s">
        <v>555</v>
      </c>
      <c r="D46" s="1009"/>
      <c r="E46" s="1009"/>
      <c r="F46" s="1009"/>
      <c r="G46" s="1009"/>
      <c r="H46" s="1010"/>
      <c r="I46" s="786" t="s">
        <v>556</v>
      </c>
      <c r="J46" s="622" t="s">
        <v>557</v>
      </c>
      <c r="K46" s="592"/>
    </row>
    <row r="47" spans="1:11" ht="12.75" customHeight="1">
      <c r="A47" s="754"/>
      <c r="B47" s="761" t="s">
        <v>514</v>
      </c>
      <c r="C47" s="1178" t="s">
        <v>558</v>
      </c>
      <c r="D47" s="1009"/>
      <c r="E47" s="1009"/>
      <c r="F47" s="1010"/>
      <c r="G47" s="787" t="s">
        <v>185</v>
      </c>
      <c r="H47" s="788">
        <f>'1-ABA-DE-CARREGAMENTO'!I52</f>
        <v>220</v>
      </c>
      <c r="I47" s="787"/>
      <c r="J47" s="789">
        <f>I29*I40</f>
        <v>1396.01</v>
      </c>
      <c r="K47" s="790"/>
    </row>
    <row r="48" spans="1:11" ht="11.25" customHeight="1">
      <c r="A48" s="754"/>
      <c r="B48" s="761" t="s">
        <v>516</v>
      </c>
      <c r="C48" s="1178" t="s">
        <v>790</v>
      </c>
      <c r="D48" s="1009"/>
      <c r="E48" s="1009"/>
      <c r="F48" s="1228" t="str">
        <f>'1-ABA-DE-CARREGAMENTO'!I38</f>
        <v>SEM ADICIONAL DE FUNÇÃO</v>
      </c>
      <c r="G48" s="1009"/>
      <c r="H48" s="1010"/>
      <c r="I48" s="791">
        <f>'1-ABA-DE-CARREGAMENTO'!I39</f>
        <v>0</v>
      </c>
      <c r="J48" s="789">
        <f>J47*I48</f>
        <v>0</v>
      </c>
      <c r="K48" s="790"/>
    </row>
    <row r="49" spans="1:11" ht="27.75" customHeight="1">
      <c r="A49" s="754"/>
      <c r="B49" s="761" t="s">
        <v>518</v>
      </c>
      <c r="C49" s="1178" t="s">
        <v>1029</v>
      </c>
      <c r="D49" s="1009"/>
      <c r="E49" s="1009"/>
      <c r="F49" s="1009"/>
      <c r="G49" s="1009"/>
      <c r="H49" s="1010"/>
      <c r="I49" s="792">
        <f>'1-ABA-DE-CARREGAMENTO'!I44</f>
        <v>0</v>
      </c>
      <c r="J49" s="789">
        <f>ROUND(J47*I49,2)</f>
        <v>0</v>
      </c>
      <c r="K49" s="790"/>
    </row>
    <row r="50" spans="1:11" ht="26.25" customHeight="1">
      <c r="A50" s="754"/>
      <c r="B50" s="761" t="s">
        <v>520</v>
      </c>
      <c r="C50" s="1178" t="s">
        <v>1030</v>
      </c>
      <c r="D50" s="1009"/>
      <c r="E50" s="1009"/>
      <c r="F50" s="1009"/>
      <c r="G50" s="1228" t="str">
        <f>'1-ABA-DE-CARREGAMENTO'!I40</f>
        <v>INSALUB S/NORMATIVO</v>
      </c>
      <c r="H50" s="1010"/>
      <c r="I50" s="896">
        <f>'1-ABA-DE-CARREGAMENTO'!I41</f>
        <v>0.2</v>
      </c>
      <c r="J50" s="789">
        <f>ROUND(I50*I41,2)</f>
        <v>264</v>
      </c>
      <c r="K50" s="790"/>
    </row>
    <row r="51" spans="1:11" ht="39.75" customHeight="1">
      <c r="A51" s="754"/>
      <c r="B51" s="761" t="s">
        <v>562</v>
      </c>
      <c r="C51" s="1119" t="s">
        <v>1031</v>
      </c>
      <c r="D51" s="1009"/>
      <c r="E51" s="1010"/>
      <c r="F51" s="630" t="s">
        <v>564</v>
      </c>
      <c r="G51" s="795">
        <v>0</v>
      </c>
      <c r="H51" s="630" t="s">
        <v>565</v>
      </c>
      <c r="I51" s="632">
        <f>I36</f>
        <v>13.581899999999999</v>
      </c>
      <c r="J51" s="633">
        <f>G51*I51</f>
        <v>0</v>
      </c>
      <c r="K51" s="790"/>
    </row>
    <row r="52" spans="1:11" ht="39.75" hidden="1" customHeight="1" outlineLevel="1">
      <c r="A52" s="754"/>
      <c r="B52" s="761" t="s">
        <v>566</v>
      </c>
      <c r="C52" s="1215" t="s">
        <v>1032</v>
      </c>
      <c r="D52" s="1009"/>
      <c r="E52" s="1009"/>
      <c r="F52" s="1009"/>
      <c r="G52" s="1009"/>
      <c r="H52" s="1009"/>
      <c r="I52" s="1010"/>
      <c r="J52" s="789">
        <f>ROUND(I38*(((12*15)+15)-((44/6)*26))*I35,2)*0+ROUND(2*4.33*I35,2)*0</f>
        <v>0</v>
      </c>
      <c r="K52" s="790"/>
    </row>
    <row r="53" spans="1:11" ht="30.75" hidden="1" customHeight="1" outlineLevel="1">
      <c r="A53" s="754"/>
      <c r="B53" s="761" t="s">
        <v>568</v>
      </c>
      <c r="C53" s="1215" t="s">
        <v>1033</v>
      </c>
      <c r="D53" s="1009"/>
      <c r="E53" s="1009"/>
      <c r="F53" s="1009"/>
      <c r="G53" s="1009"/>
      <c r="H53" s="1009"/>
      <c r="I53" s="1010"/>
      <c r="J53" s="789">
        <f>ROUND(I39*I40*15,2)*0</f>
        <v>0</v>
      </c>
      <c r="K53" s="790"/>
    </row>
    <row r="54" spans="1:11" ht="26.25" customHeight="1" collapsed="1">
      <c r="A54" s="754"/>
      <c r="B54" s="761" t="s">
        <v>570</v>
      </c>
      <c r="C54" s="1120" t="s">
        <v>1034</v>
      </c>
      <c r="D54" s="1060"/>
      <c r="E54" s="1060"/>
      <c r="F54" s="634" t="s">
        <v>572</v>
      </c>
      <c r="G54" s="928">
        <v>0</v>
      </c>
      <c r="H54" s="634" t="s">
        <v>573</v>
      </c>
      <c r="I54" s="636">
        <f>I35</f>
        <v>11.318249999999999</v>
      </c>
      <c r="J54" s="633">
        <f t="shared" ref="J54:J55" si="1">G54*I54</f>
        <v>0</v>
      </c>
      <c r="K54" s="790"/>
    </row>
    <row r="55" spans="1:11" ht="26.25" customHeight="1">
      <c r="A55" s="754"/>
      <c r="B55" s="761" t="s">
        <v>574</v>
      </c>
      <c r="C55" s="1121" t="s">
        <v>1035</v>
      </c>
      <c r="D55" s="1023"/>
      <c r="E55" s="1023"/>
      <c r="F55" s="634" t="s">
        <v>576</v>
      </c>
      <c r="G55" s="928">
        <v>0</v>
      </c>
      <c r="H55" s="634" t="s">
        <v>577</v>
      </c>
      <c r="I55" s="636">
        <f>I37</f>
        <v>22.636499999999998</v>
      </c>
      <c r="J55" s="637">
        <f t="shared" si="1"/>
        <v>0</v>
      </c>
      <c r="K55" s="790"/>
    </row>
    <row r="56" spans="1:11" ht="39" customHeight="1">
      <c r="A56" s="754"/>
      <c r="B56" s="761" t="s">
        <v>578</v>
      </c>
      <c r="C56" s="1178" t="s">
        <v>1036</v>
      </c>
      <c r="D56" s="1009"/>
      <c r="E56" s="1009"/>
      <c r="F56" s="1009"/>
      <c r="G56" s="1009"/>
      <c r="H56" s="1009"/>
      <c r="I56" s="1010"/>
      <c r="J56" s="789">
        <f>ROUND(((J54+J55)/25)*5,2)</f>
        <v>0</v>
      </c>
      <c r="K56" s="790"/>
    </row>
    <row r="57" spans="1:11" ht="11.25" customHeight="1">
      <c r="A57" s="754"/>
      <c r="B57" s="761" t="s">
        <v>580</v>
      </c>
      <c r="C57" s="1178" t="s">
        <v>581</v>
      </c>
      <c r="D57" s="1009"/>
      <c r="E57" s="1009"/>
      <c r="F57" s="1009"/>
      <c r="G57" s="1009"/>
      <c r="H57" s="1009"/>
      <c r="I57" s="1010"/>
      <c r="J57" s="798" t="s">
        <v>527</v>
      </c>
      <c r="K57" s="799"/>
    </row>
    <row r="58" spans="1:11" ht="35.25" customHeight="1">
      <c r="A58" s="754"/>
      <c r="B58" s="1086" t="s">
        <v>582</v>
      </c>
      <c r="C58" s="1009"/>
      <c r="D58" s="1009"/>
      <c r="E58" s="1009"/>
      <c r="F58" s="1009"/>
      <c r="G58" s="1009"/>
      <c r="H58" s="1009"/>
      <c r="I58" s="1010"/>
      <c r="J58" s="640">
        <f>SUM(J47:J57)</f>
        <v>1660.01</v>
      </c>
      <c r="K58" s="626"/>
    </row>
    <row r="59" spans="1:11" ht="14.25" customHeight="1">
      <c r="A59" s="754"/>
      <c r="B59" s="800"/>
      <c r="C59" s="1219"/>
      <c r="D59" s="1009"/>
      <c r="E59" s="1009"/>
      <c r="F59" s="1009"/>
      <c r="G59" s="1009"/>
      <c r="H59" s="1009"/>
      <c r="I59" s="1010"/>
      <c r="J59" s="642"/>
      <c r="K59" s="626"/>
    </row>
    <row r="60" spans="1:11" ht="29.25" customHeight="1">
      <c r="A60" s="754"/>
      <c r="B60" s="761" t="s">
        <v>570</v>
      </c>
      <c r="C60" s="1178" t="s">
        <v>1037</v>
      </c>
      <c r="D60" s="1009"/>
      <c r="E60" s="1009"/>
      <c r="F60" s="1009"/>
      <c r="G60" s="1009"/>
      <c r="H60" s="1009"/>
      <c r="I60" s="1010"/>
      <c r="J60" s="789">
        <f>ROUND(I34*15*I40*0.5,2)*0</f>
        <v>0</v>
      </c>
      <c r="K60" s="790"/>
    </row>
    <row r="61" spans="1:11" ht="39" customHeight="1">
      <c r="A61" s="754"/>
      <c r="B61" s="1086" t="s">
        <v>1038</v>
      </c>
      <c r="C61" s="1009"/>
      <c r="D61" s="1009"/>
      <c r="E61" s="1009"/>
      <c r="F61" s="1009"/>
      <c r="G61" s="1009"/>
      <c r="H61" s="1009"/>
      <c r="I61" s="1010"/>
      <c r="J61" s="640">
        <f>J60</f>
        <v>0</v>
      </c>
      <c r="K61" s="626"/>
    </row>
    <row r="62" spans="1:11" ht="11.25" customHeight="1">
      <c r="A62" s="754"/>
      <c r="B62" s="1220"/>
      <c r="C62" s="1009"/>
      <c r="D62" s="1009"/>
      <c r="E62" s="1009"/>
      <c r="F62" s="1009"/>
      <c r="G62" s="1009"/>
      <c r="H62" s="1009"/>
      <c r="I62" s="1009"/>
      <c r="J62" s="1010"/>
      <c r="K62" s="763"/>
    </row>
    <row r="63" spans="1:11" ht="47.25" customHeight="1">
      <c r="A63" s="754"/>
      <c r="B63" s="1221" t="s">
        <v>1039</v>
      </c>
      <c r="C63" s="1009"/>
      <c r="D63" s="1009"/>
      <c r="E63" s="1009"/>
      <c r="F63" s="1009"/>
      <c r="G63" s="1009"/>
      <c r="H63" s="1009"/>
      <c r="I63" s="1010"/>
      <c r="J63" s="801">
        <f>J58+J61</f>
        <v>1660.01</v>
      </c>
      <c r="K63" s="802"/>
    </row>
    <row r="64" spans="1:11" ht="11.25" customHeight="1">
      <c r="A64" s="754"/>
      <c r="B64" s="1219"/>
      <c r="C64" s="1009"/>
      <c r="D64" s="1009"/>
      <c r="E64" s="1009"/>
      <c r="F64" s="1009"/>
      <c r="G64" s="1009"/>
      <c r="H64" s="1009"/>
      <c r="I64" s="1009"/>
      <c r="J64" s="1010"/>
      <c r="K64" s="803"/>
    </row>
    <row r="65" spans="1:11" ht="28.5" customHeight="1">
      <c r="A65" s="754"/>
      <c r="B65" s="1222" t="s">
        <v>586</v>
      </c>
      <c r="C65" s="1009"/>
      <c r="D65" s="1009"/>
      <c r="E65" s="1009"/>
      <c r="F65" s="1009"/>
      <c r="G65" s="1009"/>
      <c r="H65" s="1009"/>
      <c r="I65" s="1009"/>
      <c r="J65" s="1010"/>
      <c r="K65" s="804"/>
    </row>
    <row r="66" spans="1:11" ht="11.25" customHeight="1">
      <c r="A66" s="754"/>
      <c r="B66" s="1219"/>
      <c r="C66" s="1009"/>
      <c r="D66" s="1009"/>
      <c r="E66" s="1009"/>
      <c r="F66" s="1009"/>
      <c r="G66" s="1009"/>
      <c r="H66" s="1009"/>
      <c r="I66" s="1009"/>
      <c r="J66" s="1010"/>
      <c r="K66" s="803"/>
    </row>
    <row r="67" spans="1:11" ht="21.75" customHeight="1">
      <c r="A67" s="754"/>
      <c r="B67" s="1201" t="s">
        <v>587</v>
      </c>
      <c r="C67" s="1009"/>
      <c r="D67" s="1009"/>
      <c r="E67" s="1009"/>
      <c r="F67" s="1009"/>
      <c r="G67" s="1009"/>
      <c r="H67" s="1009"/>
      <c r="I67" s="1009"/>
      <c r="J67" s="1010"/>
      <c r="K67" s="805"/>
    </row>
    <row r="68" spans="1:11" ht="20.25" customHeight="1">
      <c r="A68" s="754"/>
      <c r="B68" s="1112" t="s">
        <v>1040</v>
      </c>
      <c r="C68" s="1009"/>
      <c r="D68" s="1009"/>
      <c r="E68" s="1009"/>
      <c r="F68" s="1009"/>
      <c r="G68" s="1009"/>
      <c r="H68" s="1009"/>
      <c r="I68" s="1009"/>
      <c r="J68" s="1010"/>
      <c r="K68" s="646"/>
    </row>
    <row r="69" spans="1:11" ht="15" customHeight="1">
      <c r="A69" s="754"/>
      <c r="B69" s="647" t="s">
        <v>589</v>
      </c>
      <c r="C69" s="1113" t="s">
        <v>1041</v>
      </c>
      <c r="D69" s="1009"/>
      <c r="E69" s="1009"/>
      <c r="F69" s="1009"/>
      <c r="G69" s="1009"/>
      <c r="H69" s="1009"/>
      <c r="I69" s="1010"/>
      <c r="J69" s="604" t="s">
        <v>591</v>
      </c>
      <c r="K69" s="487"/>
    </row>
    <row r="70" spans="1:11" ht="31.5" customHeight="1">
      <c r="A70" s="754"/>
      <c r="B70" s="647" t="s">
        <v>514</v>
      </c>
      <c r="C70" s="1215" t="s">
        <v>1042</v>
      </c>
      <c r="D70" s="1009"/>
      <c r="E70" s="1009"/>
      <c r="F70" s="1009"/>
      <c r="G70" s="1009"/>
      <c r="H70" s="1010"/>
      <c r="I70" s="648">
        <v>8.3299999999999999E-2</v>
      </c>
      <c r="J70" s="806">
        <f>ROUND(J58*I70,2)</f>
        <v>138.28</v>
      </c>
      <c r="K70" s="807"/>
    </row>
    <row r="71" spans="1:11" ht="90" customHeight="1">
      <c r="A71" s="754"/>
      <c r="B71" s="647" t="s">
        <v>516</v>
      </c>
      <c r="C71" s="1216" t="s">
        <v>1043</v>
      </c>
      <c r="D71" s="1009"/>
      <c r="E71" s="1009"/>
      <c r="F71" s="1009"/>
      <c r="G71" s="1009"/>
      <c r="H71" s="1010"/>
      <c r="I71" s="651">
        <v>3.0249999999999999E-2</v>
      </c>
      <c r="J71" s="806">
        <f>ROUND(J58*I71,2)</f>
        <v>50.22</v>
      </c>
      <c r="K71" s="807"/>
    </row>
    <row r="72" spans="1:11" ht="11.25" customHeight="1">
      <c r="A72" s="754"/>
      <c r="B72" s="1199" t="s">
        <v>594</v>
      </c>
      <c r="C72" s="1009"/>
      <c r="D72" s="1009"/>
      <c r="E72" s="1009"/>
      <c r="F72" s="1009"/>
      <c r="G72" s="1009"/>
      <c r="H72" s="1009"/>
      <c r="I72" s="1010"/>
      <c r="J72" s="808">
        <f>SUM(J70+J71)</f>
        <v>188.5</v>
      </c>
      <c r="K72" s="809"/>
    </row>
    <row r="73" spans="1:11" ht="14.25" customHeight="1">
      <c r="A73" s="754"/>
      <c r="B73" s="1217"/>
      <c r="C73" s="1009"/>
      <c r="D73" s="1009"/>
      <c r="E73" s="1009"/>
      <c r="F73" s="1009"/>
      <c r="G73" s="1009"/>
      <c r="H73" s="1009"/>
      <c r="I73" s="1009"/>
      <c r="J73" s="1010"/>
      <c r="K73" s="810"/>
    </row>
    <row r="74" spans="1:11" ht="11.25" customHeight="1">
      <c r="A74" s="754"/>
      <c r="B74" s="1214" t="s">
        <v>1044</v>
      </c>
      <c r="C74" s="1009"/>
      <c r="D74" s="1009"/>
      <c r="E74" s="1009"/>
      <c r="F74" s="1009"/>
      <c r="G74" s="1009"/>
      <c r="H74" s="1009"/>
      <c r="I74" s="1009"/>
      <c r="J74" s="1010"/>
      <c r="K74" s="782"/>
    </row>
    <row r="75" spans="1:11" ht="14.25" customHeight="1">
      <c r="A75" s="754"/>
      <c r="B75" s="1218"/>
      <c r="C75" s="1009"/>
      <c r="D75" s="1009"/>
      <c r="E75" s="1009"/>
      <c r="F75" s="1009"/>
      <c r="G75" s="1009"/>
      <c r="H75" s="1009"/>
      <c r="I75" s="1009"/>
      <c r="J75" s="1010"/>
      <c r="K75" s="782"/>
    </row>
    <row r="76" spans="1:11" ht="38.25" customHeight="1">
      <c r="A76" s="754"/>
      <c r="B76" s="1108" t="s">
        <v>1045</v>
      </c>
      <c r="C76" s="1009"/>
      <c r="D76" s="1009"/>
      <c r="E76" s="1009"/>
      <c r="F76" s="1009"/>
      <c r="G76" s="1009"/>
      <c r="H76" s="1009"/>
      <c r="I76" s="1009"/>
      <c r="J76" s="1010"/>
      <c r="K76" s="655"/>
    </row>
    <row r="77" spans="1:11" ht="21.75" customHeight="1">
      <c r="A77" s="754"/>
      <c r="B77" s="656" t="s">
        <v>597</v>
      </c>
      <c r="C77" s="1165" t="s">
        <v>598</v>
      </c>
      <c r="D77" s="1009"/>
      <c r="E77" s="1009"/>
      <c r="F77" s="1009"/>
      <c r="G77" s="1009"/>
      <c r="H77" s="1010"/>
      <c r="I77" s="811" t="s">
        <v>556</v>
      </c>
      <c r="J77" s="657" t="s">
        <v>599</v>
      </c>
      <c r="K77" s="487"/>
    </row>
    <row r="78" spans="1:11" ht="11.25" customHeight="1">
      <c r="A78" s="754"/>
      <c r="B78" s="812" t="s">
        <v>514</v>
      </c>
      <c r="C78" s="1178" t="s">
        <v>600</v>
      </c>
      <c r="D78" s="1009"/>
      <c r="E78" s="1009"/>
      <c r="F78" s="1009"/>
      <c r="G78" s="1009"/>
      <c r="H78" s="1010"/>
      <c r="I78" s="813">
        <v>0.2</v>
      </c>
      <c r="J78" s="814">
        <f>ROUND((J58+J72)*I78,2)</f>
        <v>369.7</v>
      </c>
      <c r="K78" s="809"/>
    </row>
    <row r="79" spans="1:11" ht="11.25" customHeight="1">
      <c r="A79" s="754"/>
      <c r="B79" s="812" t="s">
        <v>516</v>
      </c>
      <c r="C79" s="1178" t="s">
        <v>601</v>
      </c>
      <c r="D79" s="1009"/>
      <c r="E79" s="1009"/>
      <c r="F79" s="1009"/>
      <c r="G79" s="1009"/>
      <c r="H79" s="1010"/>
      <c r="I79" s="813">
        <v>2.5000000000000001E-2</v>
      </c>
      <c r="J79" s="814">
        <f>ROUND((J58+J72)*I79,2)</f>
        <v>46.21</v>
      </c>
      <c r="K79" s="809"/>
    </row>
    <row r="80" spans="1:11" ht="52.5" customHeight="1">
      <c r="A80" s="754"/>
      <c r="B80" s="812" t="s">
        <v>518</v>
      </c>
      <c r="C80" s="1178" t="s">
        <v>1046</v>
      </c>
      <c r="D80" s="1010"/>
      <c r="E80" s="815" t="s">
        <v>603</v>
      </c>
      <c r="F80" s="816">
        <f>'1-ABA-DE-CARREGAMENTO'!I57</f>
        <v>0.03</v>
      </c>
      <c r="G80" s="815" t="s">
        <v>604</v>
      </c>
      <c r="H80" s="817">
        <f>'1-ABA-DE-CARREGAMENTO'!I58</f>
        <v>1</v>
      </c>
      <c r="I80" s="818">
        <f>ROUND((F80*H80),6)</f>
        <v>0.03</v>
      </c>
      <c r="J80" s="814">
        <f>ROUND((J58+J72)*I80,2)</f>
        <v>55.46</v>
      </c>
      <c r="K80" s="809"/>
    </row>
    <row r="81" spans="1:11" ht="16.5" customHeight="1">
      <c r="A81" s="754"/>
      <c r="B81" s="812" t="s">
        <v>520</v>
      </c>
      <c r="C81" s="1178" t="s">
        <v>605</v>
      </c>
      <c r="D81" s="1009"/>
      <c r="E81" s="1009"/>
      <c r="F81" s="1009"/>
      <c r="G81" s="1009"/>
      <c r="H81" s="1010"/>
      <c r="I81" s="813">
        <v>1.4999999999999999E-2</v>
      </c>
      <c r="J81" s="814">
        <f>ROUND((J58+J72)*I81,2)</f>
        <v>27.73</v>
      </c>
      <c r="K81" s="809"/>
    </row>
    <row r="82" spans="1:11" ht="16.5" customHeight="1">
      <c r="A82" s="754"/>
      <c r="B82" s="812" t="s">
        <v>562</v>
      </c>
      <c r="C82" s="1178" t="s">
        <v>606</v>
      </c>
      <c r="D82" s="1009"/>
      <c r="E82" s="1009"/>
      <c r="F82" s="1009"/>
      <c r="G82" s="1009"/>
      <c r="H82" s="1010"/>
      <c r="I82" s="813">
        <v>0.01</v>
      </c>
      <c r="J82" s="814">
        <f>ROUND((J58+J72)*I82,2)</f>
        <v>18.489999999999998</v>
      </c>
      <c r="K82" s="809"/>
    </row>
    <row r="83" spans="1:11" ht="16.5" customHeight="1">
      <c r="A83" s="754"/>
      <c r="B83" s="812" t="s">
        <v>566</v>
      </c>
      <c r="C83" s="1178" t="s">
        <v>607</v>
      </c>
      <c r="D83" s="1009"/>
      <c r="E83" s="1009"/>
      <c r="F83" s="1009"/>
      <c r="G83" s="1009"/>
      <c r="H83" s="1010"/>
      <c r="I83" s="813">
        <v>6.0000000000000001E-3</v>
      </c>
      <c r="J83" s="814">
        <f>ROUND((J58+J72)*I83,2)</f>
        <v>11.09</v>
      </c>
      <c r="K83" s="809"/>
    </row>
    <row r="84" spans="1:11" ht="16.5" customHeight="1">
      <c r="A84" s="754"/>
      <c r="B84" s="812" t="s">
        <v>568</v>
      </c>
      <c r="C84" s="1178" t="s">
        <v>608</v>
      </c>
      <c r="D84" s="1009"/>
      <c r="E84" s="1009"/>
      <c r="F84" s="1009"/>
      <c r="G84" s="1009"/>
      <c r="H84" s="1010"/>
      <c r="I84" s="813">
        <v>2E-3</v>
      </c>
      <c r="J84" s="814">
        <f>ROUND((J58+J72)*I84,2)</f>
        <v>3.7</v>
      </c>
      <c r="K84" s="809"/>
    </row>
    <row r="85" spans="1:11" ht="28.5" customHeight="1">
      <c r="A85" s="754"/>
      <c r="B85" s="812" t="s">
        <v>570</v>
      </c>
      <c r="C85" s="1178" t="s">
        <v>609</v>
      </c>
      <c r="D85" s="1009"/>
      <c r="E85" s="1009"/>
      <c r="F85" s="1009"/>
      <c r="G85" s="1009"/>
      <c r="H85" s="1010"/>
      <c r="I85" s="813">
        <v>0.08</v>
      </c>
      <c r="J85" s="814">
        <f>ROUND((J58+J72)*I85,2)</f>
        <v>147.88</v>
      </c>
      <c r="K85" s="809"/>
    </row>
    <row r="86" spans="1:11" ht="12" customHeight="1">
      <c r="A86" s="754"/>
      <c r="B86" s="1204" t="s">
        <v>594</v>
      </c>
      <c r="C86" s="1009"/>
      <c r="D86" s="1009"/>
      <c r="E86" s="1009"/>
      <c r="F86" s="1009"/>
      <c r="G86" s="1009"/>
      <c r="H86" s="1010"/>
      <c r="I86" s="819">
        <f t="shared" ref="I86:J86" si="2">SUM(I78:I85)</f>
        <v>0.36800000000000005</v>
      </c>
      <c r="J86" s="808">
        <f t="shared" si="2"/>
        <v>680.26</v>
      </c>
      <c r="K86" s="809"/>
    </row>
    <row r="87" spans="1:11" ht="12" customHeight="1">
      <c r="A87" s="754"/>
      <c r="B87" s="820"/>
      <c r="C87" s="666"/>
      <c r="D87" s="666"/>
      <c r="E87" s="666"/>
      <c r="F87" s="666"/>
      <c r="G87" s="666"/>
      <c r="H87" s="666"/>
      <c r="I87" s="821"/>
      <c r="J87" s="822"/>
      <c r="K87" s="809"/>
    </row>
    <row r="88" spans="1:11" ht="37.5" customHeight="1">
      <c r="A88" s="754"/>
      <c r="B88" s="1214" t="s">
        <v>610</v>
      </c>
      <c r="C88" s="1009"/>
      <c r="D88" s="1009"/>
      <c r="E88" s="1009"/>
      <c r="F88" s="1009"/>
      <c r="G88" s="1009"/>
      <c r="H88" s="1009"/>
      <c r="I88" s="1009"/>
      <c r="J88" s="1010"/>
      <c r="K88" s="782"/>
    </row>
    <row r="89" spans="1:11" ht="18.75" customHeight="1">
      <c r="A89" s="754"/>
      <c r="B89" s="1225"/>
      <c r="C89" s="1009"/>
      <c r="D89" s="1009"/>
      <c r="E89" s="1009"/>
      <c r="F89" s="1009"/>
      <c r="G89" s="1009"/>
      <c r="H89" s="1009"/>
      <c r="I89" s="1009"/>
      <c r="J89" s="1010"/>
      <c r="K89" s="376"/>
    </row>
    <row r="90" spans="1:11" ht="15" customHeight="1">
      <c r="A90" s="754"/>
      <c r="B90" s="1096" t="s">
        <v>611</v>
      </c>
      <c r="C90" s="1009"/>
      <c r="D90" s="1009"/>
      <c r="E90" s="1009"/>
      <c r="F90" s="1009"/>
      <c r="G90" s="1009"/>
      <c r="H90" s="1009"/>
      <c r="I90" s="1009"/>
      <c r="J90" s="1010"/>
      <c r="K90" s="646"/>
    </row>
    <row r="91" spans="1:11" ht="15" customHeight="1">
      <c r="A91" s="754"/>
      <c r="B91" s="669" t="s">
        <v>612</v>
      </c>
      <c r="C91" s="1083" t="s">
        <v>613</v>
      </c>
      <c r="D91" s="1009"/>
      <c r="E91" s="1009"/>
      <c r="F91" s="1009"/>
      <c r="G91" s="1009"/>
      <c r="H91" s="1009"/>
      <c r="I91" s="1010"/>
      <c r="J91" s="670" t="s">
        <v>591</v>
      </c>
      <c r="K91" s="592"/>
    </row>
    <row r="92" spans="1:11" ht="15" customHeight="1">
      <c r="A92" s="754"/>
      <c r="B92" s="823" t="s">
        <v>514</v>
      </c>
      <c r="C92" s="1178" t="s">
        <v>1047</v>
      </c>
      <c r="D92" s="1009"/>
      <c r="E92" s="1009"/>
      <c r="F92" s="1009"/>
      <c r="G92" s="1009"/>
      <c r="H92" s="1010"/>
      <c r="I92" s="794">
        <f>J47</f>
        <v>1396.01</v>
      </c>
      <c r="J92" s="824">
        <f>IF(ROUND((I93*I95*I94)-(J47*I96),2)&lt;0,0,ROUND((I93*I95*I94)-(J47*I96),2))</f>
        <v>57.04</v>
      </c>
      <c r="K92" s="809"/>
    </row>
    <row r="93" spans="1:11" ht="28.5" customHeight="1">
      <c r="A93" s="754"/>
      <c r="B93" s="823" t="s">
        <v>516</v>
      </c>
      <c r="C93" s="1178" t="s">
        <v>1048</v>
      </c>
      <c r="D93" s="1009"/>
      <c r="E93" s="1009"/>
      <c r="F93" s="1009"/>
      <c r="G93" s="1009"/>
      <c r="H93" s="1009"/>
      <c r="I93" s="825">
        <f>'1-ABA-DE-CARREGAMENTO'!I72</f>
        <v>3.2</v>
      </c>
      <c r="J93" s="826" t="s">
        <v>527</v>
      </c>
      <c r="K93" s="799"/>
    </row>
    <row r="94" spans="1:11" ht="19.5" customHeight="1">
      <c r="A94" s="754"/>
      <c r="B94" s="823" t="s">
        <v>518</v>
      </c>
      <c r="C94" s="1178" t="s">
        <v>1049</v>
      </c>
      <c r="D94" s="1009"/>
      <c r="E94" s="1009"/>
      <c r="F94" s="1009"/>
      <c r="G94" s="1009"/>
      <c r="H94" s="1010"/>
      <c r="I94" s="827">
        <f>'1-ABA-DE-CARREGAMENTO'!I73</f>
        <v>2</v>
      </c>
      <c r="J94" s="826" t="s">
        <v>527</v>
      </c>
      <c r="K94" s="799"/>
    </row>
    <row r="95" spans="1:11" ht="19.5" customHeight="1">
      <c r="A95" s="754"/>
      <c r="B95" s="823" t="s">
        <v>520</v>
      </c>
      <c r="C95" s="1229" t="s">
        <v>617</v>
      </c>
      <c r="D95" s="1009"/>
      <c r="E95" s="1009"/>
      <c r="F95" s="1009"/>
      <c r="G95" s="1009"/>
      <c r="H95" s="1010"/>
      <c r="I95" s="827">
        <f>'1-ABA-DE-CARREGAMENTO'!I74</f>
        <v>22</v>
      </c>
      <c r="J95" s="826" t="s">
        <v>527</v>
      </c>
      <c r="K95" s="799"/>
    </row>
    <row r="96" spans="1:11" ht="24" customHeight="1">
      <c r="A96" s="754"/>
      <c r="B96" s="823" t="s">
        <v>562</v>
      </c>
      <c r="C96" s="1229" t="s">
        <v>1050</v>
      </c>
      <c r="D96" s="1009"/>
      <c r="E96" s="1009"/>
      <c r="F96" s="1009"/>
      <c r="G96" s="1009"/>
      <c r="H96" s="1010"/>
      <c r="I96" s="832">
        <f>'1-ABA-DE-CARREGAMENTO'!I75</f>
        <v>0.06</v>
      </c>
      <c r="J96" s="830" t="s">
        <v>527</v>
      </c>
      <c r="K96" s="799"/>
    </row>
    <row r="97" spans="1:11" ht="15" customHeight="1">
      <c r="A97" s="754"/>
      <c r="B97" s="823" t="s">
        <v>566</v>
      </c>
      <c r="C97" s="1178" t="s">
        <v>1051</v>
      </c>
      <c r="D97" s="1009"/>
      <c r="E97" s="1009"/>
      <c r="F97" s="1009"/>
      <c r="G97" s="1009"/>
      <c r="H97" s="1009"/>
      <c r="I97" s="1009"/>
      <c r="J97" s="824">
        <f>ROUND(I98*I99,2)-ROUND((I98*I99)*I100,2)</f>
        <v>0</v>
      </c>
      <c r="K97" s="809"/>
    </row>
    <row r="98" spans="1:11" ht="15" customHeight="1">
      <c r="A98" s="754"/>
      <c r="B98" s="823" t="s">
        <v>568</v>
      </c>
      <c r="C98" s="1178" t="s">
        <v>1052</v>
      </c>
      <c r="D98" s="1009"/>
      <c r="E98" s="1009"/>
      <c r="F98" s="1009"/>
      <c r="G98" s="1009"/>
      <c r="H98" s="1010"/>
      <c r="I98" s="825">
        <f>'1-ABA-DE-CARREGAMENTO'!I64</f>
        <v>0</v>
      </c>
      <c r="J98" s="831"/>
      <c r="K98" s="799"/>
    </row>
    <row r="99" spans="1:11" ht="15" customHeight="1">
      <c r="A99" s="754"/>
      <c r="B99" s="823" t="s">
        <v>570</v>
      </c>
      <c r="C99" s="1178" t="s">
        <v>1053</v>
      </c>
      <c r="D99" s="1009"/>
      <c r="E99" s="1009"/>
      <c r="F99" s="1009"/>
      <c r="G99" s="1009"/>
      <c r="H99" s="1009"/>
      <c r="I99" s="827">
        <f>'1-ABA-DE-CARREGAMENTO'!I62</f>
        <v>22</v>
      </c>
      <c r="J99" s="831"/>
      <c r="K99" s="799"/>
    </row>
    <row r="100" spans="1:11" ht="30" customHeight="1">
      <c r="A100" s="754"/>
      <c r="B100" s="823" t="s">
        <v>574</v>
      </c>
      <c r="C100" s="1266" t="s">
        <v>1054</v>
      </c>
      <c r="D100" s="1009"/>
      <c r="E100" s="1009"/>
      <c r="F100" s="1009"/>
      <c r="G100" s="1009"/>
      <c r="H100" s="1010"/>
      <c r="I100" s="832">
        <f>'1-ABA-DE-CARREGAMENTO'!I61</f>
        <v>0.19</v>
      </c>
      <c r="J100" s="833"/>
      <c r="K100" s="799"/>
    </row>
    <row r="101" spans="1:11" ht="15" customHeight="1" outlineLevel="1">
      <c r="A101" s="754"/>
      <c r="B101" s="823" t="s">
        <v>578</v>
      </c>
      <c r="C101" s="1178" t="s">
        <v>623</v>
      </c>
      <c r="D101" s="1009"/>
      <c r="E101" s="1009"/>
      <c r="F101" s="1009"/>
      <c r="G101" s="1009"/>
      <c r="H101" s="1009"/>
      <c r="I101" s="1009"/>
      <c r="J101" s="814">
        <f>'1-ABA-DE-CARREGAMENTO'!I79/12</f>
        <v>0</v>
      </c>
      <c r="K101" s="809"/>
    </row>
    <row r="102" spans="1:11" ht="33.75" customHeight="1" outlineLevel="1">
      <c r="A102" s="754"/>
      <c r="B102" s="823" t="s">
        <v>580</v>
      </c>
      <c r="C102" s="1178" t="s">
        <v>1055</v>
      </c>
      <c r="D102" s="1009"/>
      <c r="E102" s="1009"/>
      <c r="F102" s="1009"/>
      <c r="G102" s="1009"/>
      <c r="H102" s="1009"/>
      <c r="I102" s="1009"/>
      <c r="J102" s="814">
        <v>0</v>
      </c>
      <c r="K102" s="809"/>
    </row>
    <row r="103" spans="1:11" ht="33.75" customHeight="1" outlineLevel="1">
      <c r="A103" s="754"/>
      <c r="B103" s="823" t="s">
        <v>625</v>
      </c>
      <c r="C103" s="1178" t="s">
        <v>1056</v>
      </c>
      <c r="D103" s="1009"/>
      <c r="E103" s="1009"/>
      <c r="F103" s="1009"/>
      <c r="G103" s="1009"/>
      <c r="H103" s="1009"/>
      <c r="I103" s="1010"/>
      <c r="J103" s="814">
        <v>0</v>
      </c>
      <c r="K103" s="809"/>
    </row>
    <row r="104" spans="1:11" ht="16.5" customHeight="1" outlineLevel="1">
      <c r="A104" s="754"/>
      <c r="B104" s="823" t="s">
        <v>627</v>
      </c>
      <c r="C104" s="1178" t="s">
        <v>818</v>
      </c>
      <c r="D104" s="1009"/>
      <c r="E104" s="1009"/>
      <c r="F104" s="1009"/>
      <c r="G104" s="1009"/>
      <c r="H104" s="1009"/>
      <c r="I104" s="1010"/>
      <c r="J104" s="814">
        <f>'1-ABA-DE-CARREGAMENTO'!I76</f>
        <v>17.32</v>
      </c>
      <c r="K104" s="809"/>
    </row>
    <row r="105" spans="1:11" ht="17.25" customHeight="1">
      <c r="A105" s="754"/>
      <c r="B105" s="823" t="s">
        <v>129</v>
      </c>
      <c r="C105" s="1212" t="s">
        <v>668</v>
      </c>
      <c r="D105" s="1009"/>
      <c r="E105" s="1009"/>
      <c r="F105" s="1009"/>
      <c r="G105" s="1009"/>
      <c r="H105" s="1009"/>
      <c r="I105" s="1009"/>
      <c r="J105" s="834">
        <v>0</v>
      </c>
      <c r="K105" s="835"/>
    </row>
    <row r="106" spans="1:11" ht="33.75" customHeight="1">
      <c r="A106" s="754"/>
      <c r="B106" s="836"/>
      <c r="C106" s="1204" t="s">
        <v>594</v>
      </c>
      <c r="D106" s="1009"/>
      <c r="E106" s="1009"/>
      <c r="F106" s="1009"/>
      <c r="G106" s="1009"/>
      <c r="H106" s="1009"/>
      <c r="I106" s="1030"/>
      <c r="J106" s="808">
        <f>SUM(J92:J105)</f>
        <v>74.36</v>
      </c>
      <c r="K106" s="809"/>
    </row>
    <row r="107" spans="1:11" ht="17.25" customHeight="1">
      <c r="A107" s="754"/>
      <c r="B107" s="1225"/>
      <c r="C107" s="1009"/>
      <c r="D107" s="1009"/>
      <c r="E107" s="1009"/>
      <c r="F107" s="1009"/>
      <c r="G107" s="1009"/>
      <c r="H107" s="1009"/>
      <c r="I107" s="1009"/>
      <c r="J107" s="1010"/>
      <c r="K107" s="376"/>
    </row>
    <row r="108" spans="1:11" ht="45" customHeight="1">
      <c r="A108" s="754"/>
      <c r="B108" s="1214" t="s">
        <v>630</v>
      </c>
      <c r="C108" s="1009"/>
      <c r="D108" s="1009"/>
      <c r="E108" s="1009"/>
      <c r="F108" s="1009"/>
      <c r="G108" s="1009"/>
      <c r="H108" s="1009"/>
      <c r="I108" s="1009"/>
      <c r="J108" s="1010"/>
      <c r="K108" s="782"/>
    </row>
    <row r="109" spans="1:11" ht="19.5" customHeight="1">
      <c r="A109" s="754"/>
      <c r="B109" s="1220"/>
      <c r="C109" s="1009"/>
      <c r="D109" s="1009"/>
      <c r="E109" s="1009"/>
      <c r="F109" s="1009"/>
      <c r="G109" s="1009"/>
      <c r="H109" s="1009"/>
      <c r="I109" s="1009"/>
      <c r="J109" s="1010"/>
      <c r="K109" s="763"/>
    </row>
    <row r="110" spans="1:11" ht="19.5" customHeight="1">
      <c r="A110" s="754"/>
      <c r="B110" s="1265" t="s">
        <v>631</v>
      </c>
      <c r="C110" s="1009"/>
      <c r="D110" s="1009"/>
      <c r="E110" s="1009"/>
      <c r="F110" s="1009"/>
      <c r="G110" s="1009"/>
      <c r="H110" s="1009"/>
      <c r="I110" s="1009"/>
      <c r="J110" s="1010"/>
      <c r="K110" s="837"/>
    </row>
    <row r="111" spans="1:11" ht="19.5" customHeight="1">
      <c r="A111" s="754"/>
      <c r="B111" s="657">
        <v>2</v>
      </c>
      <c r="C111" s="1165" t="s">
        <v>632</v>
      </c>
      <c r="D111" s="1009"/>
      <c r="E111" s="1009"/>
      <c r="F111" s="1009"/>
      <c r="G111" s="1009"/>
      <c r="H111" s="1009"/>
      <c r="I111" s="1010"/>
      <c r="J111" s="657" t="s">
        <v>591</v>
      </c>
      <c r="K111" s="487"/>
    </row>
    <row r="112" spans="1:11" ht="19.5" customHeight="1">
      <c r="A112" s="754"/>
      <c r="B112" s="769" t="s">
        <v>589</v>
      </c>
      <c r="C112" s="1215" t="s">
        <v>1057</v>
      </c>
      <c r="D112" s="1009"/>
      <c r="E112" s="1009"/>
      <c r="F112" s="1009"/>
      <c r="G112" s="1009"/>
      <c r="H112" s="1009"/>
      <c r="I112" s="1010"/>
      <c r="J112" s="838">
        <f>J72</f>
        <v>188.5</v>
      </c>
      <c r="K112" s="839"/>
    </row>
    <row r="113" spans="1:11" ht="19.5" customHeight="1">
      <c r="A113" s="754"/>
      <c r="B113" s="769" t="s">
        <v>597</v>
      </c>
      <c r="C113" s="1215" t="s">
        <v>598</v>
      </c>
      <c r="D113" s="1009"/>
      <c r="E113" s="1009"/>
      <c r="F113" s="1009"/>
      <c r="G113" s="1009"/>
      <c r="H113" s="1009"/>
      <c r="I113" s="1010"/>
      <c r="J113" s="838">
        <f>J86</f>
        <v>680.26</v>
      </c>
      <c r="K113" s="839"/>
    </row>
    <row r="114" spans="1:11" ht="19.5" customHeight="1">
      <c r="A114" s="754"/>
      <c r="B114" s="769" t="s">
        <v>612</v>
      </c>
      <c r="C114" s="1215" t="s">
        <v>613</v>
      </c>
      <c r="D114" s="1009"/>
      <c r="E114" s="1009"/>
      <c r="F114" s="1009"/>
      <c r="G114" s="1009"/>
      <c r="H114" s="1009"/>
      <c r="I114" s="1010"/>
      <c r="J114" s="838">
        <f>J106</f>
        <v>74.36</v>
      </c>
      <c r="K114" s="839"/>
    </row>
    <row r="115" spans="1:11" ht="14.25" customHeight="1">
      <c r="A115" s="754"/>
      <c r="B115" s="1261" t="s">
        <v>594</v>
      </c>
      <c r="C115" s="1009"/>
      <c r="D115" s="1009"/>
      <c r="E115" s="1009"/>
      <c r="F115" s="1009"/>
      <c r="G115" s="1009"/>
      <c r="H115" s="1009"/>
      <c r="I115" s="1010"/>
      <c r="J115" s="840">
        <f>SUM(J112+J113+J114)</f>
        <v>943.12</v>
      </c>
      <c r="K115" s="839"/>
    </row>
    <row r="116" spans="1:11" ht="14.25" customHeight="1">
      <c r="A116" s="754"/>
      <c r="B116" s="1262"/>
      <c r="C116" s="1009"/>
      <c r="D116" s="1009"/>
      <c r="E116" s="1009"/>
      <c r="F116" s="1009"/>
      <c r="G116" s="1009"/>
      <c r="H116" s="1009"/>
      <c r="I116" s="1009"/>
      <c r="J116" s="1010"/>
      <c r="K116" s="841"/>
    </row>
    <row r="117" spans="1:11" ht="18.75" customHeight="1">
      <c r="A117" s="754"/>
      <c r="B117" s="1252" t="s">
        <v>634</v>
      </c>
      <c r="C117" s="1009"/>
      <c r="D117" s="1009"/>
      <c r="E117" s="1009"/>
      <c r="F117" s="1009"/>
      <c r="G117" s="1009"/>
      <c r="H117" s="1009"/>
      <c r="I117" s="1009"/>
      <c r="J117" s="1010"/>
      <c r="K117" s="842"/>
    </row>
    <row r="118" spans="1:11" ht="15.75" customHeight="1">
      <c r="A118" s="754"/>
      <c r="B118" s="669">
        <v>3</v>
      </c>
      <c r="C118" s="1162" t="s">
        <v>635</v>
      </c>
      <c r="D118" s="1009"/>
      <c r="E118" s="1009"/>
      <c r="F118" s="1009"/>
      <c r="G118" s="1009"/>
      <c r="H118" s="1009"/>
      <c r="I118" s="1010"/>
      <c r="J118" s="669" t="s">
        <v>591</v>
      </c>
      <c r="K118" s="601"/>
    </row>
    <row r="119" spans="1:11" ht="42" customHeight="1">
      <c r="A119" s="754"/>
      <c r="B119" s="823" t="s">
        <v>514</v>
      </c>
      <c r="C119" s="1178" t="s">
        <v>1058</v>
      </c>
      <c r="D119" s="1009"/>
      <c r="E119" s="1009"/>
      <c r="F119" s="1009"/>
      <c r="G119" s="1009"/>
      <c r="H119" s="1009"/>
      <c r="I119" s="1010"/>
      <c r="J119" s="814">
        <f>ROUND((($J$58/12)+($J$70/12)+(J58/12/12)+($J$71/12))*(30/30)*0.05,2)</f>
        <v>8.2799999999999994</v>
      </c>
      <c r="K119" s="809"/>
    </row>
    <row r="120" spans="1:11" ht="15.75" customHeight="1">
      <c r="A120" s="754"/>
      <c r="B120" s="823" t="s">
        <v>516</v>
      </c>
      <c r="C120" s="1212" t="s">
        <v>637</v>
      </c>
      <c r="D120" s="1009"/>
      <c r="E120" s="1009"/>
      <c r="F120" s="1009"/>
      <c r="G120" s="1009"/>
      <c r="H120" s="1009"/>
      <c r="I120" s="1010"/>
      <c r="J120" s="814">
        <f>ROUND($I$85*J119,2)</f>
        <v>0.66</v>
      </c>
      <c r="K120" s="809"/>
    </row>
    <row r="121" spans="1:11" ht="104.25" customHeight="1">
      <c r="A121" s="754"/>
      <c r="B121" s="823" t="s">
        <v>518</v>
      </c>
      <c r="C121" s="1213" t="s">
        <v>1059</v>
      </c>
      <c r="D121" s="1009"/>
      <c r="E121" s="1009"/>
      <c r="F121" s="1009"/>
      <c r="G121" s="1009"/>
      <c r="H121" s="1009"/>
      <c r="I121" s="1010"/>
      <c r="J121" s="814">
        <f>ROUND(((7/30)/$I$11)*$J$58*1,2)</f>
        <v>12.91</v>
      </c>
      <c r="K121" s="809"/>
    </row>
    <row r="122" spans="1:11" ht="18.75" customHeight="1">
      <c r="A122" s="754"/>
      <c r="B122" s="823" t="s">
        <v>520</v>
      </c>
      <c r="C122" s="1212" t="s">
        <v>639</v>
      </c>
      <c r="D122" s="1009"/>
      <c r="E122" s="1009"/>
      <c r="F122" s="1009"/>
      <c r="G122" s="1009"/>
      <c r="H122" s="1009"/>
      <c r="I122" s="1010"/>
      <c r="J122" s="814">
        <f>ROUND($I$86*J121,2)</f>
        <v>4.75</v>
      </c>
      <c r="K122" s="809"/>
    </row>
    <row r="123" spans="1:11" ht="34.5" customHeight="1">
      <c r="A123" s="754"/>
      <c r="B123" s="823" t="s">
        <v>562</v>
      </c>
      <c r="C123" s="1178" t="s">
        <v>1060</v>
      </c>
      <c r="D123" s="1009"/>
      <c r="E123" s="1009"/>
      <c r="F123" s="1009"/>
      <c r="G123" s="1009"/>
      <c r="H123" s="1010"/>
      <c r="I123" s="843">
        <v>0.04</v>
      </c>
      <c r="J123" s="814">
        <f>ROUND(J58*I123,2)</f>
        <v>66.400000000000006</v>
      </c>
      <c r="K123" s="809"/>
    </row>
    <row r="124" spans="1:11" ht="19.5" customHeight="1">
      <c r="A124" s="754"/>
      <c r="B124" s="1204" t="s">
        <v>641</v>
      </c>
      <c r="C124" s="1009"/>
      <c r="D124" s="1009"/>
      <c r="E124" s="1009"/>
      <c r="F124" s="1009"/>
      <c r="G124" s="1009"/>
      <c r="H124" s="1009"/>
      <c r="I124" s="1010"/>
      <c r="J124" s="808">
        <f>SUM(J119:J123)</f>
        <v>93</v>
      </c>
      <c r="K124" s="809"/>
    </row>
    <row r="125" spans="1:11" ht="15.75" customHeight="1">
      <c r="A125" s="754"/>
      <c r="B125" s="1186"/>
      <c r="C125" s="1009"/>
      <c r="D125" s="1009"/>
      <c r="E125" s="1009"/>
      <c r="F125" s="1009"/>
      <c r="G125" s="1009"/>
      <c r="H125" s="1009"/>
      <c r="I125" s="1009"/>
      <c r="J125" s="1010"/>
      <c r="K125" s="844"/>
    </row>
    <row r="126" spans="1:11" ht="17.25" customHeight="1">
      <c r="A126" s="754"/>
      <c r="B126" s="1187" t="s">
        <v>642</v>
      </c>
      <c r="C126" s="1009"/>
      <c r="D126" s="1009"/>
      <c r="E126" s="1009"/>
      <c r="F126" s="1009"/>
      <c r="G126" s="1009"/>
      <c r="H126" s="1009"/>
      <c r="I126" s="1009"/>
      <c r="J126" s="1010"/>
      <c r="K126" s="845"/>
    </row>
    <row r="127" spans="1:11" ht="42.75" customHeight="1">
      <c r="A127" s="754"/>
      <c r="B127" s="1214" t="s">
        <v>643</v>
      </c>
      <c r="C127" s="1009"/>
      <c r="D127" s="1009"/>
      <c r="E127" s="1009"/>
      <c r="F127" s="1009"/>
      <c r="G127" s="1009"/>
      <c r="H127" s="1009"/>
      <c r="I127" s="1009"/>
      <c r="J127" s="1010"/>
      <c r="K127" s="782"/>
    </row>
    <row r="128" spans="1:11" ht="66" customHeight="1">
      <c r="A128" s="754"/>
      <c r="B128" s="1108" t="s">
        <v>1061</v>
      </c>
      <c r="C128" s="1009"/>
      <c r="D128" s="1009"/>
      <c r="E128" s="1009"/>
      <c r="F128" s="1009"/>
      <c r="G128" s="1009"/>
      <c r="H128" s="1009"/>
      <c r="I128" s="1009"/>
      <c r="J128" s="1010"/>
      <c r="K128" s="655"/>
    </row>
    <row r="129" spans="1:11" ht="43.5" customHeight="1">
      <c r="A129" s="754"/>
      <c r="B129" s="694" t="s">
        <v>645</v>
      </c>
      <c r="C129" s="695">
        <f>J58</f>
        <v>1660.01</v>
      </c>
      <c r="D129" s="846" t="s">
        <v>646</v>
      </c>
      <c r="E129" s="694" t="s">
        <v>1062</v>
      </c>
      <c r="F129" s="695">
        <f>J115-J92-J97</f>
        <v>886.08</v>
      </c>
      <c r="G129" s="846" t="s">
        <v>646</v>
      </c>
      <c r="H129" s="694" t="s">
        <v>648</v>
      </c>
      <c r="I129" s="695">
        <f>J124</f>
        <v>93</v>
      </c>
      <c r="J129" s="847">
        <f>C129+F129+I129</f>
        <v>2639.09</v>
      </c>
      <c r="K129" s="848"/>
    </row>
    <row r="130" spans="1:11" ht="15" customHeight="1">
      <c r="A130" s="754"/>
      <c r="B130" s="1263"/>
      <c r="C130" s="1009"/>
      <c r="D130" s="1009"/>
      <c r="E130" s="1009"/>
      <c r="F130" s="1009"/>
      <c r="G130" s="1009"/>
      <c r="H130" s="1009"/>
      <c r="I130" s="1009"/>
      <c r="J130" s="1010"/>
      <c r="K130" s="849"/>
    </row>
    <row r="131" spans="1:11" ht="15.75" customHeight="1">
      <c r="A131" s="754"/>
      <c r="B131" s="1069" t="s">
        <v>649</v>
      </c>
      <c r="C131" s="1009"/>
      <c r="D131" s="1009"/>
      <c r="E131" s="1009"/>
      <c r="F131" s="1009"/>
      <c r="G131" s="1009"/>
      <c r="H131" s="1009"/>
      <c r="I131" s="1009"/>
      <c r="J131" s="1010"/>
      <c r="K131" s="698"/>
    </row>
    <row r="132" spans="1:11" ht="17.25" customHeight="1">
      <c r="A132" s="754"/>
      <c r="B132" s="699" t="s">
        <v>650</v>
      </c>
      <c r="C132" s="1162" t="s">
        <v>651</v>
      </c>
      <c r="D132" s="1009"/>
      <c r="E132" s="1009"/>
      <c r="F132" s="1009"/>
      <c r="G132" s="1009"/>
      <c r="H132" s="1009"/>
      <c r="I132" s="1010"/>
      <c r="J132" s="699" t="s">
        <v>591</v>
      </c>
      <c r="K132" s="700"/>
    </row>
    <row r="133" spans="1:11" ht="48" customHeight="1">
      <c r="A133" s="754"/>
      <c r="B133" s="823" t="s">
        <v>514</v>
      </c>
      <c r="C133" s="1215" t="s">
        <v>1063</v>
      </c>
      <c r="D133" s="1009"/>
      <c r="E133" s="1009"/>
      <c r="F133" s="1009"/>
      <c r="G133" s="1009"/>
      <c r="H133" s="701">
        <v>9.0749999999999997E-2</v>
      </c>
      <c r="I133" s="702">
        <f>I86</f>
        <v>0.36800000000000005</v>
      </c>
      <c r="J133" s="814">
        <f>ROUND(H133*J58,2)*(1+I133)</f>
        <v>206.08920000000003</v>
      </c>
      <c r="K133" s="809"/>
    </row>
    <row r="134" spans="1:11" ht="18.75" customHeight="1">
      <c r="A134" s="754"/>
      <c r="B134" s="823" t="s">
        <v>516</v>
      </c>
      <c r="C134" s="1178" t="s">
        <v>1064</v>
      </c>
      <c r="D134" s="1009"/>
      <c r="E134" s="1009"/>
      <c r="F134" s="1009"/>
      <c r="G134" s="1009"/>
      <c r="H134" s="1009"/>
      <c r="I134" s="1010"/>
      <c r="J134" s="814">
        <f>ROUND((1/30)/12*(J129),2)</f>
        <v>7.33</v>
      </c>
      <c r="K134" s="809"/>
    </row>
    <row r="135" spans="1:11" ht="31.5" customHeight="1">
      <c r="A135" s="754"/>
      <c r="B135" s="823" t="s">
        <v>518</v>
      </c>
      <c r="C135" s="1178" t="s">
        <v>1065</v>
      </c>
      <c r="D135" s="1009"/>
      <c r="E135" s="1009"/>
      <c r="F135" s="1009"/>
      <c r="G135" s="1009"/>
      <c r="H135" s="1009"/>
      <c r="I135" s="1010"/>
      <c r="J135" s="814">
        <f>ROUND((5/30)/12*0.015*(J129),2)</f>
        <v>0.55000000000000004</v>
      </c>
      <c r="K135" s="809"/>
    </row>
    <row r="136" spans="1:11" ht="31.5" customHeight="1">
      <c r="A136" s="754"/>
      <c r="B136" s="823" t="s">
        <v>520</v>
      </c>
      <c r="C136" s="1178" t="s">
        <v>1066</v>
      </c>
      <c r="D136" s="1009"/>
      <c r="E136" s="1009"/>
      <c r="F136" s="1009"/>
      <c r="G136" s="1009"/>
      <c r="H136" s="1009"/>
      <c r="I136" s="1010"/>
      <c r="J136" s="814">
        <f>ROUND(((15/30)/12)*0.0078*(J129),2)</f>
        <v>0.86</v>
      </c>
      <c r="K136" s="809"/>
    </row>
    <row r="137" spans="1:11" ht="31.5" customHeight="1">
      <c r="A137" s="754"/>
      <c r="B137" s="850" t="s">
        <v>562</v>
      </c>
      <c r="C137" s="1264" t="s">
        <v>1067</v>
      </c>
      <c r="D137" s="1009"/>
      <c r="E137" s="1009"/>
      <c r="F137" s="1009"/>
      <c r="G137" s="1009"/>
      <c r="H137" s="1009"/>
      <c r="I137" s="1010"/>
      <c r="J137" s="704">
        <f>ROUND(((((C129+C129/3)+(I86)*(C129+C129/3))*(4/12))/12)*0.02,2) + ((J106 -J92-J97+ J124)*4/12)*0.02</f>
        <v>2.4154666666666667</v>
      </c>
      <c r="K137" s="653"/>
    </row>
    <row r="138" spans="1:11" ht="51.75" customHeight="1">
      <c r="A138" s="754"/>
      <c r="B138" s="823" t="s">
        <v>566</v>
      </c>
      <c r="C138" s="1178" t="s">
        <v>1068</v>
      </c>
      <c r="D138" s="1009"/>
      <c r="E138" s="1009"/>
      <c r="F138" s="1009"/>
      <c r="G138" s="1009"/>
      <c r="H138" s="1009"/>
      <c r="I138" s="1010"/>
      <c r="J138" s="814">
        <f>ROUND(((3/30)/12)*(J129),2)</f>
        <v>21.99</v>
      </c>
      <c r="K138" s="809"/>
    </row>
    <row r="139" spans="1:11" ht="19.5" customHeight="1">
      <c r="A139" s="754"/>
      <c r="B139" s="1204" t="s">
        <v>594</v>
      </c>
      <c r="C139" s="1009"/>
      <c r="D139" s="1009"/>
      <c r="E139" s="1009"/>
      <c r="F139" s="1009"/>
      <c r="G139" s="1009"/>
      <c r="H139" s="1009"/>
      <c r="I139" s="1010"/>
      <c r="J139" s="808">
        <f>SUM(J133:J138)</f>
        <v>239.23466666666675</v>
      </c>
      <c r="K139" s="809"/>
    </row>
    <row r="140" spans="1:11" ht="12.75" customHeight="1">
      <c r="A140" s="754"/>
      <c r="B140" s="1186"/>
      <c r="C140" s="1009"/>
      <c r="D140" s="1009"/>
      <c r="E140" s="1009"/>
      <c r="F140" s="1009"/>
      <c r="G140" s="1009"/>
      <c r="H140" s="1009"/>
      <c r="I140" s="1009"/>
      <c r="J140" s="1010"/>
      <c r="K140" s="844"/>
    </row>
    <row r="141" spans="1:11" ht="19.5" customHeight="1">
      <c r="A141" s="754"/>
      <c r="B141" s="1096" t="s">
        <v>658</v>
      </c>
      <c r="C141" s="1009"/>
      <c r="D141" s="1009"/>
      <c r="E141" s="1009"/>
      <c r="F141" s="1009"/>
      <c r="G141" s="1009"/>
      <c r="H141" s="1009"/>
      <c r="I141" s="1009"/>
      <c r="J141" s="1010"/>
      <c r="K141" s="646"/>
    </row>
    <row r="142" spans="1:11" ht="19.5" customHeight="1">
      <c r="A142" s="754"/>
      <c r="B142" s="705" t="s">
        <v>659</v>
      </c>
      <c r="C142" s="1097" t="s">
        <v>660</v>
      </c>
      <c r="D142" s="1009"/>
      <c r="E142" s="1009"/>
      <c r="F142" s="1009"/>
      <c r="G142" s="1009"/>
      <c r="H142" s="1009"/>
      <c r="I142" s="1010"/>
      <c r="J142" s="706" t="s">
        <v>591</v>
      </c>
      <c r="K142" s="707"/>
    </row>
    <row r="143" spans="1:11" ht="19.5" customHeight="1">
      <c r="A143" s="754"/>
      <c r="B143" s="851" t="s">
        <v>514</v>
      </c>
      <c r="C143" s="1202" t="s">
        <v>661</v>
      </c>
      <c r="D143" s="1009"/>
      <c r="E143" s="1009"/>
      <c r="F143" s="1009"/>
      <c r="G143" s="1009"/>
      <c r="H143" s="1009"/>
      <c r="I143" s="1010"/>
      <c r="J143" s="852">
        <v>0</v>
      </c>
      <c r="K143" s="853"/>
    </row>
    <row r="144" spans="1:11" ht="19.5" customHeight="1">
      <c r="A144" s="754"/>
      <c r="B144" s="1199" t="s">
        <v>594</v>
      </c>
      <c r="C144" s="1009"/>
      <c r="D144" s="1009"/>
      <c r="E144" s="1009"/>
      <c r="F144" s="1009"/>
      <c r="G144" s="1009"/>
      <c r="H144" s="1009"/>
      <c r="I144" s="1010"/>
      <c r="J144" s="854">
        <v>0</v>
      </c>
      <c r="K144" s="853"/>
    </row>
    <row r="145" spans="1:11" ht="9" customHeight="1">
      <c r="A145" s="754"/>
      <c r="B145" s="1200"/>
      <c r="C145" s="1009"/>
      <c r="D145" s="1009"/>
      <c r="E145" s="1009"/>
      <c r="F145" s="1009"/>
      <c r="G145" s="1009"/>
      <c r="H145" s="1009"/>
      <c r="I145" s="1009"/>
      <c r="J145" s="1010"/>
      <c r="K145" s="855"/>
    </row>
    <row r="146" spans="1:11" ht="19.5" customHeight="1">
      <c r="A146" s="754"/>
      <c r="B146" s="1201" t="s">
        <v>662</v>
      </c>
      <c r="C146" s="1009"/>
      <c r="D146" s="1009"/>
      <c r="E146" s="1009"/>
      <c r="F146" s="1009"/>
      <c r="G146" s="1009"/>
      <c r="H146" s="1009"/>
      <c r="I146" s="1009"/>
      <c r="J146" s="1010"/>
      <c r="K146" s="805"/>
    </row>
    <row r="147" spans="1:11" ht="19.5" customHeight="1">
      <c r="A147" s="754"/>
      <c r="B147" s="657">
        <v>4</v>
      </c>
      <c r="C147" s="1097" t="s">
        <v>663</v>
      </c>
      <c r="D147" s="1009"/>
      <c r="E147" s="1009"/>
      <c r="F147" s="1009"/>
      <c r="G147" s="1009"/>
      <c r="H147" s="1009"/>
      <c r="I147" s="1010"/>
      <c r="J147" s="706" t="s">
        <v>591</v>
      </c>
      <c r="K147" s="707"/>
    </row>
    <row r="148" spans="1:11" ht="28.5" customHeight="1">
      <c r="A148" s="754"/>
      <c r="B148" s="769" t="s">
        <v>650</v>
      </c>
      <c r="C148" s="1202" t="s">
        <v>651</v>
      </c>
      <c r="D148" s="1009"/>
      <c r="E148" s="1009"/>
      <c r="F148" s="1009"/>
      <c r="G148" s="1009"/>
      <c r="H148" s="1009"/>
      <c r="I148" s="1010"/>
      <c r="J148" s="852">
        <f>J139</f>
        <v>239.23466666666675</v>
      </c>
      <c r="K148" s="853"/>
    </row>
    <row r="149" spans="1:11" ht="24" customHeight="1">
      <c r="A149" s="754"/>
      <c r="B149" s="769" t="s">
        <v>664</v>
      </c>
      <c r="C149" s="1202" t="s">
        <v>660</v>
      </c>
      <c r="D149" s="1009"/>
      <c r="E149" s="1009"/>
      <c r="F149" s="1009"/>
      <c r="G149" s="1009"/>
      <c r="H149" s="1009"/>
      <c r="I149" s="1010"/>
      <c r="J149" s="852">
        <f>J144</f>
        <v>0</v>
      </c>
      <c r="K149" s="853"/>
    </row>
    <row r="150" spans="1:11" ht="24" customHeight="1">
      <c r="A150" s="754"/>
      <c r="B150" s="1261" t="s">
        <v>594</v>
      </c>
      <c r="C150" s="1009"/>
      <c r="D150" s="1009"/>
      <c r="E150" s="1009"/>
      <c r="F150" s="1009"/>
      <c r="G150" s="1009"/>
      <c r="H150" s="1009"/>
      <c r="I150" s="1010"/>
      <c r="J150" s="854">
        <f>SUM(J148+J149)</f>
        <v>239.23466666666675</v>
      </c>
      <c r="K150" s="853"/>
    </row>
    <row r="151" spans="1:11" ht="7.5" customHeight="1">
      <c r="A151" s="754"/>
      <c r="B151" s="1200"/>
      <c r="C151" s="1009"/>
      <c r="D151" s="1009"/>
      <c r="E151" s="1009"/>
      <c r="F151" s="1009"/>
      <c r="G151" s="1009"/>
      <c r="H151" s="1009"/>
      <c r="I151" s="1009"/>
      <c r="J151" s="1010"/>
      <c r="K151" s="855"/>
    </row>
    <row r="152" spans="1:11" ht="15.75" customHeight="1">
      <c r="A152" s="754"/>
      <c r="B152" s="1187" t="s">
        <v>665</v>
      </c>
      <c r="C152" s="1009"/>
      <c r="D152" s="1009"/>
      <c r="E152" s="1009"/>
      <c r="F152" s="1009"/>
      <c r="G152" s="1009"/>
      <c r="H152" s="1009"/>
      <c r="I152" s="1009"/>
      <c r="J152" s="1010"/>
      <c r="K152" s="845"/>
    </row>
    <row r="153" spans="1:11" ht="15.75" customHeight="1">
      <c r="A153" s="754"/>
      <c r="B153" s="669">
        <v>3</v>
      </c>
      <c r="C153" s="1083" t="s">
        <v>666</v>
      </c>
      <c r="D153" s="1009"/>
      <c r="E153" s="1009"/>
      <c r="F153" s="1009"/>
      <c r="G153" s="1009"/>
      <c r="H153" s="1009"/>
      <c r="I153" s="1010"/>
      <c r="J153" s="669" t="s">
        <v>591</v>
      </c>
      <c r="K153" s="601"/>
    </row>
    <row r="154" spans="1:11" ht="19.5" customHeight="1">
      <c r="A154" s="754"/>
      <c r="B154" s="823" t="s">
        <v>514</v>
      </c>
      <c r="C154" s="1178" t="s">
        <v>769</v>
      </c>
      <c r="D154" s="1009"/>
      <c r="E154" s="1009"/>
      <c r="F154" s="1009"/>
      <c r="G154" s="1009"/>
      <c r="H154" s="1009"/>
      <c r="I154" s="1010"/>
      <c r="J154" s="814" t="e">
        <f>#REF!+#REF!</f>
        <v>#REF!</v>
      </c>
      <c r="K154" s="809"/>
    </row>
    <row r="155" spans="1:11" ht="15.75" customHeight="1">
      <c r="A155" s="754"/>
      <c r="B155" s="823" t="s">
        <v>516</v>
      </c>
      <c r="C155" s="1178" t="s">
        <v>770</v>
      </c>
      <c r="D155" s="1009"/>
      <c r="E155" s="1009"/>
      <c r="F155" s="1009"/>
      <c r="G155" s="1009"/>
      <c r="H155" s="1009"/>
      <c r="I155" s="1010"/>
      <c r="J155" s="834">
        <v>0</v>
      </c>
      <c r="K155" s="835"/>
    </row>
    <row r="156" spans="1:11" ht="15.75" customHeight="1">
      <c r="A156" s="754"/>
      <c r="B156" s="823" t="s">
        <v>518</v>
      </c>
      <c r="C156" s="1178" t="s">
        <v>668</v>
      </c>
      <c r="D156" s="1009"/>
      <c r="E156" s="1009"/>
      <c r="F156" s="1009"/>
      <c r="G156" s="1009"/>
      <c r="H156" s="1009"/>
      <c r="I156" s="1010"/>
      <c r="J156" s="834">
        <v>0</v>
      </c>
      <c r="K156" s="835"/>
    </row>
    <row r="157" spans="1:11" ht="19.5" customHeight="1">
      <c r="A157" s="754"/>
      <c r="B157" s="1204" t="s">
        <v>670</v>
      </c>
      <c r="C157" s="1009"/>
      <c r="D157" s="1009"/>
      <c r="E157" s="1009"/>
      <c r="F157" s="1009"/>
      <c r="G157" s="1009"/>
      <c r="H157" s="1009"/>
      <c r="I157" s="1010"/>
      <c r="J157" s="857" t="e">
        <f>ROUND(SUM(J154:J156),2)</f>
        <v>#REF!</v>
      </c>
      <c r="K157" s="835"/>
    </row>
    <row r="158" spans="1:11" ht="15.75" customHeight="1">
      <c r="A158" s="754"/>
      <c r="B158" s="1267"/>
      <c r="C158" s="1009"/>
      <c r="D158" s="1009"/>
      <c r="E158" s="1009"/>
      <c r="F158" s="1009"/>
      <c r="G158" s="1009"/>
      <c r="H158" s="1009"/>
      <c r="I158" s="1009"/>
      <c r="J158" s="1010"/>
      <c r="K158" s="858"/>
    </row>
    <row r="159" spans="1:11" ht="27.75" customHeight="1">
      <c r="A159" s="754"/>
      <c r="B159" s="1268" t="s">
        <v>671</v>
      </c>
      <c r="C159" s="1009"/>
      <c r="D159" s="1009"/>
      <c r="E159" s="1009"/>
      <c r="F159" s="1009"/>
      <c r="G159" s="1009"/>
      <c r="H159" s="1009"/>
      <c r="I159" s="1009"/>
      <c r="J159" s="1010"/>
      <c r="K159" s="859"/>
    </row>
    <row r="160" spans="1:11" ht="19.5" customHeight="1">
      <c r="A160" s="754"/>
      <c r="B160" s="860"/>
      <c r="C160" s="714"/>
      <c r="D160" s="714"/>
      <c r="E160" s="714"/>
      <c r="F160" s="714"/>
      <c r="G160" s="714"/>
      <c r="H160" s="714"/>
      <c r="I160" s="714"/>
      <c r="J160" s="715"/>
      <c r="K160" s="329"/>
    </row>
    <row r="161" spans="1:11" ht="24" customHeight="1">
      <c r="A161" s="754"/>
      <c r="B161" s="1252" t="s">
        <v>672</v>
      </c>
      <c r="C161" s="1009"/>
      <c r="D161" s="1009"/>
      <c r="E161" s="1009"/>
      <c r="F161" s="1009"/>
      <c r="G161" s="1009"/>
      <c r="H161" s="1009"/>
      <c r="I161" s="1009"/>
      <c r="J161" s="1010"/>
      <c r="K161" s="842"/>
    </row>
    <row r="162" spans="1:11" ht="35.25" customHeight="1">
      <c r="A162" s="754"/>
      <c r="B162" s="669">
        <v>6</v>
      </c>
      <c r="C162" s="1162" t="s">
        <v>673</v>
      </c>
      <c r="D162" s="1009"/>
      <c r="E162" s="1009"/>
      <c r="F162" s="1009"/>
      <c r="G162" s="1009"/>
      <c r="H162" s="1010"/>
      <c r="I162" s="861" t="s">
        <v>556</v>
      </c>
      <c r="J162" s="716" t="s">
        <v>599</v>
      </c>
      <c r="K162" s="717"/>
    </row>
    <row r="163" spans="1:11" ht="57" customHeight="1">
      <c r="A163" s="754"/>
      <c r="B163" s="1229" t="s">
        <v>674</v>
      </c>
      <c r="C163" s="1009"/>
      <c r="D163" s="1009"/>
      <c r="E163" s="1009"/>
      <c r="F163" s="1009"/>
      <c r="G163" s="1009"/>
      <c r="H163" s="1010"/>
      <c r="I163" s="355" t="s">
        <v>527</v>
      </c>
      <c r="J163" s="862" t="e">
        <f>SUM(J63+J115+J124+J150+J157)</f>
        <v>#REF!</v>
      </c>
      <c r="K163" s="863"/>
    </row>
    <row r="164" spans="1:11" ht="26.25" customHeight="1">
      <c r="A164" s="754"/>
      <c r="B164" s="823" t="s">
        <v>514</v>
      </c>
      <c r="C164" s="1109" t="s">
        <v>675</v>
      </c>
      <c r="D164" s="1009"/>
      <c r="E164" s="1009"/>
      <c r="F164" s="1009"/>
      <c r="G164" s="1009"/>
      <c r="H164" s="1010"/>
      <c r="I164" s="813">
        <f>'1-ABA-DE-CARREGAMENTO'!I85</f>
        <v>0.06</v>
      </c>
      <c r="J164" s="814" t="e">
        <f>ROUND(I164*J163,2)</f>
        <v>#REF!</v>
      </c>
      <c r="K164" s="809"/>
    </row>
    <row r="165" spans="1:11" ht="51.75" customHeight="1">
      <c r="A165" s="754"/>
      <c r="B165" s="1229" t="s">
        <v>676</v>
      </c>
      <c r="C165" s="1009"/>
      <c r="D165" s="1009"/>
      <c r="E165" s="1009"/>
      <c r="F165" s="1009"/>
      <c r="G165" s="1009"/>
      <c r="H165" s="1010"/>
      <c r="I165" s="864" t="s">
        <v>527</v>
      </c>
      <c r="J165" s="862" t="e">
        <f>SUM(J63+J115+J124+J150+J157+J164)</f>
        <v>#REF!</v>
      </c>
      <c r="K165" s="863"/>
    </row>
    <row r="166" spans="1:11" ht="19.5" customHeight="1">
      <c r="A166" s="754"/>
      <c r="B166" s="823" t="s">
        <v>516</v>
      </c>
      <c r="C166" s="1109" t="s">
        <v>312</v>
      </c>
      <c r="D166" s="1009"/>
      <c r="E166" s="1009"/>
      <c r="F166" s="1009"/>
      <c r="G166" s="1009"/>
      <c r="H166" s="1010"/>
      <c r="I166" s="813">
        <f>'1-ABA-DE-CARREGAMENTO'!I86</f>
        <v>0.06</v>
      </c>
      <c r="J166" s="814" t="e">
        <f>ROUND(I166*J165,2)</f>
        <v>#REF!</v>
      </c>
      <c r="K166" s="809"/>
    </row>
    <row r="167" spans="1:11" ht="49.5" customHeight="1">
      <c r="A167" s="754"/>
      <c r="B167" s="1229" t="s">
        <v>677</v>
      </c>
      <c r="C167" s="1009"/>
      <c r="D167" s="1009"/>
      <c r="E167" s="1009"/>
      <c r="F167" s="1009"/>
      <c r="G167" s="1009"/>
      <c r="H167" s="1010"/>
      <c r="I167" s="864" t="s">
        <v>527</v>
      </c>
      <c r="J167" s="862" t="e">
        <f>SUM(J163+J164+J166)</f>
        <v>#REF!</v>
      </c>
      <c r="K167" s="863"/>
    </row>
    <row r="168" spans="1:11" ht="18.75" customHeight="1">
      <c r="A168" s="754"/>
      <c r="B168" s="865" t="s">
        <v>518</v>
      </c>
      <c r="C168" s="1252" t="s">
        <v>678</v>
      </c>
      <c r="D168" s="1009"/>
      <c r="E168" s="1009"/>
      <c r="F168" s="1009"/>
      <c r="G168" s="1009"/>
      <c r="H168" s="1010"/>
      <c r="I168" s="792" t="s">
        <v>527</v>
      </c>
      <c r="J168" s="798" t="s">
        <v>527</v>
      </c>
      <c r="K168" s="799"/>
    </row>
    <row r="169" spans="1:11" ht="30" customHeight="1">
      <c r="A169" s="754"/>
      <c r="B169" s="823"/>
      <c r="C169" s="1212" t="s">
        <v>679</v>
      </c>
      <c r="D169" s="1009"/>
      <c r="E169" s="1009"/>
      <c r="F169" s="1009"/>
      <c r="G169" s="1009"/>
      <c r="H169" s="1010"/>
      <c r="I169" s="792" t="s">
        <v>527</v>
      </c>
      <c r="J169" s="798" t="s">
        <v>527</v>
      </c>
      <c r="K169" s="799"/>
    </row>
    <row r="170" spans="1:11" ht="24" customHeight="1">
      <c r="A170" s="754"/>
      <c r="B170" s="823"/>
      <c r="C170" s="1099" t="s">
        <v>1069</v>
      </c>
      <c r="D170" s="1009"/>
      <c r="E170" s="1009"/>
      <c r="F170" s="1009"/>
      <c r="G170" s="1009"/>
      <c r="H170" s="1010"/>
      <c r="I170" s="866">
        <f>'1-ABA-DE-CARREGAMENTO'!E28</f>
        <v>1.6500000000000001E-2</v>
      </c>
      <c r="J170" s="867" t="e">
        <f t="shared" ref="J170:J171" si="3">ROUND(($J$167/(1-$I$179))*I170,2)</f>
        <v>#REF!</v>
      </c>
      <c r="K170" s="868"/>
    </row>
    <row r="171" spans="1:11" ht="24" customHeight="1">
      <c r="A171" s="754"/>
      <c r="B171" s="823"/>
      <c r="C171" s="1099" t="s">
        <v>1070</v>
      </c>
      <c r="D171" s="1009"/>
      <c r="E171" s="1009"/>
      <c r="F171" s="1009"/>
      <c r="G171" s="1009"/>
      <c r="H171" s="1010"/>
      <c r="I171" s="866">
        <f>'1-ABA-DE-CARREGAMENTO'!F28</f>
        <v>7.5999999999999998E-2</v>
      </c>
      <c r="J171" s="867" t="e">
        <f t="shared" si="3"/>
        <v>#REF!</v>
      </c>
      <c r="K171" s="868"/>
    </row>
    <row r="172" spans="1:11" ht="27.75" customHeight="1">
      <c r="A172" s="754"/>
      <c r="B172" s="823"/>
      <c r="C172" s="1178" t="s">
        <v>1071</v>
      </c>
      <c r="D172" s="1009"/>
      <c r="E172" s="1009"/>
      <c r="F172" s="1009"/>
      <c r="G172" s="1009"/>
      <c r="H172" s="1010"/>
      <c r="I172" s="869" t="s">
        <v>527</v>
      </c>
      <c r="J172" s="798" t="s">
        <v>527</v>
      </c>
      <c r="K172" s="799"/>
    </row>
    <row r="173" spans="1:11" ht="27.75" customHeight="1">
      <c r="A173" s="754"/>
      <c r="B173" s="823"/>
      <c r="C173" s="1178" t="s">
        <v>1072</v>
      </c>
      <c r="D173" s="1009"/>
      <c r="E173" s="1009"/>
      <c r="F173" s="1009"/>
      <c r="G173" s="1009"/>
      <c r="H173" s="1010"/>
      <c r="I173" s="869" t="s">
        <v>527</v>
      </c>
      <c r="J173" s="798" t="s">
        <v>527</v>
      </c>
      <c r="K173" s="799"/>
    </row>
    <row r="174" spans="1:11" ht="15.75" customHeight="1">
      <c r="A174" s="754"/>
      <c r="B174" s="823"/>
      <c r="C174" s="1178" t="s">
        <v>684</v>
      </c>
      <c r="D174" s="1009"/>
      <c r="E174" s="1009"/>
      <c r="F174" s="1009"/>
      <c r="G174" s="1009"/>
      <c r="H174" s="1009"/>
      <c r="I174" s="870" t="s">
        <v>527</v>
      </c>
      <c r="J174" s="871" t="s">
        <v>527</v>
      </c>
      <c r="K174" s="872"/>
    </row>
    <row r="175" spans="1:11" ht="15.75" customHeight="1">
      <c r="A175" s="754"/>
      <c r="B175" s="823"/>
      <c r="C175" s="1178" t="s">
        <v>685</v>
      </c>
      <c r="D175" s="1009"/>
      <c r="E175" s="1009"/>
      <c r="F175" s="1009"/>
      <c r="G175" s="1009"/>
      <c r="H175" s="1009"/>
      <c r="I175" s="870" t="s">
        <v>527</v>
      </c>
      <c r="J175" s="871" t="s">
        <v>527</v>
      </c>
      <c r="K175" s="872"/>
    </row>
    <row r="176" spans="1:11" ht="15.75" customHeight="1">
      <c r="A176" s="754"/>
      <c r="B176" s="823"/>
      <c r="C176" s="1178" t="s">
        <v>1073</v>
      </c>
      <c r="D176" s="1009"/>
      <c r="E176" s="1009"/>
      <c r="F176" s="1009"/>
      <c r="G176" s="1009"/>
      <c r="H176" s="1010"/>
      <c r="I176" s="873">
        <f>'1-ABA-DE-CARREGAMENTO'!D87</f>
        <v>0.04</v>
      </c>
      <c r="J176" s="867" t="e">
        <f>ROUND(($J$167/(1-$I$179))*I176,2)</f>
        <v>#REF!</v>
      </c>
      <c r="K176" s="868"/>
    </row>
    <row r="177" spans="1:11" ht="15.75" customHeight="1">
      <c r="A177" s="754"/>
      <c r="B177" s="1204" t="s">
        <v>641</v>
      </c>
      <c r="C177" s="1009"/>
      <c r="D177" s="1009"/>
      <c r="E177" s="1009"/>
      <c r="F177" s="1009"/>
      <c r="G177" s="1009"/>
      <c r="H177" s="1009"/>
      <c r="I177" s="1010"/>
      <c r="J177" s="808" t="e">
        <f>SUM(J164+J166+J170+J171+J176)</f>
        <v>#REF!</v>
      </c>
      <c r="K177" s="809"/>
    </row>
    <row r="178" spans="1:11" ht="6" customHeight="1">
      <c r="A178" s="754"/>
      <c r="B178" s="1186"/>
      <c r="C178" s="1009"/>
      <c r="D178" s="1009"/>
      <c r="E178" s="1009"/>
      <c r="F178" s="1009"/>
      <c r="G178" s="1009"/>
      <c r="H178" s="1009"/>
      <c r="I178" s="1009"/>
      <c r="J178" s="1010"/>
      <c r="K178" s="844"/>
    </row>
    <row r="179" spans="1:11" ht="15.75" customHeight="1">
      <c r="A179" s="754"/>
      <c r="B179" s="1205" t="s">
        <v>687</v>
      </c>
      <c r="C179" s="1009"/>
      <c r="D179" s="1009"/>
      <c r="E179" s="1009"/>
      <c r="F179" s="1009"/>
      <c r="G179" s="1009"/>
      <c r="H179" s="1010"/>
      <c r="I179" s="874">
        <f t="shared" ref="I179:J179" si="4">SUM(I170:I176)</f>
        <v>0.13250000000000001</v>
      </c>
      <c r="J179" s="862" t="e">
        <f t="shared" si="4"/>
        <v>#REF!</v>
      </c>
      <c r="K179" s="863"/>
    </row>
    <row r="180" spans="1:11" ht="15.75" customHeight="1">
      <c r="A180" s="754"/>
      <c r="B180" s="1206" t="s">
        <v>688</v>
      </c>
      <c r="C180" s="1023"/>
      <c r="D180" s="1207" t="s">
        <v>689</v>
      </c>
      <c r="E180" s="1023"/>
      <c r="F180" s="1023"/>
      <c r="G180" s="1023"/>
      <c r="H180" s="1023"/>
      <c r="I180" s="1023"/>
      <c r="J180" s="1040"/>
      <c r="K180" s="875"/>
    </row>
    <row r="181" spans="1:11" ht="15.75" customHeight="1">
      <c r="A181" s="754"/>
      <c r="B181" s="1102"/>
      <c r="C181" s="1023"/>
      <c r="D181" s="1208" t="s">
        <v>690</v>
      </c>
      <c r="E181" s="1023"/>
      <c r="F181" s="1023"/>
      <c r="G181" s="1023"/>
      <c r="H181" s="1023"/>
      <c r="I181" s="1023"/>
      <c r="J181" s="1040"/>
      <c r="K181" s="876"/>
    </row>
    <row r="182" spans="1:11" ht="15.75" customHeight="1">
      <c r="A182" s="754"/>
      <c r="B182" s="1103"/>
      <c r="C182" s="1060"/>
      <c r="D182" s="1209" t="s">
        <v>691</v>
      </c>
      <c r="E182" s="1060"/>
      <c r="F182" s="1060"/>
      <c r="G182" s="1060"/>
      <c r="H182" s="1060"/>
      <c r="I182" s="1060"/>
      <c r="J182" s="1062"/>
      <c r="K182" s="875"/>
    </row>
    <row r="183" spans="1:11" ht="9.75" customHeight="1">
      <c r="A183" s="754"/>
      <c r="B183" s="1210"/>
      <c r="C183" s="1009"/>
      <c r="D183" s="1009"/>
      <c r="E183" s="1009"/>
      <c r="F183" s="1009"/>
      <c r="G183" s="1009"/>
      <c r="H183" s="1009"/>
      <c r="I183" s="1009"/>
      <c r="J183" s="1010"/>
      <c r="K183" s="877"/>
    </row>
    <row r="184" spans="1:11" ht="23.25" customHeight="1">
      <c r="A184" s="754"/>
      <c r="B184" s="1211" t="s">
        <v>692</v>
      </c>
      <c r="C184" s="1009"/>
      <c r="D184" s="1009"/>
      <c r="E184" s="1009"/>
      <c r="F184" s="1009"/>
      <c r="G184" s="1009"/>
      <c r="H184" s="1009"/>
      <c r="I184" s="1009"/>
      <c r="J184" s="1010"/>
      <c r="K184" s="766"/>
    </row>
    <row r="185" spans="1:11" ht="9" customHeight="1">
      <c r="A185" s="754"/>
      <c r="B185" s="1186"/>
      <c r="C185" s="1009"/>
      <c r="D185" s="1009"/>
      <c r="E185" s="1009"/>
      <c r="F185" s="1009"/>
      <c r="G185" s="1009"/>
      <c r="H185" s="1009"/>
      <c r="I185" s="1009"/>
      <c r="J185" s="1010"/>
      <c r="K185" s="844"/>
    </row>
    <row r="186" spans="1:11" ht="15.75" customHeight="1">
      <c r="A186" s="754"/>
      <c r="B186" s="1187" t="s">
        <v>1074</v>
      </c>
      <c r="C186" s="1009"/>
      <c r="D186" s="1009"/>
      <c r="E186" s="1009"/>
      <c r="F186" s="1009"/>
      <c r="G186" s="1009"/>
      <c r="H186" s="1009"/>
      <c r="I186" s="1009"/>
      <c r="J186" s="1010"/>
      <c r="K186" s="845"/>
    </row>
    <row r="187" spans="1:11" ht="15.75" customHeight="1">
      <c r="A187" s="754"/>
      <c r="B187" s="1086" t="s">
        <v>694</v>
      </c>
      <c r="C187" s="1009"/>
      <c r="D187" s="1009"/>
      <c r="E187" s="1009"/>
      <c r="F187" s="1009"/>
      <c r="G187" s="1009"/>
      <c r="H187" s="1009"/>
      <c r="I187" s="1010"/>
      <c r="J187" s="861" t="s">
        <v>591</v>
      </c>
      <c r="K187" s="763"/>
    </row>
    <row r="188" spans="1:11" ht="15.75" customHeight="1">
      <c r="A188" s="754"/>
      <c r="B188" s="878" t="s">
        <v>514</v>
      </c>
      <c r="C188" s="1181" t="s">
        <v>695</v>
      </c>
      <c r="D188" s="1009"/>
      <c r="E188" s="1009"/>
      <c r="F188" s="1009"/>
      <c r="G188" s="1009"/>
      <c r="H188" s="1009"/>
      <c r="I188" s="1009"/>
      <c r="J188" s="834">
        <f>J63</f>
        <v>1660.01</v>
      </c>
      <c r="K188" s="835"/>
    </row>
    <row r="189" spans="1:11" ht="15.75" customHeight="1">
      <c r="A189" s="754"/>
      <c r="B189" s="878" t="s">
        <v>516</v>
      </c>
      <c r="C189" s="1181" t="s">
        <v>696</v>
      </c>
      <c r="D189" s="1009"/>
      <c r="E189" s="1009"/>
      <c r="F189" s="1009"/>
      <c r="G189" s="1009"/>
      <c r="H189" s="1009"/>
      <c r="I189" s="1009"/>
      <c r="J189" s="834">
        <f>J115</f>
        <v>943.12</v>
      </c>
      <c r="K189" s="835"/>
    </row>
    <row r="190" spans="1:11" ht="15.75" customHeight="1">
      <c r="A190" s="754"/>
      <c r="B190" s="878" t="s">
        <v>518</v>
      </c>
      <c r="C190" s="1181" t="s">
        <v>697</v>
      </c>
      <c r="D190" s="1009"/>
      <c r="E190" s="1009"/>
      <c r="F190" s="1009"/>
      <c r="G190" s="1009"/>
      <c r="H190" s="1009"/>
      <c r="I190" s="1009"/>
      <c r="J190" s="834">
        <f>J124</f>
        <v>93</v>
      </c>
      <c r="K190" s="835"/>
    </row>
    <row r="191" spans="1:11" ht="15.75" customHeight="1">
      <c r="A191" s="754"/>
      <c r="B191" s="878" t="s">
        <v>520</v>
      </c>
      <c r="C191" s="1181" t="s">
        <v>698</v>
      </c>
      <c r="D191" s="1009"/>
      <c r="E191" s="1009"/>
      <c r="F191" s="1009"/>
      <c r="G191" s="1009"/>
      <c r="H191" s="1009"/>
      <c r="I191" s="1009"/>
      <c r="J191" s="834">
        <f>J150</f>
        <v>239.23466666666675</v>
      </c>
      <c r="K191" s="835"/>
    </row>
    <row r="192" spans="1:11" ht="15.75" customHeight="1">
      <c r="A192" s="754"/>
      <c r="B192" s="878" t="s">
        <v>562</v>
      </c>
      <c r="C192" s="1181" t="s">
        <v>699</v>
      </c>
      <c r="D192" s="1009"/>
      <c r="E192" s="1009"/>
      <c r="F192" s="1009"/>
      <c r="G192" s="1009"/>
      <c r="H192" s="1009"/>
      <c r="I192" s="1009"/>
      <c r="J192" s="834" t="e">
        <f>J157</f>
        <v>#REF!</v>
      </c>
      <c r="K192" s="835"/>
    </row>
    <row r="193" spans="1:11" ht="15.75" customHeight="1">
      <c r="A193" s="754"/>
      <c r="B193" s="1182" t="s">
        <v>700</v>
      </c>
      <c r="C193" s="1009"/>
      <c r="D193" s="1009"/>
      <c r="E193" s="1009"/>
      <c r="F193" s="1009"/>
      <c r="G193" s="1009"/>
      <c r="H193" s="1009"/>
      <c r="I193" s="1030"/>
      <c r="J193" s="857" t="e">
        <f>ROUND(SUM(J188:J192),2)</f>
        <v>#REF!</v>
      </c>
      <c r="K193" s="835"/>
    </row>
    <row r="194" spans="1:11" ht="15.75" customHeight="1">
      <c r="A194" s="754"/>
      <c r="B194" s="879" t="s">
        <v>566</v>
      </c>
      <c r="C194" s="1181" t="s">
        <v>672</v>
      </c>
      <c r="D194" s="1009"/>
      <c r="E194" s="1009"/>
      <c r="F194" s="1009"/>
      <c r="G194" s="1009"/>
      <c r="H194" s="1009"/>
      <c r="I194" s="1009"/>
      <c r="J194" s="834" t="e">
        <f>J177</f>
        <v>#REF!</v>
      </c>
      <c r="K194" s="835"/>
    </row>
    <row r="195" spans="1:11" ht="15.75" customHeight="1">
      <c r="A195" s="754"/>
      <c r="B195" s="1182" t="s">
        <v>777</v>
      </c>
      <c r="C195" s="1009"/>
      <c r="D195" s="1009"/>
      <c r="E195" s="1009"/>
      <c r="F195" s="1009"/>
      <c r="G195" s="1009"/>
      <c r="H195" s="1009"/>
      <c r="I195" s="1030"/>
      <c r="J195" s="857" t="e">
        <f>J193+J194</f>
        <v>#REF!</v>
      </c>
      <c r="K195" s="835"/>
    </row>
    <row r="196" spans="1:11" ht="33.75" customHeight="1">
      <c r="A196" s="754"/>
      <c r="B196" s="1183" t="s">
        <v>702</v>
      </c>
      <c r="C196" s="1009"/>
      <c r="D196" s="1009"/>
      <c r="E196" s="1009"/>
      <c r="F196" s="1009"/>
      <c r="G196" s="1009"/>
      <c r="H196" s="1009"/>
      <c r="I196" s="1009"/>
      <c r="J196" s="1010"/>
      <c r="K196" s="880"/>
    </row>
    <row r="197" spans="1:11" ht="10.5" customHeight="1">
      <c r="A197" s="754"/>
      <c r="B197" s="1184"/>
      <c r="C197" s="1009"/>
      <c r="D197" s="1009"/>
      <c r="E197" s="1009"/>
      <c r="F197" s="1009"/>
      <c r="G197" s="1009"/>
      <c r="H197" s="1009"/>
      <c r="I197" s="1009"/>
      <c r="J197" s="1010"/>
      <c r="K197" s="881"/>
    </row>
    <row r="198" spans="1:11" ht="15.75" customHeight="1">
      <c r="A198" s="754"/>
      <c r="B198" s="882"/>
      <c r="C198" s="760"/>
      <c r="D198" s="760"/>
      <c r="E198" s="760"/>
      <c r="F198" s="760"/>
      <c r="G198" s="760"/>
      <c r="H198" s="760"/>
      <c r="I198" s="883"/>
      <c r="J198" s="884"/>
      <c r="K198" s="883"/>
    </row>
    <row r="199" spans="1:11" ht="15.75" customHeight="1">
      <c r="A199" s="754"/>
      <c r="B199" s="1082" t="s">
        <v>703</v>
      </c>
      <c r="C199" s="1023"/>
      <c r="D199" s="1023"/>
      <c r="E199" s="1023"/>
      <c r="F199" s="1023"/>
      <c r="G199" s="1023"/>
      <c r="H199" s="1023"/>
      <c r="I199" s="1023"/>
      <c r="J199" s="1040"/>
      <c r="K199" s="594"/>
    </row>
    <row r="200" spans="1:11" ht="38.25" customHeight="1">
      <c r="A200" s="754"/>
      <c r="B200" s="1185" t="s">
        <v>704</v>
      </c>
      <c r="C200" s="1009"/>
      <c r="D200" s="1009"/>
      <c r="E200" s="1010"/>
      <c r="F200" s="1185" t="s">
        <v>778</v>
      </c>
      <c r="G200" s="1010"/>
      <c r="H200" s="861" t="s">
        <v>707</v>
      </c>
      <c r="I200" s="1185" t="s">
        <v>708</v>
      </c>
      <c r="J200" s="1010"/>
      <c r="K200" s="763"/>
    </row>
    <row r="201" spans="1:11" ht="39" hidden="1" customHeight="1" outlineLevel="1">
      <c r="A201" s="754"/>
      <c r="B201" s="1178" t="s">
        <v>709</v>
      </c>
      <c r="C201" s="1009"/>
      <c r="D201" s="1009"/>
      <c r="E201" s="1010"/>
      <c r="F201" s="1176">
        <v>0</v>
      </c>
      <c r="G201" s="1010"/>
      <c r="H201" s="885">
        <f t="shared" ref="H201:H202" si="5">E201*F201</f>
        <v>0</v>
      </c>
      <c r="I201" s="1176">
        <f t="shared" ref="I201:I203" si="6">F201*H201</f>
        <v>0</v>
      </c>
      <c r="J201" s="1010"/>
      <c r="K201" s="886"/>
    </row>
    <row r="202" spans="1:11" ht="39" hidden="1" customHeight="1" outlineLevel="1">
      <c r="A202" s="754"/>
      <c r="B202" s="1178" t="s">
        <v>710</v>
      </c>
      <c r="C202" s="1009"/>
      <c r="D202" s="1009"/>
      <c r="E202" s="1010"/>
      <c r="F202" s="1176">
        <v>0</v>
      </c>
      <c r="G202" s="1010"/>
      <c r="H202" s="885">
        <f t="shared" si="5"/>
        <v>0</v>
      </c>
      <c r="I202" s="1176">
        <f t="shared" si="6"/>
        <v>0</v>
      </c>
      <c r="J202" s="1010"/>
      <c r="K202" s="886"/>
    </row>
    <row r="203" spans="1:11" ht="39" customHeight="1" collapsed="1">
      <c r="A203" s="754"/>
      <c r="B203" s="1179" t="str">
        <f>B3</f>
        <v>A NÃO TEM MAIS POSTOS-44</v>
      </c>
      <c r="C203" s="1009"/>
      <c r="D203" s="1009"/>
      <c r="E203" s="1010"/>
      <c r="F203" s="1180" t="e">
        <f>J195</f>
        <v>#REF!</v>
      </c>
      <c r="G203" s="1010"/>
      <c r="H203" s="885">
        <f>I17</f>
        <v>0</v>
      </c>
      <c r="I203" s="1176" t="e">
        <f t="shared" si="6"/>
        <v>#REF!</v>
      </c>
      <c r="J203" s="1010"/>
      <c r="K203" s="886"/>
    </row>
    <row r="204" spans="1:11" ht="39" hidden="1" customHeight="1" outlineLevel="1">
      <c r="A204" s="754"/>
      <c r="B204" s="1178" t="s">
        <v>711</v>
      </c>
      <c r="C204" s="1009"/>
      <c r="D204" s="1009"/>
      <c r="E204" s="1010"/>
      <c r="F204" s="1180">
        <v>0</v>
      </c>
      <c r="G204" s="1010"/>
      <c r="H204" s="885">
        <f t="shared" ref="H204:I204" si="7">E204*G204</f>
        <v>0</v>
      </c>
      <c r="I204" s="1176">
        <f t="shared" si="7"/>
        <v>0</v>
      </c>
      <c r="J204" s="1010"/>
      <c r="K204" s="886"/>
    </row>
    <row r="205" spans="1:11" ht="39" hidden="1" customHeight="1" outlineLevel="1">
      <c r="A205" s="754"/>
      <c r="B205" s="1178" t="s">
        <v>712</v>
      </c>
      <c r="C205" s="1009"/>
      <c r="D205" s="1009"/>
      <c r="E205" s="1010"/>
      <c r="F205" s="1180">
        <v>0</v>
      </c>
      <c r="G205" s="1010"/>
      <c r="H205" s="885">
        <f t="shared" ref="H205:I205" si="8">E205*G205</f>
        <v>0</v>
      </c>
      <c r="I205" s="1176">
        <f t="shared" si="8"/>
        <v>0</v>
      </c>
      <c r="J205" s="1010"/>
      <c r="K205" s="886"/>
    </row>
    <row r="206" spans="1:11" ht="15.75" hidden="1" customHeight="1" outlineLevel="1">
      <c r="A206" s="754"/>
      <c r="B206" s="1203" t="s">
        <v>1075</v>
      </c>
      <c r="C206" s="1009"/>
      <c r="D206" s="1009"/>
      <c r="E206" s="1010"/>
      <c r="F206" s="1176">
        <v>0</v>
      </c>
      <c r="G206" s="1010"/>
      <c r="H206" s="885">
        <f t="shared" ref="H206:I206" si="9">E206*G206</f>
        <v>0</v>
      </c>
      <c r="I206" s="1176">
        <f t="shared" si="9"/>
        <v>0</v>
      </c>
      <c r="J206" s="1010"/>
      <c r="K206" s="886"/>
    </row>
    <row r="207" spans="1:11" ht="15.75" customHeight="1" collapsed="1">
      <c r="A207" s="754"/>
      <c r="B207" s="1188" t="s">
        <v>714</v>
      </c>
      <c r="C207" s="1009"/>
      <c r="D207" s="1009"/>
      <c r="E207" s="1009"/>
      <c r="F207" s="1009"/>
      <c r="G207" s="1010"/>
      <c r="H207" s="887">
        <f>SUM(H201:H206)</f>
        <v>0</v>
      </c>
      <c r="I207" s="1177" t="e">
        <f>SUM(I201:J206)</f>
        <v>#REF!</v>
      </c>
      <c r="J207" s="1010"/>
      <c r="K207" s="888"/>
    </row>
    <row r="208" spans="1:11" ht="6" customHeight="1">
      <c r="A208" s="754"/>
      <c r="B208" s="1189"/>
      <c r="C208" s="1092"/>
      <c r="D208" s="1092"/>
      <c r="E208" s="1092"/>
      <c r="F208" s="1092"/>
      <c r="G208" s="1092"/>
      <c r="H208" s="1092"/>
      <c r="I208" s="1092"/>
      <c r="J208" s="1093"/>
      <c r="K208" s="844"/>
    </row>
    <row r="209" spans="1:11" ht="15.75" customHeight="1">
      <c r="A209" s="754"/>
      <c r="B209" s="1190" t="s">
        <v>715</v>
      </c>
      <c r="C209" s="1060"/>
      <c r="D209" s="1060"/>
      <c r="E209" s="1060"/>
      <c r="F209" s="1060"/>
      <c r="G209" s="1060"/>
      <c r="H209" s="1060"/>
      <c r="I209" s="1060"/>
      <c r="J209" s="1062"/>
      <c r="K209" s="766"/>
    </row>
    <row r="210" spans="1:11" ht="6" customHeight="1">
      <c r="A210" s="754"/>
      <c r="B210" s="1194"/>
      <c r="C210" s="1009"/>
      <c r="D210" s="1009"/>
      <c r="E210" s="1009"/>
      <c r="F210" s="1009"/>
      <c r="G210" s="1009"/>
      <c r="H210" s="1009"/>
      <c r="I210" s="1009"/>
      <c r="J210" s="1010"/>
      <c r="K210" s="889"/>
    </row>
    <row r="211" spans="1:11" ht="15.75" customHeight="1">
      <c r="A211" s="754"/>
      <c r="B211" s="1191" t="s">
        <v>716</v>
      </c>
      <c r="C211" s="1009"/>
      <c r="D211" s="1009"/>
      <c r="E211" s="1009"/>
      <c r="F211" s="1009"/>
      <c r="G211" s="1010"/>
      <c r="H211" s="1195" t="e">
        <f>$I$207</f>
        <v>#REF!</v>
      </c>
      <c r="I211" s="1009"/>
      <c r="J211" s="1010"/>
      <c r="K211" s="890"/>
    </row>
    <row r="212" spans="1:11" ht="6" customHeight="1">
      <c r="A212" s="754"/>
      <c r="B212" s="1196"/>
      <c r="C212" s="1015"/>
      <c r="D212" s="1015"/>
      <c r="E212" s="1015"/>
      <c r="F212" s="1015"/>
      <c r="G212" s="1015"/>
      <c r="H212" s="1015"/>
      <c r="I212" s="1015"/>
      <c r="J212" s="1075"/>
      <c r="K212" s="891"/>
    </row>
    <row r="213" spans="1:11" ht="15.75" customHeight="1">
      <c r="A213" s="754"/>
      <c r="B213" s="1191" t="s">
        <v>717</v>
      </c>
      <c r="C213" s="1009"/>
      <c r="D213" s="1009"/>
      <c r="E213" s="1009"/>
      <c r="F213" s="1009"/>
      <c r="G213" s="1010"/>
      <c r="H213" s="1197">
        <f>$I$11</f>
        <v>30</v>
      </c>
      <c r="I213" s="1009"/>
      <c r="J213" s="1010"/>
      <c r="K213" s="892"/>
    </row>
    <row r="214" spans="1:11" ht="6" customHeight="1">
      <c r="A214" s="754"/>
      <c r="B214" s="1198"/>
      <c r="C214" s="1009"/>
      <c r="D214" s="1009"/>
      <c r="E214" s="1009"/>
      <c r="F214" s="1009"/>
      <c r="G214" s="1009"/>
      <c r="H214" s="1009"/>
      <c r="I214" s="1009"/>
      <c r="J214" s="1010"/>
      <c r="K214" s="893"/>
    </row>
    <row r="215" spans="1:11" ht="15.75" customHeight="1">
      <c r="A215" s="754"/>
      <c r="B215" s="1191" t="s">
        <v>1076</v>
      </c>
      <c r="C215" s="1009"/>
      <c r="D215" s="1009"/>
      <c r="E215" s="1009"/>
      <c r="F215" s="1009"/>
      <c r="G215" s="1010"/>
      <c r="H215" s="1192" t="e">
        <f>ROUND(H211*H213,2)</f>
        <v>#REF!</v>
      </c>
      <c r="I215" s="1009"/>
      <c r="J215" s="1010"/>
      <c r="K215" s="894"/>
    </row>
    <row r="216" spans="1:11" ht="6" customHeight="1">
      <c r="A216" s="754"/>
      <c r="B216" s="1193"/>
      <c r="C216" s="1009"/>
      <c r="D216" s="1009"/>
      <c r="E216" s="1009"/>
      <c r="F216" s="1009"/>
      <c r="G216" s="1009"/>
      <c r="H216" s="1009"/>
      <c r="I216" s="1009"/>
      <c r="J216" s="1010"/>
      <c r="K216" s="760"/>
    </row>
    <row r="217" spans="1:11" ht="15.75" customHeight="1">
      <c r="A217" s="754"/>
      <c r="B217" s="754"/>
      <c r="C217" s="754"/>
      <c r="D217" s="754"/>
      <c r="E217" s="754"/>
      <c r="F217" s="754"/>
      <c r="G217" s="754"/>
      <c r="H217" s="754"/>
      <c r="I217" s="754"/>
      <c r="J217" s="754"/>
      <c r="K217" s="754"/>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C96:H96"/>
    <mergeCell ref="C149:I149"/>
    <mergeCell ref="B150:I150"/>
    <mergeCell ref="B151:J151"/>
    <mergeCell ref="B152:J152"/>
    <mergeCell ref="C153:I153"/>
    <mergeCell ref="C154:I154"/>
    <mergeCell ref="C155:I155"/>
    <mergeCell ref="C156:I156"/>
    <mergeCell ref="B86:H86"/>
    <mergeCell ref="B88:J88"/>
    <mergeCell ref="B89:J89"/>
    <mergeCell ref="B90:J90"/>
    <mergeCell ref="C91:I91"/>
    <mergeCell ref="C92:H92"/>
    <mergeCell ref="C93:H93"/>
    <mergeCell ref="C94:H94"/>
    <mergeCell ref="C95:H95"/>
    <mergeCell ref="C77:H77"/>
    <mergeCell ref="C78:H78"/>
    <mergeCell ref="C79:H79"/>
    <mergeCell ref="C80:D80"/>
    <mergeCell ref="C81:H81"/>
    <mergeCell ref="C82:H82"/>
    <mergeCell ref="C83:H83"/>
    <mergeCell ref="C84:H84"/>
    <mergeCell ref="C85:H85"/>
    <mergeCell ref="C98:H98"/>
    <mergeCell ref="C99:H99"/>
    <mergeCell ref="C100:H100"/>
    <mergeCell ref="C101:I101"/>
    <mergeCell ref="C102:I102"/>
    <mergeCell ref="C103:I103"/>
    <mergeCell ref="C104:I104"/>
    <mergeCell ref="C105:I105"/>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46:H46"/>
    <mergeCell ref="C47:F47"/>
    <mergeCell ref="C48:E48"/>
    <mergeCell ref="F48:H48"/>
    <mergeCell ref="C49:H49"/>
    <mergeCell ref="C50:F50"/>
    <mergeCell ref="G50:H50"/>
    <mergeCell ref="C51:E51"/>
    <mergeCell ref="C52:I52"/>
    <mergeCell ref="C53:I53"/>
    <mergeCell ref="C54:E54"/>
    <mergeCell ref="C55:E55"/>
    <mergeCell ref="C56:I56"/>
    <mergeCell ref="C57:I57"/>
    <mergeCell ref="B58:I58"/>
    <mergeCell ref="C59:I59"/>
    <mergeCell ref="C60:I60"/>
    <mergeCell ref="B61:I61"/>
    <mergeCell ref="B62:J62"/>
    <mergeCell ref="B63:I63"/>
    <mergeCell ref="B64:J64"/>
    <mergeCell ref="B65:J65"/>
    <mergeCell ref="B66:J66"/>
    <mergeCell ref="B67:J67"/>
    <mergeCell ref="B68:J68"/>
    <mergeCell ref="C69:I69"/>
    <mergeCell ref="C70:H70"/>
    <mergeCell ref="C71:H71"/>
    <mergeCell ref="B72:I72"/>
    <mergeCell ref="B73:J73"/>
    <mergeCell ref="B74:J74"/>
    <mergeCell ref="B75:J75"/>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144:I144"/>
    <mergeCell ref="B145:J145"/>
    <mergeCell ref="B146:J146"/>
    <mergeCell ref="C147:I147"/>
    <mergeCell ref="C148:I148"/>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208:J208"/>
    <mergeCell ref="B209:J209"/>
    <mergeCell ref="B215:G215"/>
    <mergeCell ref="H215:J215"/>
    <mergeCell ref="B216:J216"/>
    <mergeCell ref="B210:J210"/>
    <mergeCell ref="B211:G211"/>
    <mergeCell ref="H211:J211"/>
    <mergeCell ref="B212:J212"/>
    <mergeCell ref="B213:G213"/>
    <mergeCell ref="H213:J213"/>
    <mergeCell ref="B214:J214"/>
    <mergeCell ref="B185:J185"/>
    <mergeCell ref="B186:J186"/>
    <mergeCell ref="B187:I187"/>
    <mergeCell ref="C188:I188"/>
    <mergeCell ref="C189:I189"/>
    <mergeCell ref="C190:I190"/>
    <mergeCell ref="C191:I191"/>
    <mergeCell ref="C192:I192"/>
    <mergeCell ref="B193:I193"/>
    <mergeCell ref="C194:I194"/>
    <mergeCell ref="B195:I195"/>
    <mergeCell ref="B196:J196"/>
    <mergeCell ref="B197:J197"/>
    <mergeCell ref="B199:J199"/>
    <mergeCell ref="B200:E200"/>
    <mergeCell ref="F200:G200"/>
    <mergeCell ref="I200:J200"/>
    <mergeCell ref="B201:E201"/>
    <mergeCell ref="F201:G201"/>
    <mergeCell ref="I201:J201"/>
    <mergeCell ref="I203:J203"/>
    <mergeCell ref="I204:J204"/>
    <mergeCell ref="I205:J205"/>
    <mergeCell ref="I206:J206"/>
    <mergeCell ref="I207:J207"/>
    <mergeCell ref="B202:E202"/>
    <mergeCell ref="F202:G202"/>
    <mergeCell ref="I202:J202"/>
    <mergeCell ref="B203:E203"/>
    <mergeCell ref="F203:G203"/>
    <mergeCell ref="B204:E204"/>
    <mergeCell ref="F204:G204"/>
    <mergeCell ref="B207:G207"/>
  </mergeCells>
  <conditionalFormatting sqref="I49:I50">
    <cfRule type="cellIs" dxfId="11" priority="1" operator="equal">
      <formula>0</formula>
    </cfRule>
  </conditionalFormatting>
  <conditionalFormatting sqref="I48">
    <cfRule type="cellIs" dxfId="10" priority="2" operator="equal">
      <formula>0</formula>
    </cfRule>
  </conditionalFormatting>
  <pageMargins left="0.511811024" right="0.511811024" top="0.78740157499999996" bottom="0.78740157499999996" header="0" footer="0"/>
  <pageSetup orientation="landscape"/>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3FB25"/>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4.85546875" customWidth="1"/>
    <col min="8" max="8" width="14.42578125" customWidth="1"/>
    <col min="9" max="9" width="11.28515625" customWidth="1"/>
    <col min="10" max="10" width="18.5703125" customWidth="1"/>
    <col min="11" max="11" width="1.42578125" customWidth="1"/>
  </cols>
  <sheetData>
    <row r="1" spans="1:11" ht="11.25" customHeight="1">
      <c r="A1" s="754"/>
      <c r="B1" s="754"/>
      <c r="C1" s="754"/>
      <c r="D1" s="754"/>
      <c r="E1" s="754"/>
      <c r="F1" s="754"/>
      <c r="G1" s="754"/>
      <c r="H1" s="754"/>
      <c r="I1" s="754"/>
      <c r="J1" s="755"/>
      <c r="K1" s="754"/>
    </row>
    <row r="2" spans="1:11" ht="11.25" customHeight="1">
      <c r="A2" s="754"/>
      <c r="B2" s="1245" t="str">
        <f>'1-ABA-DE-CARREGAMENTO'!C11</f>
        <v xml:space="preserve"> S E R V I Ç O S     -   REFEITORIO_×_JARDINAGEM</v>
      </c>
      <c r="C2" s="1130"/>
      <c r="D2" s="1130"/>
      <c r="E2" s="1130"/>
      <c r="F2" s="1130"/>
      <c r="G2" s="1130"/>
      <c r="H2" s="1130"/>
      <c r="I2" s="1130"/>
      <c r="J2" s="1128"/>
      <c r="K2" s="756"/>
    </row>
    <row r="3" spans="1:11" ht="11.25" customHeight="1">
      <c r="A3" s="754"/>
      <c r="B3" s="1246" t="str">
        <f>'1-ABA-DE-CARREGAMENTO'!J33</f>
        <v>A NÃO TEM MAIS POSTOS-55</v>
      </c>
      <c r="C3" s="1060"/>
      <c r="D3" s="1060"/>
      <c r="E3" s="1060"/>
      <c r="F3" s="1060"/>
      <c r="G3" s="1060"/>
      <c r="H3" s="1060"/>
      <c r="I3" s="1060"/>
      <c r="J3" s="1062"/>
      <c r="K3" s="757"/>
    </row>
    <row r="4" spans="1:11" ht="11.25" customHeight="1">
      <c r="A4" s="754"/>
      <c r="B4" s="1247" t="s">
        <v>511</v>
      </c>
      <c r="C4" s="1060"/>
      <c r="D4" s="1060"/>
      <c r="E4" s="1060"/>
      <c r="F4" s="1062"/>
      <c r="G4" s="1248">
        <f>'1-ABA-DE-CARREGAMENTO'!C12</f>
        <v>0</v>
      </c>
      <c r="H4" s="1060"/>
      <c r="I4" s="1060"/>
      <c r="J4" s="1062"/>
      <c r="K4" s="758"/>
    </row>
    <row r="5" spans="1:11" ht="11.25" customHeight="1">
      <c r="A5" s="754"/>
      <c r="B5" s="1178" t="s">
        <v>512</v>
      </c>
      <c r="C5" s="1009"/>
      <c r="D5" s="1009"/>
      <c r="E5" s="1009"/>
      <c r="F5" s="1010"/>
      <c r="G5" s="1249">
        <f>'1-ABA-DE-CARREGAMENTO'!C13</f>
        <v>0</v>
      </c>
      <c r="H5" s="1009"/>
      <c r="I5" s="1009"/>
      <c r="J5" s="1010"/>
      <c r="K5" s="758"/>
    </row>
    <row r="6" spans="1:11" ht="11.25" customHeight="1">
      <c r="A6" s="754"/>
      <c r="B6" s="1250">
        <f>'1-ABA-DE-CARREGAMENTO'!C16</f>
        <v>0</v>
      </c>
      <c r="C6" s="1009"/>
      <c r="D6" s="1009"/>
      <c r="E6" s="1009"/>
      <c r="F6" s="1009"/>
      <c r="G6" s="1009"/>
      <c r="H6" s="1009"/>
      <c r="I6" s="1009"/>
      <c r="J6" s="1010"/>
      <c r="K6" s="760"/>
    </row>
    <row r="7" spans="1:11" ht="11.25" customHeight="1">
      <c r="A7" s="754"/>
      <c r="B7" s="1086" t="s">
        <v>513</v>
      </c>
      <c r="C7" s="1009"/>
      <c r="D7" s="1009"/>
      <c r="E7" s="1009"/>
      <c r="F7" s="1009"/>
      <c r="G7" s="1009"/>
      <c r="H7" s="1009"/>
      <c r="I7" s="1009"/>
      <c r="J7" s="1010"/>
      <c r="K7" s="594"/>
    </row>
    <row r="8" spans="1:11" ht="11.25" customHeight="1">
      <c r="A8" s="754"/>
      <c r="B8" s="761" t="s">
        <v>514</v>
      </c>
      <c r="C8" s="1178" t="s">
        <v>515</v>
      </c>
      <c r="D8" s="1009"/>
      <c r="E8" s="1009"/>
      <c r="F8" s="1009"/>
      <c r="G8" s="1009"/>
      <c r="H8" s="1010"/>
      <c r="I8" s="1251">
        <f>'1-ABA-DE-CARREGAMENTO'!C16</f>
        <v>0</v>
      </c>
      <c r="J8" s="1010"/>
      <c r="K8" s="762"/>
    </row>
    <row r="9" spans="1:11" ht="11.25" customHeight="1">
      <c r="A9" s="754"/>
      <c r="B9" s="761" t="s">
        <v>516</v>
      </c>
      <c r="C9" s="1178" t="s">
        <v>517</v>
      </c>
      <c r="D9" s="1009"/>
      <c r="E9" s="1009"/>
      <c r="F9" s="1009"/>
      <c r="G9" s="1009"/>
      <c r="H9" s="1010"/>
      <c r="I9" s="1249" t="str">
        <f>'1-ABA-DE-CARREGAMENTO'!C14</f>
        <v xml:space="preserve">JULIO-DE-CASTILHOS </v>
      </c>
      <c r="J9" s="1010"/>
      <c r="K9" s="758"/>
    </row>
    <row r="10" spans="1:11" ht="11.25" customHeight="1">
      <c r="A10" s="754"/>
      <c r="B10" s="761" t="s">
        <v>518</v>
      </c>
      <c r="C10" s="1178" t="s">
        <v>519</v>
      </c>
      <c r="D10" s="1009"/>
      <c r="E10" s="1009"/>
      <c r="F10" s="1009"/>
      <c r="G10" s="1009"/>
      <c r="H10" s="1010"/>
      <c r="I10" s="1249" t="str">
        <f>VLOOKUP('1-ABA-DE-CARREGAMENTO'!J35,'DADOS-CADASTRAIS'!C6:J16,1,0)</f>
        <v>RS000947/2019-</v>
      </c>
      <c r="J10" s="1010"/>
      <c r="K10" s="758"/>
    </row>
    <row r="11" spans="1:11" ht="11.25" customHeight="1">
      <c r="A11" s="754"/>
      <c r="B11" s="761" t="s">
        <v>520</v>
      </c>
      <c r="C11" s="1178" t="s">
        <v>521</v>
      </c>
      <c r="D11" s="1009"/>
      <c r="E11" s="1009"/>
      <c r="F11" s="1009"/>
      <c r="G11" s="1009"/>
      <c r="H11" s="1010"/>
      <c r="I11" s="1240">
        <f>'1-ABA-DE-CARREGAMENTO'!J94</f>
        <v>30</v>
      </c>
      <c r="J11" s="1010"/>
      <c r="K11" s="758"/>
    </row>
    <row r="12" spans="1:11" ht="11.25" customHeight="1">
      <c r="A12" s="754"/>
      <c r="B12" s="1140" t="s">
        <v>522</v>
      </c>
      <c r="C12" s="1009"/>
      <c r="D12" s="1009"/>
      <c r="E12" s="1009"/>
      <c r="F12" s="1009"/>
      <c r="G12" s="1009"/>
      <c r="H12" s="1009"/>
      <c r="I12" s="1009"/>
      <c r="J12" s="1010"/>
      <c r="K12" s="592"/>
    </row>
    <row r="13" spans="1:11" ht="33.75" customHeight="1">
      <c r="A13" s="754"/>
      <c r="B13" s="1185" t="str">
        <f>'1-ABA-DE-CARREGAMENTO'!C11</f>
        <v xml:space="preserve"> S E R V I Ç O S     -   REFEITORIO_×_JARDINAGEM</v>
      </c>
      <c r="C13" s="1009"/>
      <c r="D13" s="1009"/>
      <c r="E13" s="1009"/>
      <c r="F13" s="1030"/>
      <c r="G13" s="1185" t="s">
        <v>523</v>
      </c>
      <c r="H13" s="1010"/>
      <c r="I13" s="1185" t="s">
        <v>524</v>
      </c>
      <c r="J13" s="1010"/>
      <c r="K13" s="763"/>
    </row>
    <row r="14" spans="1:11" ht="11.25" hidden="1" customHeight="1" outlineLevel="1">
      <c r="A14" s="754"/>
      <c r="B14" s="1241" t="s">
        <v>525</v>
      </c>
      <c r="C14" s="1009"/>
      <c r="D14" s="1009"/>
      <c r="E14" s="1009"/>
      <c r="F14" s="1010"/>
      <c r="G14" s="1242" t="s">
        <v>526</v>
      </c>
      <c r="H14" s="1010"/>
      <c r="I14" s="1243" t="s">
        <v>527</v>
      </c>
      <c r="J14" s="1010"/>
      <c r="K14" s="764"/>
    </row>
    <row r="15" spans="1:11" ht="11.25" hidden="1" customHeight="1" outlineLevel="1">
      <c r="A15" s="754"/>
      <c r="B15" s="1241" t="s">
        <v>528</v>
      </c>
      <c r="C15" s="1009"/>
      <c r="D15" s="1009"/>
      <c r="E15" s="1009"/>
      <c r="F15" s="1010"/>
      <c r="G15" s="1242" t="s">
        <v>526</v>
      </c>
      <c r="H15" s="1010"/>
      <c r="I15" s="1243" t="s">
        <v>527</v>
      </c>
      <c r="J15" s="1010"/>
      <c r="K15" s="764"/>
    </row>
    <row r="16" spans="1:11" ht="11.25" hidden="1" customHeight="1" outlineLevel="1">
      <c r="A16" s="754"/>
      <c r="B16" s="1241" t="s">
        <v>529</v>
      </c>
      <c r="C16" s="1009"/>
      <c r="D16" s="1009"/>
      <c r="E16" s="1009"/>
      <c r="F16" s="1010"/>
      <c r="G16" s="1242" t="s">
        <v>526</v>
      </c>
      <c r="H16" s="1010"/>
      <c r="I16" s="1243" t="s">
        <v>527</v>
      </c>
      <c r="J16" s="1010"/>
      <c r="K16" s="764"/>
    </row>
    <row r="17" spans="1:11" ht="11.25" customHeight="1" collapsed="1">
      <c r="A17" s="754"/>
      <c r="B17" s="1241" t="str">
        <f>B3</f>
        <v>A NÃO TEM MAIS POSTOS-55</v>
      </c>
      <c r="C17" s="1009"/>
      <c r="D17" s="1009"/>
      <c r="E17" s="1009"/>
      <c r="F17" s="1010"/>
      <c r="G17" s="1242" t="s">
        <v>526</v>
      </c>
      <c r="H17" s="1010"/>
      <c r="I17" s="1243">
        <f>'1-ABA-DE-CARREGAMENTO'!J92</f>
        <v>0</v>
      </c>
      <c r="J17" s="1010"/>
      <c r="K17" s="764"/>
    </row>
    <row r="18" spans="1:11" ht="11.25" hidden="1" customHeight="1" outlineLevel="1">
      <c r="A18" s="754"/>
      <c r="B18" s="1241" t="s">
        <v>530</v>
      </c>
      <c r="C18" s="1009"/>
      <c r="D18" s="1009"/>
      <c r="E18" s="1009"/>
      <c r="F18" s="1010"/>
      <c r="G18" s="1242" t="s">
        <v>526</v>
      </c>
      <c r="H18" s="1010"/>
      <c r="I18" s="1243" t="s">
        <v>527</v>
      </c>
      <c r="J18" s="1010"/>
      <c r="K18" s="764"/>
    </row>
    <row r="19" spans="1:11" ht="11.25" hidden="1" customHeight="1" outlineLevel="1">
      <c r="A19" s="754"/>
      <c r="B19" s="1241" t="s">
        <v>1077</v>
      </c>
      <c r="C19" s="1009"/>
      <c r="D19" s="1009"/>
      <c r="E19" s="1009"/>
      <c r="F19" s="1010"/>
      <c r="G19" s="1242" t="s">
        <v>526</v>
      </c>
      <c r="H19" s="1010"/>
      <c r="I19" s="1243" t="s">
        <v>527</v>
      </c>
      <c r="J19" s="1010"/>
      <c r="K19" s="764"/>
    </row>
    <row r="20" spans="1:11" ht="11.25" customHeight="1" collapsed="1">
      <c r="A20" s="754"/>
      <c r="B20" s="1254" t="s">
        <v>532</v>
      </c>
      <c r="C20" s="1009"/>
      <c r="D20" s="1009"/>
      <c r="E20" s="1009"/>
      <c r="F20" s="1009"/>
      <c r="G20" s="1009"/>
      <c r="H20" s="1010"/>
      <c r="I20" s="1253">
        <f>SUM(I14:I19)</f>
        <v>0</v>
      </c>
      <c r="J20" s="1010"/>
      <c r="K20" s="765"/>
    </row>
    <row r="21" spans="1:11" ht="11.25" customHeight="1">
      <c r="A21" s="754"/>
      <c r="B21" s="1220"/>
      <c r="C21" s="1009"/>
      <c r="D21" s="1009"/>
      <c r="E21" s="1009"/>
      <c r="F21" s="1009"/>
      <c r="G21" s="1009"/>
      <c r="H21" s="1009"/>
      <c r="I21" s="1009"/>
      <c r="J21" s="1010"/>
      <c r="K21" s="763"/>
    </row>
    <row r="22" spans="1:11" ht="11.25" customHeight="1">
      <c r="A22" s="754"/>
      <c r="B22" s="1211" t="s">
        <v>533</v>
      </c>
      <c r="C22" s="1009"/>
      <c r="D22" s="1009"/>
      <c r="E22" s="1009"/>
      <c r="F22" s="1009"/>
      <c r="G22" s="1009"/>
      <c r="H22" s="1009"/>
      <c r="I22" s="1009"/>
      <c r="J22" s="1010"/>
      <c r="K22" s="766"/>
    </row>
    <row r="23" spans="1:11" ht="11.25" customHeight="1">
      <c r="A23" s="754"/>
      <c r="B23" s="1225"/>
      <c r="C23" s="1009"/>
      <c r="D23" s="1009"/>
      <c r="E23" s="1009"/>
      <c r="F23" s="1009"/>
      <c r="G23" s="1009"/>
      <c r="H23" s="1009"/>
      <c r="I23" s="1009"/>
      <c r="J23" s="1010"/>
      <c r="K23" s="376"/>
    </row>
    <row r="24" spans="1:11" ht="15" customHeight="1">
      <c r="A24" s="754"/>
      <c r="B24" s="1255" t="s">
        <v>1078</v>
      </c>
      <c r="C24" s="1009"/>
      <c r="D24" s="1009"/>
      <c r="E24" s="1009"/>
      <c r="F24" s="1009"/>
      <c r="G24" s="1009"/>
      <c r="H24" s="1009"/>
      <c r="I24" s="1009"/>
      <c r="J24" s="1010"/>
      <c r="K24" s="767"/>
    </row>
    <row r="25" spans="1:11" ht="15" customHeight="1">
      <c r="A25" s="754"/>
      <c r="B25" s="1123"/>
      <c r="C25" s="1009"/>
      <c r="D25" s="1009"/>
      <c r="E25" s="1009"/>
      <c r="F25" s="1009"/>
      <c r="G25" s="1009"/>
      <c r="H25" s="1009"/>
      <c r="I25" s="1009"/>
      <c r="J25" s="1010"/>
      <c r="K25" s="602"/>
    </row>
    <row r="26" spans="1:11" ht="11.25" customHeight="1">
      <c r="A26" s="763"/>
      <c r="B26" s="1086" t="s">
        <v>535</v>
      </c>
      <c r="C26" s="1009"/>
      <c r="D26" s="1009"/>
      <c r="E26" s="1009"/>
      <c r="F26" s="1009"/>
      <c r="G26" s="1009"/>
      <c r="H26" s="1009"/>
      <c r="I26" s="1009"/>
      <c r="J26" s="1010"/>
      <c r="K26" s="594"/>
    </row>
    <row r="27" spans="1:11" ht="28.5" customHeight="1">
      <c r="A27" s="754"/>
      <c r="B27" s="761">
        <v>1</v>
      </c>
      <c r="C27" s="1178" t="s">
        <v>536</v>
      </c>
      <c r="D27" s="1009"/>
      <c r="E27" s="1009"/>
      <c r="F27" s="1009"/>
      <c r="G27" s="1009"/>
      <c r="H27" s="1010"/>
      <c r="I27" s="1256" t="str">
        <f>'1-ABA-DE-CARREGAMENTO'!J33</f>
        <v>A NÃO TEM MAIS POSTOS-55</v>
      </c>
      <c r="J27" s="1010"/>
      <c r="K27" s="768"/>
    </row>
    <row r="28" spans="1:11" ht="11.25" customHeight="1">
      <c r="A28" s="754"/>
      <c r="B28" s="769">
        <v>2</v>
      </c>
      <c r="C28" s="1215" t="s">
        <v>537</v>
      </c>
      <c r="D28" s="1009"/>
      <c r="E28" s="1009"/>
      <c r="F28" s="1009"/>
      <c r="G28" s="1009"/>
      <c r="H28" s="1010"/>
      <c r="I28" s="1257"/>
      <c r="J28" s="1010"/>
      <c r="K28" s="770"/>
    </row>
    <row r="29" spans="1:11" ht="30" customHeight="1">
      <c r="A29" s="754"/>
      <c r="B29" s="761">
        <v>3</v>
      </c>
      <c r="C29" s="1258" t="s">
        <v>538</v>
      </c>
      <c r="D29" s="948"/>
      <c r="E29" s="748">
        <v>220</v>
      </c>
      <c r="F29" s="606">
        <f>'1-ABA-DE-CARREGAMENTO'!J37</f>
        <v>4128.0200000000004</v>
      </c>
      <c r="G29" s="759" t="s">
        <v>539</v>
      </c>
      <c r="H29" s="895">
        <f>'1-ABA-DE-CARREGAMENTO'!J52</f>
        <v>220</v>
      </c>
      <c r="I29" s="1259">
        <f>F29/E29*H29</f>
        <v>4128.0200000000004</v>
      </c>
      <c r="J29" s="1010"/>
      <c r="K29" s="773"/>
    </row>
    <row r="30" spans="1:11" ht="11.25" customHeight="1">
      <c r="A30" s="754"/>
      <c r="B30" s="761">
        <v>4</v>
      </c>
      <c r="C30" s="1178" t="s">
        <v>540</v>
      </c>
      <c r="D30" s="1009"/>
      <c r="E30" s="1009"/>
      <c r="F30" s="1009"/>
      <c r="G30" s="1009"/>
      <c r="H30" s="1010"/>
      <c r="I30" s="1260"/>
      <c r="J30" s="1010"/>
      <c r="K30" s="774"/>
    </row>
    <row r="31" spans="1:11" ht="11.25" customHeight="1">
      <c r="A31" s="754"/>
      <c r="B31" s="761">
        <v>5</v>
      </c>
      <c r="C31" s="1178" t="s">
        <v>541</v>
      </c>
      <c r="D31" s="1009"/>
      <c r="E31" s="1009"/>
      <c r="F31" s="1009"/>
      <c r="G31" s="1009"/>
      <c r="H31" s="1010"/>
      <c r="I31" s="1244" t="str">
        <f>'1-ABA-DE-CARREGAMENTO'!J36</f>
        <v>01 de FEVEREIRO</v>
      </c>
      <c r="J31" s="1010"/>
      <c r="K31" s="775"/>
    </row>
    <row r="32" spans="1:11" ht="12.75" customHeight="1">
      <c r="A32" s="754"/>
      <c r="B32" s="776">
        <v>6</v>
      </c>
      <c r="C32" s="1229" t="s">
        <v>1079</v>
      </c>
      <c r="D32" s="1009"/>
      <c r="E32" s="1009"/>
      <c r="F32" s="1009"/>
      <c r="G32" s="1009"/>
      <c r="H32" s="1010"/>
      <c r="I32" s="1231">
        <f>ROUND(I29/220,2)*0</f>
        <v>0</v>
      </c>
      <c r="J32" s="1010"/>
      <c r="K32" s="777"/>
    </row>
    <row r="33" spans="1:11" ht="26.25" customHeight="1">
      <c r="A33" s="754"/>
      <c r="B33" s="776">
        <v>7</v>
      </c>
      <c r="C33" s="1229" t="s">
        <v>1080</v>
      </c>
      <c r="D33" s="1009"/>
      <c r="E33" s="1009"/>
      <c r="F33" s="1010"/>
      <c r="G33" s="1239"/>
      <c r="H33" s="1010"/>
      <c r="I33" s="1231">
        <f>SUM(J47:J50)/220</f>
        <v>18.763727272727273</v>
      </c>
      <c r="J33" s="1010"/>
      <c r="K33" s="777"/>
    </row>
    <row r="34" spans="1:11" ht="26.25" customHeight="1">
      <c r="A34" s="754"/>
      <c r="B34" s="776">
        <v>8</v>
      </c>
      <c r="C34" s="1229" t="s">
        <v>1081</v>
      </c>
      <c r="D34" s="1009"/>
      <c r="E34" s="1009"/>
      <c r="F34" s="1010"/>
      <c r="G34" s="1239"/>
      <c r="H34" s="1010"/>
      <c r="I34" s="1231">
        <f>TRUNC(I33*1.5,2)*0</f>
        <v>0</v>
      </c>
      <c r="J34" s="1010"/>
      <c r="K34" s="777"/>
    </row>
    <row r="35" spans="1:11" ht="26.25" customHeight="1">
      <c r="A35" s="754"/>
      <c r="B35" s="776">
        <v>9</v>
      </c>
      <c r="C35" s="1229" t="s">
        <v>1082</v>
      </c>
      <c r="D35" s="1009"/>
      <c r="E35" s="1009"/>
      <c r="F35" s="1010"/>
      <c r="G35" s="1239" t="s">
        <v>546</v>
      </c>
      <c r="H35" s="1010"/>
      <c r="I35" s="1275">
        <f>I33*1.5</f>
        <v>28.14559090909091</v>
      </c>
      <c r="J35" s="1010"/>
      <c r="K35" s="778"/>
    </row>
    <row r="36" spans="1:11" ht="26.25" customHeight="1">
      <c r="A36" s="754"/>
      <c r="B36" s="776">
        <v>10</v>
      </c>
      <c r="C36" s="1229" t="s">
        <v>1083</v>
      </c>
      <c r="D36" s="1009"/>
      <c r="E36" s="1009"/>
      <c r="F36" s="1009"/>
      <c r="G36" s="1009"/>
      <c r="H36" s="1010"/>
      <c r="I36" s="1231">
        <f>TRUNC(1.3*I32*0.2,2)</f>
        <v>0</v>
      </c>
      <c r="J36" s="1010"/>
      <c r="K36" s="777"/>
    </row>
    <row r="37" spans="1:11" ht="26.25" customHeight="1">
      <c r="A37" s="754"/>
      <c r="B37" s="776">
        <v>11</v>
      </c>
      <c r="C37" s="1229" t="s">
        <v>1084</v>
      </c>
      <c r="D37" s="1009"/>
      <c r="E37" s="1009"/>
      <c r="F37" s="1009"/>
      <c r="G37" s="1009"/>
      <c r="H37" s="1010"/>
      <c r="I37" s="1231">
        <f>I33*2</f>
        <v>37.527454545454546</v>
      </c>
      <c r="J37" s="1010"/>
      <c r="K37" s="777"/>
    </row>
    <row r="38" spans="1:11" ht="14.25" customHeight="1">
      <c r="A38" s="754"/>
      <c r="B38" s="776">
        <v>12</v>
      </c>
      <c r="C38" s="1229" t="s">
        <v>1085</v>
      </c>
      <c r="D38" s="1009"/>
      <c r="E38" s="1009"/>
      <c r="F38" s="1009"/>
      <c r="G38" s="1009"/>
      <c r="H38" s="1010"/>
      <c r="I38" s="1231">
        <f>I29*'1-ABA-DE-CARREGAMENTO'!D44</f>
        <v>0</v>
      </c>
      <c r="J38" s="1010"/>
      <c r="K38" s="777"/>
    </row>
    <row r="39" spans="1:11" ht="14.25" customHeight="1">
      <c r="A39" s="754"/>
      <c r="B39" s="776">
        <v>13</v>
      </c>
      <c r="C39" s="1229" t="s">
        <v>550</v>
      </c>
      <c r="D39" s="1009"/>
      <c r="E39" s="1009"/>
      <c r="F39" s="1009"/>
      <c r="G39" s="1009"/>
      <c r="H39" s="1010"/>
      <c r="I39" s="1231">
        <f>ROUND(I32/6,2)*1.3</f>
        <v>0</v>
      </c>
      <c r="J39" s="1010"/>
      <c r="K39" s="777"/>
    </row>
    <row r="40" spans="1:11" ht="11.25" customHeight="1">
      <c r="A40" s="754"/>
      <c r="B40" s="776">
        <v>14</v>
      </c>
      <c r="C40" s="1269" t="s">
        <v>551</v>
      </c>
      <c r="D40" s="1009"/>
      <c r="E40" s="1009"/>
      <c r="F40" s="1009"/>
      <c r="G40" s="1009"/>
      <c r="H40" s="1010"/>
      <c r="I40" s="1274">
        <f>'1-ABA-DE-CARREGAMENTO'!J93</f>
        <v>1</v>
      </c>
      <c r="J40" s="1010"/>
      <c r="K40" s="780"/>
    </row>
    <row r="41" spans="1:11" ht="11.25" customHeight="1">
      <c r="A41" s="754"/>
      <c r="B41" s="776">
        <v>15</v>
      </c>
      <c r="C41" s="1269" t="s">
        <v>907</v>
      </c>
      <c r="D41" s="1009"/>
      <c r="E41" s="1009"/>
      <c r="F41" s="1009"/>
      <c r="G41" s="1009"/>
      <c r="H41" s="1010"/>
      <c r="I41" s="1270">
        <f>'1-ABA-DE-CARREGAMENTO'!E42</f>
        <v>1320</v>
      </c>
      <c r="J41" s="1010"/>
      <c r="K41" s="781"/>
    </row>
    <row r="42" spans="1:11" ht="11.25" customHeight="1">
      <c r="A42" s="754"/>
      <c r="B42" s="1225"/>
      <c r="C42" s="1009"/>
      <c r="D42" s="1009"/>
      <c r="E42" s="1009"/>
      <c r="F42" s="1009"/>
      <c r="G42" s="1009"/>
      <c r="H42" s="1009"/>
      <c r="I42" s="1009"/>
      <c r="J42" s="1010"/>
      <c r="K42" s="376"/>
    </row>
    <row r="43" spans="1:11" ht="24" customHeight="1">
      <c r="A43" s="754"/>
      <c r="B43" s="1214" t="s">
        <v>553</v>
      </c>
      <c r="C43" s="1009"/>
      <c r="D43" s="1009"/>
      <c r="E43" s="1009"/>
      <c r="F43" s="1009"/>
      <c r="G43" s="1009"/>
      <c r="H43" s="1009"/>
      <c r="I43" s="1009"/>
      <c r="J43" s="1010"/>
      <c r="K43" s="782"/>
    </row>
    <row r="44" spans="1:11" ht="14.25" customHeight="1">
      <c r="A44" s="754"/>
      <c r="B44" s="1226"/>
      <c r="C44" s="1009"/>
      <c r="D44" s="1009"/>
      <c r="E44" s="1009"/>
      <c r="F44" s="1009"/>
      <c r="G44" s="1009"/>
      <c r="H44" s="1009"/>
      <c r="I44" s="1009"/>
      <c r="J44" s="1010"/>
      <c r="K44" s="783"/>
    </row>
    <row r="45" spans="1:11" ht="11.25" customHeight="1">
      <c r="A45" s="754"/>
      <c r="B45" s="1227" t="s">
        <v>554</v>
      </c>
      <c r="C45" s="1009"/>
      <c r="D45" s="1009"/>
      <c r="E45" s="1009"/>
      <c r="F45" s="1009"/>
      <c r="G45" s="1009"/>
      <c r="H45" s="1009"/>
      <c r="I45" s="1009"/>
      <c r="J45" s="1010"/>
      <c r="K45" s="784"/>
    </row>
    <row r="46" spans="1:11" ht="11.25" customHeight="1">
      <c r="A46" s="785"/>
      <c r="B46" s="622">
        <v>1</v>
      </c>
      <c r="C46" s="1083" t="s">
        <v>555</v>
      </c>
      <c r="D46" s="1009"/>
      <c r="E46" s="1009"/>
      <c r="F46" s="1009"/>
      <c r="G46" s="1009"/>
      <c r="H46" s="1010"/>
      <c r="I46" s="786" t="s">
        <v>556</v>
      </c>
      <c r="J46" s="622" t="s">
        <v>557</v>
      </c>
      <c r="K46" s="592"/>
    </row>
    <row r="47" spans="1:11" ht="12.75" customHeight="1">
      <c r="A47" s="754"/>
      <c r="B47" s="761" t="s">
        <v>514</v>
      </c>
      <c r="C47" s="1178" t="s">
        <v>558</v>
      </c>
      <c r="D47" s="1009"/>
      <c r="E47" s="1009"/>
      <c r="F47" s="1010"/>
      <c r="G47" s="787" t="s">
        <v>185</v>
      </c>
      <c r="H47" s="788">
        <f>'1-ABA-DE-CARREGAMENTO'!J52</f>
        <v>220</v>
      </c>
      <c r="I47" s="787"/>
      <c r="J47" s="789">
        <f>I29*I40</f>
        <v>4128.0200000000004</v>
      </c>
      <c r="K47" s="790"/>
    </row>
    <row r="48" spans="1:11" ht="11.25" customHeight="1">
      <c r="A48" s="754"/>
      <c r="B48" s="761" t="s">
        <v>516</v>
      </c>
      <c r="C48" s="1178" t="s">
        <v>790</v>
      </c>
      <c r="D48" s="1009"/>
      <c r="E48" s="1009"/>
      <c r="F48" s="1228" t="str">
        <f>'1-ABA-DE-CARREGAMENTO'!J38</f>
        <v>SEM ADICIONAL DE FUNÇÃO</v>
      </c>
      <c r="G48" s="1009"/>
      <c r="H48" s="1010"/>
      <c r="I48" s="791">
        <f>'1-ABA-DE-CARREGAMENTO'!J39</f>
        <v>0</v>
      </c>
      <c r="J48" s="789">
        <f>J47*I48</f>
        <v>0</v>
      </c>
      <c r="K48" s="790"/>
    </row>
    <row r="49" spans="1:11" ht="25.5" customHeight="1">
      <c r="A49" s="754"/>
      <c r="B49" s="761" t="s">
        <v>518</v>
      </c>
      <c r="C49" s="1178" t="s">
        <v>1086</v>
      </c>
      <c r="D49" s="1009"/>
      <c r="E49" s="1009"/>
      <c r="F49" s="1009"/>
      <c r="G49" s="1009"/>
      <c r="H49" s="1010"/>
      <c r="I49" s="792">
        <f>'1-ABA-DE-CARREGAMENTO'!J44</f>
        <v>0</v>
      </c>
      <c r="J49" s="789">
        <f>ROUND(J47*I49,2)</f>
        <v>0</v>
      </c>
      <c r="K49" s="790"/>
    </row>
    <row r="50" spans="1:11" ht="18.75" customHeight="1">
      <c r="A50" s="754"/>
      <c r="B50" s="761" t="s">
        <v>520</v>
      </c>
      <c r="C50" s="1178" t="s">
        <v>1087</v>
      </c>
      <c r="D50" s="1009"/>
      <c r="E50" s="1009"/>
      <c r="F50" s="1009"/>
      <c r="G50" s="1228" t="str">
        <f>'1-ABA-DE-CARREGAMENTO'!J40</f>
        <v>SEM ADICIONAL DE RISCO</v>
      </c>
      <c r="H50" s="1010"/>
      <c r="I50" s="896">
        <f>'1-ABA-DE-CARREGAMENTO'!J41</f>
        <v>0</v>
      </c>
      <c r="J50" s="789">
        <f>ROUND(I50*I41,2)</f>
        <v>0</v>
      </c>
      <c r="K50" s="790"/>
    </row>
    <row r="51" spans="1:11" ht="29.25" customHeight="1">
      <c r="A51" s="754"/>
      <c r="B51" s="761" t="s">
        <v>562</v>
      </c>
      <c r="C51" s="1178" t="s">
        <v>1088</v>
      </c>
      <c r="D51" s="1009"/>
      <c r="E51" s="1009"/>
      <c r="F51" s="1009"/>
      <c r="G51" s="1009"/>
      <c r="H51" s="1009"/>
      <c r="I51" s="1010"/>
      <c r="J51" s="789">
        <f>ROUND(2*8*15*I36,2)*0</f>
        <v>0</v>
      </c>
      <c r="K51" s="790"/>
    </row>
    <row r="52" spans="1:11" ht="42.75" customHeight="1">
      <c r="A52" s="754"/>
      <c r="B52" s="761" t="s">
        <v>566</v>
      </c>
      <c r="C52" s="1215" t="s">
        <v>1089</v>
      </c>
      <c r="D52" s="1009"/>
      <c r="E52" s="1009"/>
      <c r="F52" s="1009"/>
      <c r="G52" s="1009"/>
      <c r="H52" s="1009"/>
      <c r="I52" s="1010"/>
      <c r="J52" s="789">
        <f>ROUND(I38*(((12*15)+15)-((44/6)*26))*I35,2)*0+ROUND(2*4.33*I35,2)*0</f>
        <v>0</v>
      </c>
      <c r="K52" s="790"/>
    </row>
    <row r="53" spans="1:11" ht="32.25" customHeight="1">
      <c r="A53" s="754"/>
      <c r="B53" s="761" t="s">
        <v>568</v>
      </c>
      <c r="C53" s="1215" t="s">
        <v>1090</v>
      </c>
      <c r="D53" s="1009"/>
      <c r="E53" s="1009"/>
      <c r="F53" s="1009"/>
      <c r="G53" s="1009"/>
      <c r="H53" s="1009"/>
      <c r="I53" s="1010"/>
      <c r="J53" s="789">
        <f>ROUND(I39*I40*15,2)*0</f>
        <v>0</v>
      </c>
      <c r="K53" s="790"/>
    </row>
    <row r="54" spans="1:11" ht="27.75" customHeight="1">
      <c r="A54" s="754"/>
      <c r="B54" s="761" t="s">
        <v>570</v>
      </c>
      <c r="C54" s="1215" t="s">
        <v>1091</v>
      </c>
      <c r="D54" s="1009"/>
      <c r="E54" s="1009"/>
      <c r="F54" s="1276" t="s">
        <v>1092</v>
      </c>
      <c r="G54" s="1009"/>
      <c r="H54" s="1009"/>
      <c r="I54" s="934">
        <f>'1-ABA-DE-CARREGAMENTO'!J65</f>
        <v>0</v>
      </c>
      <c r="J54" s="789">
        <f>ROUND((((SUM(J47:J50))/220)*1.5)*I54,2)</f>
        <v>0</v>
      </c>
      <c r="K54" s="790"/>
    </row>
    <row r="55" spans="1:11" ht="27.75" customHeight="1">
      <c r="A55" s="754"/>
      <c r="B55" s="761" t="s">
        <v>574</v>
      </c>
      <c r="C55" s="1215" t="s">
        <v>1093</v>
      </c>
      <c r="D55" s="1009"/>
      <c r="E55" s="1009"/>
      <c r="F55" s="1276" t="s">
        <v>1094</v>
      </c>
      <c r="G55" s="1009"/>
      <c r="H55" s="1009"/>
      <c r="I55" s="934">
        <f>'1-ABA-DE-CARREGAMENTO'!J68</f>
        <v>0</v>
      </c>
      <c r="J55" s="789">
        <f>ROUND((((SUM(J47:J50))/220)*2)*I55,2)</f>
        <v>0</v>
      </c>
      <c r="K55" s="790"/>
    </row>
    <row r="56" spans="1:11" ht="39.75" customHeight="1">
      <c r="A56" s="754"/>
      <c r="B56" s="761" t="s">
        <v>578</v>
      </c>
      <c r="C56" s="1178" t="s">
        <v>1095</v>
      </c>
      <c r="D56" s="1009"/>
      <c r="E56" s="1009"/>
      <c r="F56" s="1009"/>
      <c r="G56" s="1009"/>
      <c r="H56" s="1009"/>
      <c r="I56" s="1010"/>
      <c r="J56" s="789">
        <f>ROUND(((J54+J55)/25)*5,2)</f>
        <v>0</v>
      </c>
      <c r="K56" s="790"/>
    </row>
    <row r="57" spans="1:11" ht="11.25" customHeight="1">
      <c r="A57" s="754"/>
      <c r="B57" s="761" t="s">
        <v>580</v>
      </c>
      <c r="C57" s="1178" t="s">
        <v>581</v>
      </c>
      <c r="D57" s="1009"/>
      <c r="E57" s="1009"/>
      <c r="F57" s="1009"/>
      <c r="G57" s="1009"/>
      <c r="H57" s="1009"/>
      <c r="I57" s="1010"/>
      <c r="J57" s="798" t="s">
        <v>527</v>
      </c>
      <c r="K57" s="799"/>
    </row>
    <row r="58" spans="1:11" ht="11.25" customHeight="1">
      <c r="A58" s="754"/>
      <c r="B58" s="1086" t="s">
        <v>582</v>
      </c>
      <c r="C58" s="1009"/>
      <c r="D58" s="1009"/>
      <c r="E58" s="1009"/>
      <c r="F58" s="1009"/>
      <c r="G58" s="1009"/>
      <c r="H58" s="1009"/>
      <c r="I58" s="1010"/>
      <c r="J58" s="640">
        <f>SUM(J47:J57)</f>
        <v>4128.0200000000004</v>
      </c>
      <c r="K58" s="626"/>
    </row>
    <row r="59" spans="1:11" ht="14.25" customHeight="1">
      <c r="A59" s="754"/>
      <c r="B59" s="800"/>
      <c r="C59" s="1219"/>
      <c r="D59" s="1009"/>
      <c r="E59" s="1009"/>
      <c r="F59" s="1009"/>
      <c r="G59" s="1009"/>
      <c r="H59" s="1009"/>
      <c r="I59" s="1010"/>
      <c r="J59" s="642"/>
      <c r="K59" s="626"/>
    </row>
    <row r="60" spans="1:11" ht="11.25" customHeight="1">
      <c r="A60" s="754"/>
      <c r="B60" s="761" t="s">
        <v>570</v>
      </c>
      <c r="C60" s="1178" t="s">
        <v>1096</v>
      </c>
      <c r="D60" s="1009"/>
      <c r="E60" s="1009"/>
      <c r="F60" s="1009"/>
      <c r="G60" s="1009"/>
      <c r="H60" s="1009"/>
      <c r="I60" s="1010"/>
      <c r="J60" s="789">
        <f>ROUND(I34*15*I40*0.5,2)*0</f>
        <v>0</v>
      </c>
      <c r="K60" s="790"/>
    </row>
    <row r="61" spans="1:11" ht="11.25" customHeight="1">
      <c r="A61" s="754"/>
      <c r="B61" s="1086" t="s">
        <v>1097</v>
      </c>
      <c r="C61" s="1009"/>
      <c r="D61" s="1009"/>
      <c r="E61" s="1009"/>
      <c r="F61" s="1009"/>
      <c r="G61" s="1009"/>
      <c r="H61" s="1009"/>
      <c r="I61" s="1010"/>
      <c r="J61" s="640">
        <f>J60</f>
        <v>0</v>
      </c>
      <c r="K61" s="626"/>
    </row>
    <row r="62" spans="1:11" ht="11.25" customHeight="1">
      <c r="A62" s="754"/>
      <c r="B62" s="1220"/>
      <c r="C62" s="1009"/>
      <c r="D62" s="1009"/>
      <c r="E62" s="1009"/>
      <c r="F62" s="1009"/>
      <c r="G62" s="1009"/>
      <c r="H62" s="1009"/>
      <c r="I62" s="1009"/>
      <c r="J62" s="1010"/>
      <c r="K62" s="763"/>
    </row>
    <row r="63" spans="1:11" ht="11.25" customHeight="1">
      <c r="A63" s="754"/>
      <c r="B63" s="1221" t="s">
        <v>1098</v>
      </c>
      <c r="C63" s="1009"/>
      <c r="D63" s="1009"/>
      <c r="E63" s="1009"/>
      <c r="F63" s="1009"/>
      <c r="G63" s="1009"/>
      <c r="H63" s="1009"/>
      <c r="I63" s="1010"/>
      <c r="J63" s="801">
        <f>J58+J61</f>
        <v>4128.0200000000004</v>
      </c>
      <c r="K63" s="802"/>
    </row>
    <row r="64" spans="1:11" ht="11.25" customHeight="1">
      <c r="A64" s="754"/>
      <c r="B64" s="1219"/>
      <c r="C64" s="1009"/>
      <c r="D64" s="1009"/>
      <c r="E64" s="1009"/>
      <c r="F64" s="1009"/>
      <c r="G64" s="1009"/>
      <c r="H64" s="1009"/>
      <c r="I64" s="1009"/>
      <c r="J64" s="1010"/>
      <c r="K64" s="803"/>
    </row>
    <row r="65" spans="1:11" ht="11.25" customHeight="1">
      <c r="A65" s="754"/>
      <c r="B65" s="1222" t="s">
        <v>586</v>
      </c>
      <c r="C65" s="1009"/>
      <c r="D65" s="1009"/>
      <c r="E65" s="1009"/>
      <c r="F65" s="1009"/>
      <c r="G65" s="1009"/>
      <c r="H65" s="1009"/>
      <c r="I65" s="1009"/>
      <c r="J65" s="1010"/>
      <c r="K65" s="804"/>
    </row>
    <row r="66" spans="1:11" ht="11.25" customHeight="1">
      <c r="A66" s="754"/>
      <c r="B66" s="1219"/>
      <c r="C66" s="1009"/>
      <c r="D66" s="1009"/>
      <c r="E66" s="1009"/>
      <c r="F66" s="1009"/>
      <c r="G66" s="1009"/>
      <c r="H66" s="1009"/>
      <c r="I66" s="1009"/>
      <c r="J66" s="1010"/>
      <c r="K66" s="803"/>
    </row>
    <row r="67" spans="1:11" ht="11.25" customHeight="1">
      <c r="A67" s="754"/>
      <c r="B67" s="1201" t="s">
        <v>587</v>
      </c>
      <c r="C67" s="1009"/>
      <c r="D67" s="1009"/>
      <c r="E67" s="1009"/>
      <c r="F67" s="1009"/>
      <c r="G67" s="1009"/>
      <c r="H67" s="1009"/>
      <c r="I67" s="1009"/>
      <c r="J67" s="1010"/>
      <c r="K67" s="805"/>
    </row>
    <row r="68" spans="1:11" ht="11.25" customHeight="1">
      <c r="A68" s="754"/>
      <c r="B68" s="1112" t="s">
        <v>1099</v>
      </c>
      <c r="C68" s="1009"/>
      <c r="D68" s="1009"/>
      <c r="E68" s="1009"/>
      <c r="F68" s="1009"/>
      <c r="G68" s="1009"/>
      <c r="H68" s="1009"/>
      <c r="I68" s="1009"/>
      <c r="J68" s="1010"/>
      <c r="K68" s="646"/>
    </row>
    <row r="69" spans="1:11" ht="15" customHeight="1">
      <c r="A69" s="754"/>
      <c r="B69" s="647" t="s">
        <v>589</v>
      </c>
      <c r="C69" s="1113" t="s">
        <v>1100</v>
      </c>
      <c r="D69" s="1009"/>
      <c r="E69" s="1009"/>
      <c r="F69" s="1009"/>
      <c r="G69" s="1009"/>
      <c r="H69" s="1009"/>
      <c r="I69" s="1010"/>
      <c r="J69" s="604" t="s">
        <v>591</v>
      </c>
      <c r="K69" s="487"/>
    </row>
    <row r="70" spans="1:11" ht="11.25" customHeight="1">
      <c r="A70" s="754"/>
      <c r="B70" s="647" t="s">
        <v>514</v>
      </c>
      <c r="C70" s="1215" t="s">
        <v>1101</v>
      </c>
      <c r="D70" s="1009"/>
      <c r="E70" s="1009"/>
      <c r="F70" s="1009"/>
      <c r="G70" s="1009"/>
      <c r="H70" s="1010"/>
      <c r="I70" s="648">
        <v>8.3299999999999999E-2</v>
      </c>
      <c r="J70" s="806">
        <f>ROUND(J58*I70,2)</f>
        <v>343.86</v>
      </c>
      <c r="K70" s="807"/>
    </row>
    <row r="71" spans="1:11" ht="14.25" customHeight="1">
      <c r="A71" s="754"/>
      <c r="B71" s="647" t="s">
        <v>516</v>
      </c>
      <c r="C71" s="1216" t="s">
        <v>1102</v>
      </c>
      <c r="D71" s="1009"/>
      <c r="E71" s="1009"/>
      <c r="F71" s="1009"/>
      <c r="G71" s="1009"/>
      <c r="H71" s="1010"/>
      <c r="I71" s="651">
        <v>3.0249999999999999E-2</v>
      </c>
      <c r="J71" s="806">
        <f>ROUND(J58*I71,2)</f>
        <v>124.87</v>
      </c>
      <c r="K71" s="807"/>
    </row>
    <row r="72" spans="1:11" ht="11.25" customHeight="1">
      <c r="A72" s="754"/>
      <c r="B72" s="1199" t="s">
        <v>594</v>
      </c>
      <c r="C72" s="1009"/>
      <c r="D72" s="1009"/>
      <c r="E72" s="1009"/>
      <c r="F72" s="1009"/>
      <c r="G72" s="1009"/>
      <c r="H72" s="1009"/>
      <c r="I72" s="1010"/>
      <c r="J72" s="808">
        <f>SUM(J70+J71)</f>
        <v>468.73</v>
      </c>
      <c r="K72" s="809"/>
    </row>
    <row r="73" spans="1:11" ht="11.25" customHeight="1">
      <c r="A73" s="754"/>
      <c r="B73" s="1217"/>
      <c r="C73" s="1009"/>
      <c r="D73" s="1009"/>
      <c r="E73" s="1009"/>
      <c r="F73" s="1009"/>
      <c r="G73" s="1009"/>
      <c r="H73" s="1009"/>
      <c r="I73" s="1009"/>
      <c r="J73" s="1010"/>
      <c r="K73" s="810"/>
    </row>
    <row r="74" spans="1:11" ht="33.75" customHeight="1">
      <c r="A74" s="754"/>
      <c r="B74" s="1214" t="s">
        <v>1103</v>
      </c>
      <c r="C74" s="1009"/>
      <c r="D74" s="1009"/>
      <c r="E74" s="1009"/>
      <c r="F74" s="1009"/>
      <c r="G74" s="1009"/>
      <c r="H74" s="1009"/>
      <c r="I74" s="1009"/>
      <c r="J74" s="1010"/>
      <c r="K74" s="782"/>
    </row>
    <row r="75" spans="1:11" ht="10.5" customHeight="1">
      <c r="A75" s="754"/>
      <c r="B75" s="1218"/>
      <c r="C75" s="1009"/>
      <c r="D75" s="1009"/>
      <c r="E75" s="1009"/>
      <c r="F75" s="1009"/>
      <c r="G75" s="1009"/>
      <c r="H75" s="1009"/>
      <c r="I75" s="1009"/>
      <c r="J75" s="1010"/>
      <c r="K75" s="782"/>
    </row>
    <row r="76" spans="1:11" ht="14.25" customHeight="1">
      <c r="A76" s="754"/>
      <c r="B76" s="1108" t="s">
        <v>1104</v>
      </c>
      <c r="C76" s="1009"/>
      <c r="D76" s="1009"/>
      <c r="E76" s="1009"/>
      <c r="F76" s="1009"/>
      <c r="G76" s="1009"/>
      <c r="H76" s="1009"/>
      <c r="I76" s="1009"/>
      <c r="J76" s="1010"/>
      <c r="K76" s="655"/>
    </row>
    <row r="77" spans="1:11" ht="11.25" customHeight="1">
      <c r="A77" s="754"/>
      <c r="B77" s="656" t="s">
        <v>597</v>
      </c>
      <c r="C77" s="1165" t="s">
        <v>598</v>
      </c>
      <c r="D77" s="1009"/>
      <c r="E77" s="1009"/>
      <c r="F77" s="1009"/>
      <c r="G77" s="1009"/>
      <c r="H77" s="1010"/>
      <c r="I77" s="811" t="s">
        <v>556</v>
      </c>
      <c r="J77" s="657" t="s">
        <v>599</v>
      </c>
      <c r="K77" s="487"/>
    </row>
    <row r="78" spans="1:11" ht="11.25" customHeight="1">
      <c r="A78" s="754"/>
      <c r="B78" s="812" t="s">
        <v>514</v>
      </c>
      <c r="C78" s="1178" t="s">
        <v>600</v>
      </c>
      <c r="D78" s="1009"/>
      <c r="E78" s="1009"/>
      <c r="F78" s="1009"/>
      <c r="G78" s="1009"/>
      <c r="H78" s="1010"/>
      <c r="I78" s="813">
        <v>0.2</v>
      </c>
      <c r="J78" s="814">
        <f>ROUND((J58+J72)*I78,2)</f>
        <v>919.35</v>
      </c>
      <c r="K78" s="809"/>
    </row>
    <row r="79" spans="1:11" ht="11.25" customHeight="1">
      <c r="A79" s="754"/>
      <c r="B79" s="812" t="s">
        <v>516</v>
      </c>
      <c r="C79" s="1178" t="s">
        <v>601</v>
      </c>
      <c r="D79" s="1009"/>
      <c r="E79" s="1009"/>
      <c r="F79" s="1009"/>
      <c r="G79" s="1009"/>
      <c r="H79" s="1010"/>
      <c r="I79" s="813">
        <v>2.5000000000000001E-2</v>
      </c>
      <c r="J79" s="814">
        <f>ROUND((J58+J72)*I79,2)</f>
        <v>114.92</v>
      </c>
      <c r="K79" s="809"/>
    </row>
    <row r="80" spans="1:11" ht="11.25" customHeight="1">
      <c r="A80" s="754"/>
      <c r="B80" s="812" t="s">
        <v>518</v>
      </c>
      <c r="C80" s="1178" t="s">
        <v>1105</v>
      </c>
      <c r="D80" s="1010"/>
      <c r="E80" s="815" t="s">
        <v>603</v>
      </c>
      <c r="F80" s="816">
        <f>'1-ABA-DE-CARREGAMENTO'!J57</f>
        <v>0.03</v>
      </c>
      <c r="G80" s="815" t="s">
        <v>604</v>
      </c>
      <c r="H80" s="817">
        <f>'1-ABA-DE-CARREGAMENTO'!J58</f>
        <v>1</v>
      </c>
      <c r="I80" s="818">
        <f>ROUND((F80*H80),6)</f>
        <v>0.03</v>
      </c>
      <c r="J80" s="814">
        <f>ROUND((J58+J72)*I80,2)</f>
        <v>137.9</v>
      </c>
      <c r="K80" s="809"/>
    </row>
    <row r="81" spans="1:11" ht="16.5" customHeight="1">
      <c r="A81" s="754"/>
      <c r="B81" s="812" t="s">
        <v>520</v>
      </c>
      <c r="C81" s="1178" t="s">
        <v>605</v>
      </c>
      <c r="D81" s="1009"/>
      <c r="E81" s="1009"/>
      <c r="F81" s="1009"/>
      <c r="G81" s="1009"/>
      <c r="H81" s="1010"/>
      <c r="I81" s="813">
        <v>1.4999999999999999E-2</v>
      </c>
      <c r="J81" s="814">
        <f>ROUND((J58+J72)*I81,2)</f>
        <v>68.95</v>
      </c>
      <c r="K81" s="809"/>
    </row>
    <row r="82" spans="1:11" ht="16.5" customHeight="1">
      <c r="A82" s="754"/>
      <c r="B82" s="812" t="s">
        <v>562</v>
      </c>
      <c r="C82" s="1178" t="s">
        <v>606</v>
      </c>
      <c r="D82" s="1009"/>
      <c r="E82" s="1009"/>
      <c r="F82" s="1009"/>
      <c r="G82" s="1009"/>
      <c r="H82" s="1010"/>
      <c r="I82" s="813">
        <v>0.01</v>
      </c>
      <c r="J82" s="814">
        <f>ROUND((J58+J72)*I82,2)</f>
        <v>45.97</v>
      </c>
      <c r="K82" s="809"/>
    </row>
    <row r="83" spans="1:11" ht="16.5" customHeight="1">
      <c r="A83" s="754"/>
      <c r="B83" s="812" t="s">
        <v>566</v>
      </c>
      <c r="C83" s="1178" t="s">
        <v>607</v>
      </c>
      <c r="D83" s="1009"/>
      <c r="E83" s="1009"/>
      <c r="F83" s="1009"/>
      <c r="G83" s="1009"/>
      <c r="H83" s="1010"/>
      <c r="I83" s="813">
        <v>6.0000000000000001E-3</v>
      </c>
      <c r="J83" s="814">
        <f>ROUND((J58+J72)*I83,2)</f>
        <v>27.58</v>
      </c>
      <c r="K83" s="809"/>
    </row>
    <row r="84" spans="1:11" ht="16.5" customHeight="1">
      <c r="A84" s="754"/>
      <c r="B84" s="812" t="s">
        <v>568</v>
      </c>
      <c r="C84" s="1178" t="s">
        <v>608</v>
      </c>
      <c r="D84" s="1009"/>
      <c r="E84" s="1009"/>
      <c r="F84" s="1009"/>
      <c r="G84" s="1009"/>
      <c r="H84" s="1010"/>
      <c r="I84" s="813">
        <v>2E-3</v>
      </c>
      <c r="J84" s="814">
        <f>ROUND((J58+J72)*I84,2)</f>
        <v>9.19</v>
      </c>
      <c r="K84" s="809"/>
    </row>
    <row r="85" spans="1:11" ht="28.5" customHeight="1">
      <c r="A85" s="754"/>
      <c r="B85" s="812" t="s">
        <v>570</v>
      </c>
      <c r="C85" s="1178" t="s">
        <v>609</v>
      </c>
      <c r="D85" s="1009"/>
      <c r="E85" s="1009"/>
      <c r="F85" s="1009"/>
      <c r="G85" s="1009"/>
      <c r="H85" s="1010"/>
      <c r="I85" s="813">
        <v>0.08</v>
      </c>
      <c r="J85" s="814">
        <f>ROUND((J58+J72)*I85,2)</f>
        <v>367.74</v>
      </c>
      <c r="K85" s="809"/>
    </row>
    <row r="86" spans="1:11" ht="12" customHeight="1">
      <c r="A86" s="754"/>
      <c r="B86" s="1204" t="s">
        <v>594</v>
      </c>
      <c r="C86" s="1009"/>
      <c r="D86" s="1009"/>
      <c r="E86" s="1009"/>
      <c r="F86" s="1009"/>
      <c r="G86" s="1009"/>
      <c r="H86" s="1010"/>
      <c r="I86" s="819">
        <f t="shared" ref="I86:J86" si="0">SUM(I78:I85)</f>
        <v>0.36800000000000005</v>
      </c>
      <c r="J86" s="808">
        <f t="shared" si="0"/>
        <v>1691.6000000000001</v>
      </c>
      <c r="K86" s="809"/>
    </row>
    <row r="87" spans="1:11" ht="12" customHeight="1">
      <c r="A87" s="754"/>
      <c r="B87" s="820"/>
      <c r="C87" s="666"/>
      <c r="D87" s="666"/>
      <c r="E87" s="666"/>
      <c r="F87" s="666"/>
      <c r="G87" s="666"/>
      <c r="H87" s="666"/>
      <c r="I87" s="821"/>
      <c r="J87" s="822"/>
      <c r="K87" s="809"/>
    </row>
    <row r="88" spans="1:11" ht="38.25" customHeight="1">
      <c r="A88" s="754"/>
      <c r="B88" s="1214" t="s">
        <v>610</v>
      </c>
      <c r="C88" s="1009"/>
      <c r="D88" s="1009"/>
      <c r="E88" s="1009"/>
      <c r="F88" s="1009"/>
      <c r="G88" s="1009"/>
      <c r="H88" s="1009"/>
      <c r="I88" s="1009"/>
      <c r="J88" s="1010"/>
      <c r="K88" s="782"/>
    </row>
    <row r="89" spans="1:11" ht="18.75" customHeight="1">
      <c r="A89" s="754"/>
      <c r="B89" s="1225"/>
      <c r="C89" s="1009"/>
      <c r="D89" s="1009"/>
      <c r="E89" s="1009"/>
      <c r="F89" s="1009"/>
      <c r="G89" s="1009"/>
      <c r="H89" s="1009"/>
      <c r="I89" s="1009"/>
      <c r="J89" s="1010"/>
      <c r="K89" s="376"/>
    </row>
    <row r="90" spans="1:11" ht="15" customHeight="1">
      <c r="A90" s="754"/>
      <c r="B90" s="1096" t="s">
        <v>611</v>
      </c>
      <c r="C90" s="1009"/>
      <c r="D90" s="1009"/>
      <c r="E90" s="1009"/>
      <c r="F90" s="1009"/>
      <c r="G90" s="1009"/>
      <c r="H90" s="1009"/>
      <c r="I90" s="1009"/>
      <c r="J90" s="1010"/>
      <c r="K90" s="646"/>
    </row>
    <row r="91" spans="1:11" ht="15" customHeight="1">
      <c r="A91" s="754"/>
      <c r="B91" s="669" t="s">
        <v>612</v>
      </c>
      <c r="C91" s="1083" t="s">
        <v>613</v>
      </c>
      <c r="D91" s="1009"/>
      <c r="E91" s="1009"/>
      <c r="F91" s="1009"/>
      <c r="G91" s="1009"/>
      <c r="H91" s="1009"/>
      <c r="I91" s="1010"/>
      <c r="J91" s="670" t="s">
        <v>591</v>
      </c>
      <c r="K91" s="592"/>
    </row>
    <row r="92" spans="1:11" ht="15" customHeight="1">
      <c r="A92" s="754"/>
      <c r="B92" s="823" t="s">
        <v>514</v>
      </c>
      <c r="C92" s="1178" t="s">
        <v>1106</v>
      </c>
      <c r="D92" s="1009"/>
      <c r="E92" s="1009"/>
      <c r="F92" s="1009"/>
      <c r="G92" s="1009"/>
      <c r="H92" s="1010"/>
      <c r="I92" s="794">
        <f>J47</f>
        <v>4128.0200000000004</v>
      </c>
      <c r="J92" s="824">
        <f>IF(ROUND((I93*I95*I94)-(J47*I96),2)&lt;0,0,ROUND((I93*I95*I94)-(J47*I96),2))</f>
        <v>0</v>
      </c>
      <c r="K92" s="809"/>
    </row>
    <row r="93" spans="1:11" ht="28.5" customHeight="1">
      <c r="A93" s="754"/>
      <c r="B93" s="823" t="s">
        <v>516</v>
      </c>
      <c r="C93" s="1178" t="s">
        <v>1107</v>
      </c>
      <c r="D93" s="1009"/>
      <c r="E93" s="1009"/>
      <c r="F93" s="1009"/>
      <c r="G93" s="1009"/>
      <c r="H93" s="1009"/>
      <c r="I93" s="825">
        <f>'1-ABA-DE-CARREGAMENTO'!J72</f>
        <v>3.2</v>
      </c>
      <c r="J93" s="826" t="s">
        <v>527</v>
      </c>
      <c r="K93" s="799"/>
    </row>
    <row r="94" spans="1:11" ht="22.5" customHeight="1">
      <c r="A94" s="754"/>
      <c r="B94" s="823" t="s">
        <v>518</v>
      </c>
      <c r="C94" s="1178" t="s">
        <v>1108</v>
      </c>
      <c r="D94" s="1009"/>
      <c r="E94" s="1009"/>
      <c r="F94" s="1009"/>
      <c r="G94" s="1009"/>
      <c r="H94" s="1010"/>
      <c r="I94" s="827">
        <f>'1-ABA-DE-CARREGAMENTO'!J73</f>
        <v>2</v>
      </c>
      <c r="J94" s="826" t="s">
        <v>527</v>
      </c>
      <c r="K94" s="799"/>
    </row>
    <row r="95" spans="1:11" ht="19.5" customHeight="1">
      <c r="A95" s="754"/>
      <c r="B95" s="823" t="s">
        <v>520</v>
      </c>
      <c r="C95" s="1229" t="s">
        <v>617</v>
      </c>
      <c r="D95" s="1009"/>
      <c r="E95" s="1009"/>
      <c r="F95" s="1009"/>
      <c r="G95" s="1009"/>
      <c r="H95" s="1010"/>
      <c r="I95" s="827">
        <f>'1-ABA-DE-CARREGAMENTO'!J74</f>
        <v>22</v>
      </c>
      <c r="J95" s="826" t="s">
        <v>527</v>
      </c>
      <c r="K95" s="799"/>
    </row>
    <row r="96" spans="1:11" ht="27.75" customHeight="1">
      <c r="A96" s="754"/>
      <c r="B96" s="823" t="s">
        <v>562</v>
      </c>
      <c r="C96" s="1229" t="s">
        <v>1109</v>
      </c>
      <c r="D96" s="1009"/>
      <c r="E96" s="1009"/>
      <c r="F96" s="1009"/>
      <c r="G96" s="1009"/>
      <c r="H96" s="1010"/>
      <c r="I96" s="832">
        <f>'1-ABA-DE-CARREGAMENTO'!J75</f>
        <v>0.06</v>
      </c>
      <c r="J96" s="830" t="s">
        <v>527</v>
      </c>
      <c r="K96" s="799"/>
    </row>
    <row r="97" spans="1:11" ht="15" customHeight="1">
      <c r="A97" s="754"/>
      <c r="B97" s="823" t="s">
        <v>566</v>
      </c>
      <c r="C97" s="1178" t="s">
        <v>1110</v>
      </c>
      <c r="D97" s="1009"/>
      <c r="E97" s="1009"/>
      <c r="F97" s="1009"/>
      <c r="G97" s="1009"/>
      <c r="H97" s="1009"/>
      <c r="I97" s="1009"/>
      <c r="J97" s="824">
        <f>ROUND(I98*I99,2)-ROUND((I98*I99)*I100,2)</f>
        <v>0</v>
      </c>
      <c r="K97" s="809"/>
    </row>
    <row r="98" spans="1:11" ht="15" customHeight="1">
      <c r="A98" s="754"/>
      <c r="B98" s="823" t="s">
        <v>568</v>
      </c>
      <c r="C98" s="1178" t="s">
        <v>1111</v>
      </c>
      <c r="D98" s="1009"/>
      <c r="E98" s="1009"/>
      <c r="F98" s="1009"/>
      <c r="G98" s="1009"/>
      <c r="H98" s="1009"/>
      <c r="I98" s="825">
        <f>IF('1-ABA-DE-CARREGAMENTO'!J60&gt;0,'1-ABA-DE-CARREGAMENTO'!J60,'1-ABA-DE-CARREGAMENTO'!J63)</f>
        <v>0</v>
      </c>
      <c r="J98" s="831"/>
      <c r="K98" s="799"/>
    </row>
    <row r="99" spans="1:11" ht="15" customHeight="1">
      <c r="A99" s="754"/>
      <c r="B99" s="823" t="s">
        <v>570</v>
      </c>
      <c r="C99" s="1178" t="s">
        <v>1112</v>
      </c>
      <c r="D99" s="1009"/>
      <c r="E99" s="1009"/>
      <c r="F99" s="1009"/>
      <c r="G99" s="1009"/>
      <c r="H99" s="1009"/>
      <c r="I99" s="827">
        <f>'1-ABA-DE-CARREGAMENTO'!J62</f>
        <v>22</v>
      </c>
      <c r="J99" s="831"/>
      <c r="K99" s="799"/>
    </row>
    <row r="100" spans="1:11" ht="25.5" customHeight="1">
      <c r="A100" s="754"/>
      <c r="B100" s="823" t="s">
        <v>574</v>
      </c>
      <c r="C100" s="1266" t="s">
        <v>1113</v>
      </c>
      <c r="D100" s="1009"/>
      <c r="E100" s="1009"/>
      <c r="F100" s="1009"/>
      <c r="G100" s="1009"/>
      <c r="H100" s="1010"/>
      <c r="I100" s="832">
        <f>'1-ABA-DE-CARREGAMENTO'!J61</f>
        <v>0</v>
      </c>
      <c r="J100" s="833"/>
      <c r="K100" s="799"/>
    </row>
    <row r="101" spans="1:11" ht="15" customHeight="1">
      <c r="A101" s="754"/>
      <c r="B101" s="823" t="s">
        <v>578</v>
      </c>
      <c r="C101" s="1178" t="s">
        <v>1114</v>
      </c>
      <c r="D101" s="1009"/>
      <c r="E101" s="1009"/>
      <c r="F101" s="1009"/>
      <c r="G101" s="1009"/>
      <c r="H101" s="1009"/>
      <c r="I101" s="1009"/>
      <c r="J101" s="814">
        <v>0</v>
      </c>
      <c r="K101" s="809"/>
    </row>
    <row r="102" spans="1:11" ht="34.5" customHeight="1">
      <c r="A102" s="754"/>
      <c r="B102" s="823" t="s">
        <v>580</v>
      </c>
      <c r="C102" s="1178" t="s">
        <v>1115</v>
      </c>
      <c r="D102" s="1009"/>
      <c r="E102" s="1009"/>
      <c r="F102" s="1009"/>
      <c r="G102" s="1009"/>
      <c r="H102" s="1009"/>
      <c r="I102" s="1009"/>
      <c r="J102" s="814">
        <f>'1-ABA-DE-CARREGAMENTO'!J77</f>
        <v>0</v>
      </c>
      <c r="K102" s="809"/>
    </row>
    <row r="103" spans="1:11" ht="34.5" customHeight="1">
      <c r="A103" s="754"/>
      <c r="B103" s="823" t="s">
        <v>625</v>
      </c>
      <c r="C103" s="1178" t="s">
        <v>1116</v>
      </c>
      <c r="D103" s="1009"/>
      <c r="E103" s="1009"/>
      <c r="F103" s="1009"/>
      <c r="G103" s="1009"/>
      <c r="H103" s="1009"/>
      <c r="I103" s="1010"/>
      <c r="J103" s="814">
        <f>'1-ABA-DE-CARREGAMENTO'!J78</f>
        <v>0</v>
      </c>
      <c r="K103" s="809"/>
    </row>
    <row r="104" spans="1:11" ht="16.5" customHeight="1">
      <c r="A104" s="754"/>
      <c r="B104" s="823" t="s">
        <v>627</v>
      </c>
      <c r="C104" s="1178" t="s">
        <v>818</v>
      </c>
      <c r="D104" s="1009"/>
      <c r="E104" s="1009"/>
      <c r="F104" s="1009"/>
      <c r="G104" s="1009"/>
      <c r="H104" s="1009"/>
      <c r="I104" s="1010"/>
      <c r="J104" s="814">
        <f>'1-ABA-DE-CARREGAMENTO'!J76</f>
        <v>0</v>
      </c>
      <c r="K104" s="809"/>
    </row>
    <row r="105" spans="1:11" ht="17.25" customHeight="1">
      <c r="A105" s="754"/>
      <c r="B105" s="823" t="s">
        <v>129</v>
      </c>
      <c r="C105" s="1212" t="s">
        <v>668</v>
      </c>
      <c r="D105" s="1009"/>
      <c r="E105" s="1009"/>
      <c r="F105" s="1009"/>
      <c r="G105" s="1009"/>
      <c r="H105" s="1009"/>
      <c r="I105" s="1009"/>
      <c r="J105" s="834">
        <v>0</v>
      </c>
      <c r="K105" s="835"/>
    </row>
    <row r="106" spans="1:11" ht="33.75" customHeight="1">
      <c r="A106" s="754"/>
      <c r="B106" s="836"/>
      <c r="C106" s="1204" t="s">
        <v>594</v>
      </c>
      <c r="D106" s="1009"/>
      <c r="E106" s="1009"/>
      <c r="F106" s="1009"/>
      <c r="G106" s="1009"/>
      <c r="H106" s="1009"/>
      <c r="I106" s="1030"/>
      <c r="J106" s="808">
        <f>SUM(J92:J105)</f>
        <v>0</v>
      </c>
      <c r="K106" s="809"/>
    </row>
    <row r="107" spans="1:11" ht="12" customHeight="1">
      <c r="A107" s="754"/>
      <c r="B107" s="1225"/>
      <c r="C107" s="1009"/>
      <c r="D107" s="1009"/>
      <c r="E107" s="1009"/>
      <c r="F107" s="1009"/>
      <c r="G107" s="1009"/>
      <c r="H107" s="1009"/>
      <c r="I107" s="1009"/>
      <c r="J107" s="1010"/>
      <c r="K107" s="376"/>
    </row>
    <row r="108" spans="1:11" ht="34.5" customHeight="1">
      <c r="A108" s="754"/>
      <c r="B108" s="1214" t="s">
        <v>630</v>
      </c>
      <c r="C108" s="1009"/>
      <c r="D108" s="1009"/>
      <c r="E108" s="1009"/>
      <c r="F108" s="1009"/>
      <c r="G108" s="1009"/>
      <c r="H108" s="1009"/>
      <c r="I108" s="1009"/>
      <c r="J108" s="1010"/>
      <c r="K108" s="782"/>
    </row>
    <row r="109" spans="1:11" ht="10.5" customHeight="1">
      <c r="A109" s="754"/>
      <c r="B109" s="1220"/>
      <c r="C109" s="1009"/>
      <c r="D109" s="1009"/>
      <c r="E109" s="1009"/>
      <c r="F109" s="1009"/>
      <c r="G109" s="1009"/>
      <c r="H109" s="1009"/>
      <c r="I109" s="1009"/>
      <c r="J109" s="1010"/>
      <c r="K109" s="763"/>
    </row>
    <row r="110" spans="1:11" ht="19.5" customHeight="1">
      <c r="A110" s="754"/>
      <c r="B110" s="1265" t="s">
        <v>631</v>
      </c>
      <c r="C110" s="1009"/>
      <c r="D110" s="1009"/>
      <c r="E110" s="1009"/>
      <c r="F110" s="1009"/>
      <c r="G110" s="1009"/>
      <c r="H110" s="1009"/>
      <c r="I110" s="1009"/>
      <c r="J110" s="1010"/>
      <c r="K110" s="837"/>
    </row>
    <row r="111" spans="1:11" ht="19.5" customHeight="1">
      <c r="A111" s="754"/>
      <c r="B111" s="657">
        <v>2</v>
      </c>
      <c r="C111" s="1165" t="s">
        <v>632</v>
      </c>
      <c r="D111" s="1009"/>
      <c r="E111" s="1009"/>
      <c r="F111" s="1009"/>
      <c r="G111" s="1009"/>
      <c r="H111" s="1009"/>
      <c r="I111" s="1010"/>
      <c r="J111" s="657" t="s">
        <v>591</v>
      </c>
      <c r="K111" s="487"/>
    </row>
    <row r="112" spans="1:11" ht="19.5" customHeight="1">
      <c r="A112" s="754"/>
      <c r="B112" s="769" t="s">
        <v>589</v>
      </c>
      <c r="C112" s="1215" t="s">
        <v>1117</v>
      </c>
      <c r="D112" s="1009"/>
      <c r="E112" s="1009"/>
      <c r="F112" s="1009"/>
      <c r="G112" s="1009"/>
      <c r="H112" s="1009"/>
      <c r="I112" s="1010"/>
      <c r="J112" s="838">
        <f>J72</f>
        <v>468.73</v>
      </c>
      <c r="K112" s="839"/>
    </row>
    <row r="113" spans="1:11" ht="19.5" customHeight="1">
      <c r="A113" s="754"/>
      <c r="B113" s="769" t="s">
        <v>597</v>
      </c>
      <c r="C113" s="1215" t="s">
        <v>598</v>
      </c>
      <c r="D113" s="1009"/>
      <c r="E113" s="1009"/>
      <c r="F113" s="1009"/>
      <c r="G113" s="1009"/>
      <c r="H113" s="1009"/>
      <c r="I113" s="1010"/>
      <c r="J113" s="838">
        <f>J86</f>
        <v>1691.6000000000001</v>
      </c>
      <c r="K113" s="839"/>
    </row>
    <row r="114" spans="1:11" ht="19.5" customHeight="1">
      <c r="A114" s="754"/>
      <c r="B114" s="769" t="s">
        <v>612</v>
      </c>
      <c r="C114" s="1215" t="s">
        <v>613</v>
      </c>
      <c r="D114" s="1009"/>
      <c r="E114" s="1009"/>
      <c r="F114" s="1009"/>
      <c r="G114" s="1009"/>
      <c r="H114" s="1009"/>
      <c r="I114" s="1010"/>
      <c r="J114" s="838">
        <f>J106</f>
        <v>0</v>
      </c>
      <c r="K114" s="839"/>
    </row>
    <row r="115" spans="1:11" ht="14.25" customHeight="1">
      <c r="A115" s="754"/>
      <c r="B115" s="1261" t="s">
        <v>594</v>
      </c>
      <c r="C115" s="1009"/>
      <c r="D115" s="1009"/>
      <c r="E115" s="1009"/>
      <c r="F115" s="1009"/>
      <c r="G115" s="1009"/>
      <c r="H115" s="1009"/>
      <c r="I115" s="1010"/>
      <c r="J115" s="840">
        <f>SUM(J112+J113+J114)</f>
        <v>2160.33</v>
      </c>
      <c r="K115" s="839"/>
    </row>
    <row r="116" spans="1:11" ht="14.25" customHeight="1">
      <c r="A116" s="754"/>
      <c r="B116" s="1262"/>
      <c r="C116" s="1009"/>
      <c r="D116" s="1009"/>
      <c r="E116" s="1009"/>
      <c r="F116" s="1009"/>
      <c r="G116" s="1009"/>
      <c r="H116" s="1009"/>
      <c r="I116" s="1009"/>
      <c r="J116" s="1010"/>
      <c r="K116" s="841"/>
    </row>
    <row r="117" spans="1:11" ht="18.75" customHeight="1">
      <c r="A117" s="754"/>
      <c r="B117" s="1252" t="s">
        <v>634</v>
      </c>
      <c r="C117" s="1009"/>
      <c r="D117" s="1009"/>
      <c r="E117" s="1009"/>
      <c r="F117" s="1009"/>
      <c r="G117" s="1009"/>
      <c r="H117" s="1009"/>
      <c r="I117" s="1009"/>
      <c r="J117" s="1010"/>
      <c r="K117" s="842"/>
    </row>
    <row r="118" spans="1:11" ht="15.75" customHeight="1">
      <c r="A118" s="754"/>
      <c r="B118" s="669">
        <v>3</v>
      </c>
      <c r="C118" s="1162" t="s">
        <v>635</v>
      </c>
      <c r="D118" s="1009"/>
      <c r="E118" s="1009"/>
      <c r="F118" s="1009"/>
      <c r="G118" s="1009"/>
      <c r="H118" s="1009"/>
      <c r="I118" s="1010"/>
      <c r="J118" s="669" t="s">
        <v>591</v>
      </c>
      <c r="K118" s="601"/>
    </row>
    <row r="119" spans="1:11" ht="45" customHeight="1">
      <c r="A119" s="754"/>
      <c r="B119" s="823" t="s">
        <v>514</v>
      </c>
      <c r="C119" s="1178" t="s">
        <v>1118</v>
      </c>
      <c r="D119" s="1009"/>
      <c r="E119" s="1009"/>
      <c r="F119" s="1009"/>
      <c r="G119" s="1009"/>
      <c r="H119" s="1009"/>
      <c r="I119" s="1010"/>
      <c r="J119" s="814">
        <f>ROUND((($J$58/12)+($J$70/12)+(J58/12/12)+($J$71/12))*(30/30)*0.05,2)</f>
        <v>20.59</v>
      </c>
      <c r="K119" s="809"/>
    </row>
    <row r="120" spans="1:11" ht="15.75" customHeight="1">
      <c r="A120" s="754"/>
      <c r="B120" s="823" t="s">
        <v>516</v>
      </c>
      <c r="C120" s="1212" t="s">
        <v>637</v>
      </c>
      <c r="D120" s="1009"/>
      <c r="E120" s="1009"/>
      <c r="F120" s="1009"/>
      <c r="G120" s="1009"/>
      <c r="H120" s="1009"/>
      <c r="I120" s="1010"/>
      <c r="J120" s="814">
        <f>ROUND($I$85*J119,2)</f>
        <v>1.65</v>
      </c>
      <c r="K120" s="809"/>
    </row>
    <row r="121" spans="1:11" ht="25.5" customHeight="1">
      <c r="A121" s="754"/>
      <c r="B121" s="823" t="s">
        <v>518</v>
      </c>
      <c r="C121" s="1178" t="s">
        <v>1119</v>
      </c>
      <c r="D121" s="1009"/>
      <c r="E121" s="1009"/>
      <c r="F121" s="1009"/>
      <c r="G121" s="1009"/>
      <c r="H121" s="1009"/>
      <c r="I121" s="1010"/>
      <c r="J121" s="814">
        <f>ROUND(((7/30)/$I$11)*$J$58*1,2)</f>
        <v>32.11</v>
      </c>
      <c r="K121" s="809"/>
    </row>
    <row r="122" spans="1:11" ht="18.75" customHeight="1">
      <c r="A122" s="754"/>
      <c r="B122" s="823" t="s">
        <v>520</v>
      </c>
      <c r="C122" s="1212" t="s">
        <v>639</v>
      </c>
      <c r="D122" s="1009"/>
      <c r="E122" s="1009"/>
      <c r="F122" s="1009"/>
      <c r="G122" s="1009"/>
      <c r="H122" s="1009"/>
      <c r="I122" s="1010"/>
      <c r="J122" s="814">
        <f>ROUND($I$86*J121,2)</f>
        <v>11.82</v>
      </c>
      <c r="K122" s="809"/>
    </row>
    <row r="123" spans="1:11" ht="36.75" customHeight="1">
      <c r="A123" s="754"/>
      <c r="B123" s="823" t="s">
        <v>562</v>
      </c>
      <c r="C123" s="1178" t="s">
        <v>1120</v>
      </c>
      <c r="D123" s="1009"/>
      <c r="E123" s="1009"/>
      <c r="F123" s="1009"/>
      <c r="G123" s="1009"/>
      <c r="H123" s="1010"/>
      <c r="I123" s="843">
        <v>0.04</v>
      </c>
      <c r="J123" s="814">
        <f>ROUND(J58*I123,2)</f>
        <v>165.12</v>
      </c>
      <c r="K123" s="809"/>
    </row>
    <row r="124" spans="1:11" ht="19.5" customHeight="1">
      <c r="A124" s="754"/>
      <c r="B124" s="1204" t="s">
        <v>641</v>
      </c>
      <c r="C124" s="1009"/>
      <c r="D124" s="1009"/>
      <c r="E124" s="1009"/>
      <c r="F124" s="1009"/>
      <c r="G124" s="1009"/>
      <c r="H124" s="1009"/>
      <c r="I124" s="1010"/>
      <c r="J124" s="808">
        <f>SUM(J119:J123)</f>
        <v>231.29</v>
      </c>
      <c r="K124" s="809"/>
    </row>
    <row r="125" spans="1:11" ht="15.75" customHeight="1">
      <c r="A125" s="754"/>
      <c r="B125" s="1186"/>
      <c r="C125" s="1009"/>
      <c r="D125" s="1009"/>
      <c r="E125" s="1009"/>
      <c r="F125" s="1009"/>
      <c r="G125" s="1009"/>
      <c r="H125" s="1009"/>
      <c r="I125" s="1009"/>
      <c r="J125" s="1010"/>
      <c r="K125" s="844"/>
    </row>
    <row r="126" spans="1:11" ht="17.25" customHeight="1">
      <c r="A126" s="754"/>
      <c r="B126" s="1187" t="s">
        <v>642</v>
      </c>
      <c r="C126" s="1009"/>
      <c r="D126" s="1009"/>
      <c r="E126" s="1009"/>
      <c r="F126" s="1009"/>
      <c r="G126" s="1009"/>
      <c r="H126" s="1009"/>
      <c r="I126" s="1009"/>
      <c r="J126" s="1010"/>
      <c r="K126" s="845"/>
    </row>
    <row r="127" spans="1:11" ht="24.75" customHeight="1">
      <c r="A127" s="754"/>
      <c r="B127" s="1214" t="s">
        <v>643</v>
      </c>
      <c r="C127" s="1009"/>
      <c r="D127" s="1009"/>
      <c r="E127" s="1009"/>
      <c r="F127" s="1009"/>
      <c r="G127" s="1009"/>
      <c r="H127" s="1009"/>
      <c r="I127" s="1009"/>
      <c r="J127" s="1010"/>
      <c r="K127" s="782"/>
    </row>
    <row r="128" spans="1:11" ht="28.5" customHeight="1">
      <c r="A128" s="754"/>
      <c r="B128" s="1108" t="s">
        <v>1121</v>
      </c>
      <c r="C128" s="1009"/>
      <c r="D128" s="1009"/>
      <c r="E128" s="1009"/>
      <c r="F128" s="1009"/>
      <c r="G128" s="1009"/>
      <c r="H128" s="1009"/>
      <c r="I128" s="1009"/>
      <c r="J128" s="1010"/>
      <c r="K128" s="655"/>
    </row>
    <row r="129" spans="1:11" ht="35.25" customHeight="1">
      <c r="A129" s="754"/>
      <c r="B129" s="694" t="s">
        <v>645</v>
      </c>
      <c r="C129" s="695">
        <f>J58</f>
        <v>4128.0200000000004</v>
      </c>
      <c r="D129" s="846" t="s">
        <v>646</v>
      </c>
      <c r="E129" s="694" t="s">
        <v>1122</v>
      </c>
      <c r="F129" s="695">
        <f>J115-J92-J97</f>
        <v>2160.33</v>
      </c>
      <c r="G129" s="846" t="s">
        <v>646</v>
      </c>
      <c r="H129" s="694" t="s">
        <v>648</v>
      </c>
      <c r="I129" s="695">
        <f>J124</f>
        <v>231.29</v>
      </c>
      <c r="J129" s="847">
        <f>C129+F129+I129</f>
        <v>6519.64</v>
      </c>
      <c r="K129" s="848"/>
    </row>
    <row r="130" spans="1:11" ht="30.75" customHeight="1">
      <c r="A130" s="754"/>
      <c r="B130" s="1263"/>
      <c r="C130" s="1009"/>
      <c r="D130" s="1009"/>
      <c r="E130" s="1009"/>
      <c r="F130" s="1009"/>
      <c r="G130" s="1009"/>
      <c r="H130" s="1009"/>
      <c r="I130" s="1009"/>
      <c r="J130" s="1010"/>
      <c r="K130" s="849"/>
    </row>
    <row r="131" spans="1:11" ht="15.75" customHeight="1">
      <c r="A131" s="754"/>
      <c r="B131" s="1069" t="s">
        <v>649</v>
      </c>
      <c r="C131" s="1009"/>
      <c r="D131" s="1009"/>
      <c r="E131" s="1009"/>
      <c r="F131" s="1009"/>
      <c r="G131" s="1009"/>
      <c r="H131" s="1009"/>
      <c r="I131" s="1009"/>
      <c r="J131" s="1010"/>
      <c r="K131" s="698"/>
    </row>
    <row r="132" spans="1:11" ht="17.25" customHeight="1">
      <c r="A132" s="754"/>
      <c r="B132" s="699" t="s">
        <v>650</v>
      </c>
      <c r="C132" s="1162" t="s">
        <v>651</v>
      </c>
      <c r="D132" s="1009"/>
      <c r="E132" s="1009"/>
      <c r="F132" s="1009"/>
      <c r="G132" s="1009"/>
      <c r="H132" s="1009"/>
      <c r="I132" s="1010"/>
      <c r="J132" s="699" t="s">
        <v>591</v>
      </c>
      <c r="K132" s="700"/>
    </row>
    <row r="133" spans="1:11" ht="45" customHeight="1">
      <c r="A133" s="754"/>
      <c r="B133" s="823" t="s">
        <v>514</v>
      </c>
      <c r="C133" s="1215" t="s">
        <v>1123</v>
      </c>
      <c r="D133" s="1009"/>
      <c r="E133" s="1009"/>
      <c r="F133" s="1009"/>
      <c r="G133" s="1009"/>
      <c r="H133" s="701">
        <v>9.0749999999999997E-2</v>
      </c>
      <c r="I133" s="702">
        <f>I86</f>
        <v>0.36800000000000005</v>
      </c>
      <c r="J133" s="814">
        <f>ROUND(H133*J58,2)*(1+I133)</f>
        <v>512.48016000000007</v>
      </c>
      <c r="K133" s="809"/>
    </row>
    <row r="134" spans="1:11" ht="17.25" customHeight="1">
      <c r="A134" s="754"/>
      <c r="B134" s="823" t="s">
        <v>516</v>
      </c>
      <c r="C134" s="1178" t="s">
        <v>1124</v>
      </c>
      <c r="D134" s="1009"/>
      <c r="E134" s="1009"/>
      <c r="F134" s="1009"/>
      <c r="G134" s="1009"/>
      <c r="H134" s="1009"/>
      <c r="I134" s="1010"/>
      <c r="J134" s="814">
        <f>ROUND((1/30)/12*(J129),2)</f>
        <v>18.11</v>
      </c>
      <c r="K134" s="809"/>
    </row>
    <row r="135" spans="1:11" ht="28.5" customHeight="1">
      <c r="A135" s="754"/>
      <c r="B135" s="823" t="s">
        <v>518</v>
      </c>
      <c r="C135" s="1178" t="s">
        <v>1125</v>
      </c>
      <c r="D135" s="1009"/>
      <c r="E135" s="1009"/>
      <c r="F135" s="1009"/>
      <c r="G135" s="1009"/>
      <c r="H135" s="1009"/>
      <c r="I135" s="1010"/>
      <c r="J135" s="814">
        <f>ROUND((5/30)/12*0.015*(J129),2)</f>
        <v>1.36</v>
      </c>
      <c r="K135" s="809"/>
    </row>
    <row r="136" spans="1:11" ht="33.75" customHeight="1">
      <c r="A136" s="754"/>
      <c r="B136" s="823" t="s">
        <v>520</v>
      </c>
      <c r="C136" s="1178" t="s">
        <v>1126</v>
      </c>
      <c r="D136" s="1009"/>
      <c r="E136" s="1009"/>
      <c r="F136" s="1009"/>
      <c r="G136" s="1009"/>
      <c r="H136" s="1009"/>
      <c r="I136" s="1010"/>
      <c r="J136" s="814">
        <f>ROUND(((15/30)/12)*0.0078*(J129),2)</f>
        <v>2.12</v>
      </c>
      <c r="K136" s="809"/>
    </row>
    <row r="137" spans="1:11" ht="30.75" customHeight="1">
      <c r="A137" s="754"/>
      <c r="B137" s="850" t="s">
        <v>562</v>
      </c>
      <c r="C137" s="1264" t="s">
        <v>1127</v>
      </c>
      <c r="D137" s="1009"/>
      <c r="E137" s="1009"/>
      <c r="F137" s="1009"/>
      <c r="G137" s="1009"/>
      <c r="H137" s="1009"/>
      <c r="I137" s="1010"/>
      <c r="J137" s="704">
        <f>ROUND(((((C129+C129/3)+(I86)*(C129+C129/3))*(4/12))/12)*0.02,2) + ((J106 -J92-J97+ J124)*4/12)*0.02</f>
        <v>5.7219333333333333</v>
      </c>
      <c r="K137" s="653"/>
    </row>
    <row r="138" spans="1:11" ht="53.25" customHeight="1">
      <c r="A138" s="754"/>
      <c r="B138" s="823" t="s">
        <v>566</v>
      </c>
      <c r="C138" s="1178" t="s">
        <v>1128</v>
      </c>
      <c r="D138" s="1009"/>
      <c r="E138" s="1009"/>
      <c r="F138" s="1009"/>
      <c r="G138" s="1009"/>
      <c r="H138" s="1009"/>
      <c r="I138" s="1010"/>
      <c r="J138" s="814">
        <f>ROUND(((3/30)/12)*(J129),2)</f>
        <v>54.33</v>
      </c>
      <c r="K138" s="809"/>
    </row>
    <row r="139" spans="1:11" ht="12" customHeight="1">
      <c r="A139" s="754"/>
      <c r="B139" s="1204" t="s">
        <v>594</v>
      </c>
      <c r="C139" s="1009"/>
      <c r="D139" s="1009"/>
      <c r="E139" s="1009"/>
      <c r="F139" s="1009"/>
      <c r="G139" s="1009"/>
      <c r="H139" s="1009"/>
      <c r="I139" s="1010"/>
      <c r="J139" s="808">
        <f>SUM(J133:J138)</f>
        <v>594.12209333333351</v>
      </c>
      <c r="K139" s="809"/>
    </row>
    <row r="140" spans="1:11" ht="7.5" customHeight="1">
      <c r="A140" s="754"/>
      <c r="B140" s="1186"/>
      <c r="C140" s="1009"/>
      <c r="D140" s="1009"/>
      <c r="E140" s="1009"/>
      <c r="F140" s="1009"/>
      <c r="G140" s="1009"/>
      <c r="H140" s="1009"/>
      <c r="I140" s="1009"/>
      <c r="J140" s="1010"/>
      <c r="K140" s="844"/>
    </row>
    <row r="141" spans="1:11" ht="19.5" customHeight="1">
      <c r="A141" s="754"/>
      <c r="B141" s="1096" t="s">
        <v>658</v>
      </c>
      <c r="C141" s="1009"/>
      <c r="D141" s="1009"/>
      <c r="E141" s="1009"/>
      <c r="F141" s="1009"/>
      <c r="G141" s="1009"/>
      <c r="H141" s="1009"/>
      <c r="I141" s="1009"/>
      <c r="J141" s="1010"/>
      <c r="K141" s="646"/>
    </row>
    <row r="142" spans="1:11" ht="19.5" customHeight="1">
      <c r="A142" s="754"/>
      <c r="B142" s="705" t="s">
        <v>659</v>
      </c>
      <c r="C142" s="1097" t="s">
        <v>660</v>
      </c>
      <c r="D142" s="1009"/>
      <c r="E142" s="1009"/>
      <c r="F142" s="1009"/>
      <c r="G142" s="1009"/>
      <c r="H142" s="1009"/>
      <c r="I142" s="1010"/>
      <c r="J142" s="706" t="s">
        <v>591</v>
      </c>
      <c r="K142" s="707"/>
    </row>
    <row r="143" spans="1:11" ht="19.5" customHeight="1">
      <c r="A143" s="754"/>
      <c r="B143" s="851" t="s">
        <v>514</v>
      </c>
      <c r="C143" s="1202" t="s">
        <v>661</v>
      </c>
      <c r="D143" s="1009"/>
      <c r="E143" s="1009"/>
      <c r="F143" s="1009"/>
      <c r="G143" s="1009"/>
      <c r="H143" s="1009"/>
      <c r="I143" s="1010"/>
      <c r="J143" s="852">
        <v>0</v>
      </c>
      <c r="K143" s="853"/>
    </row>
    <row r="144" spans="1:11" ht="19.5" customHeight="1">
      <c r="A144" s="754"/>
      <c r="B144" s="1199" t="s">
        <v>594</v>
      </c>
      <c r="C144" s="1009"/>
      <c r="D144" s="1009"/>
      <c r="E144" s="1009"/>
      <c r="F144" s="1009"/>
      <c r="G144" s="1009"/>
      <c r="H144" s="1009"/>
      <c r="I144" s="1010"/>
      <c r="J144" s="854">
        <v>0</v>
      </c>
      <c r="K144" s="853"/>
    </row>
    <row r="145" spans="1:11" ht="6.75" customHeight="1">
      <c r="A145" s="754"/>
      <c r="B145" s="1200"/>
      <c r="C145" s="1009"/>
      <c r="D145" s="1009"/>
      <c r="E145" s="1009"/>
      <c r="F145" s="1009"/>
      <c r="G145" s="1009"/>
      <c r="H145" s="1009"/>
      <c r="I145" s="1009"/>
      <c r="J145" s="1010"/>
      <c r="K145" s="855"/>
    </row>
    <row r="146" spans="1:11" ht="19.5" customHeight="1">
      <c r="A146" s="754"/>
      <c r="B146" s="1201" t="s">
        <v>662</v>
      </c>
      <c r="C146" s="1009"/>
      <c r="D146" s="1009"/>
      <c r="E146" s="1009"/>
      <c r="F146" s="1009"/>
      <c r="G146" s="1009"/>
      <c r="H146" s="1009"/>
      <c r="I146" s="1009"/>
      <c r="J146" s="1010"/>
      <c r="K146" s="805"/>
    </row>
    <row r="147" spans="1:11" ht="19.5" customHeight="1">
      <c r="A147" s="754"/>
      <c r="B147" s="657">
        <v>4</v>
      </c>
      <c r="C147" s="1097" t="s">
        <v>663</v>
      </c>
      <c r="D147" s="1009"/>
      <c r="E147" s="1009"/>
      <c r="F147" s="1009"/>
      <c r="G147" s="1009"/>
      <c r="H147" s="1009"/>
      <c r="I147" s="1010"/>
      <c r="J147" s="706" t="s">
        <v>591</v>
      </c>
      <c r="K147" s="707"/>
    </row>
    <row r="148" spans="1:11" ht="28.5" customHeight="1">
      <c r="A148" s="754"/>
      <c r="B148" s="769" t="s">
        <v>650</v>
      </c>
      <c r="C148" s="1202" t="s">
        <v>651</v>
      </c>
      <c r="D148" s="1009"/>
      <c r="E148" s="1009"/>
      <c r="F148" s="1009"/>
      <c r="G148" s="1009"/>
      <c r="H148" s="1009"/>
      <c r="I148" s="1010"/>
      <c r="J148" s="852">
        <f>J139</f>
        <v>594.12209333333351</v>
      </c>
      <c r="K148" s="853"/>
    </row>
    <row r="149" spans="1:11" ht="24" customHeight="1">
      <c r="A149" s="754"/>
      <c r="B149" s="769" t="s">
        <v>664</v>
      </c>
      <c r="C149" s="1202" t="s">
        <v>660</v>
      </c>
      <c r="D149" s="1009"/>
      <c r="E149" s="1009"/>
      <c r="F149" s="1009"/>
      <c r="G149" s="1009"/>
      <c r="H149" s="1009"/>
      <c r="I149" s="1010"/>
      <c r="J149" s="852">
        <f>J144</f>
        <v>0</v>
      </c>
      <c r="K149" s="853"/>
    </row>
    <row r="150" spans="1:11" ht="24" customHeight="1">
      <c r="A150" s="754"/>
      <c r="B150" s="1261" t="s">
        <v>594</v>
      </c>
      <c r="C150" s="1009"/>
      <c r="D150" s="1009"/>
      <c r="E150" s="1009"/>
      <c r="F150" s="1009"/>
      <c r="G150" s="1009"/>
      <c r="H150" s="1009"/>
      <c r="I150" s="1010"/>
      <c r="J150" s="854">
        <f>SUM(J148+J149)</f>
        <v>594.12209333333351</v>
      </c>
      <c r="K150" s="853"/>
    </row>
    <row r="151" spans="1:11" ht="9.75" customHeight="1">
      <c r="A151" s="754"/>
      <c r="B151" s="1200"/>
      <c r="C151" s="1009"/>
      <c r="D151" s="1009"/>
      <c r="E151" s="1009"/>
      <c r="F151" s="1009"/>
      <c r="G151" s="1009"/>
      <c r="H151" s="1009"/>
      <c r="I151" s="1009"/>
      <c r="J151" s="1010"/>
      <c r="K151" s="855"/>
    </row>
    <row r="152" spans="1:11" ht="15.75" customHeight="1">
      <c r="A152" s="754"/>
      <c r="B152" s="1187" t="s">
        <v>665</v>
      </c>
      <c r="C152" s="1009"/>
      <c r="D152" s="1009"/>
      <c r="E152" s="1009"/>
      <c r="F152" s="1009"/>
      <c r="G152" s="1009"/>
      <c r="H152" s="1009"/>
      <c r="I152" s="1009"/>
      <c r="J152" s="1010"/>
      <c r="K152" s="845"/>
    </row>
    <row r="153" spans="1:11" ht="15.75" customHeight="1">
      <c r="A153" s="754"/>
      <c r="B153" s="669">
        <v>3</v>
      </c>
      <c r="C153" s="1083" t="s">
        <v>666</v>
      </c>
      <c r="D153" s="1009"/>
      <c r="E153" s="1009"/>
      <c r="F153" s="1009"/>
      <c r="G153" s="1009"/>
      <c r="H153" s="1009"/>
      <c r="I153" s="1010"/>
      <c r="J153" s="669" t="s">
        <v>591</v>
      </c>
      <c r="K153" s="601"/>
    </row>
    <row r="154" spans="1:11" ht="24" customHeight="1">
      <c r="A154" s="754"/>
      <c r="B154" s="823" t="s">
        <v>514</v>
      </c>
      <c r="C154" s="1178" t="s">
        <v>769</v>
      </c>
      <c r="D154" s="1009"/>
      <c r="E154" s="1009"/>
      <c r="F154" s="1009"/>
      <c r="G154" s="1009"/>
      <c r="H154" s="1009"/>
      <c r="I154" s="1010"/>
      <c r="J154" s="814">
        <v>0</v>
      </c>
      <c r="K154" s="809"/>
    </row>
    <row r="155" spans="1:11" ht="15.75" customHeight="1">
      <c r="A155" s="754"/>
      <c r="B155" s="823" t="s">
        <v>516</v>
      </c>
      <c r="C155" s="1178" t="s">
        <v>770</v>
      </c>
      <c r="D155" s="1009"/>
      <c r="E155" s="1009"/>
      <c r="F155" s="1009"/>
      <c r="G155" s="1009"/>
      <c r="H155" s="1009"/>
      <c r="I155" s="1010"/>
      <c r="J155" s="834">
        <v>0</v>
      </c>
      <c r="K155" s="835"/>
    </row>
    <row r="156" spans="1:11" ht="15.75" customHeight="1">
      <c r="A156" s="754"/>
      <c r="B156" s="823" t="s">
        <v>518</v>
      </c>
      <c r="C156" s="1178" t="s">
        <v>668</v>
      </c>
      <c r="D156" s="1009"/>
      <c r="E156" s="1009"/>
      <c r="F156" s="1009"/>
      <c r="G156" s="1009"/>
      <c r="H156" s="1009"/>
      <c r="I156" s="1010"/>
      <c r="J156" s="834" t="s">
        <v>669</v>
      </c>
      <c r="K156" s="835"/>
    </row>
    <row r="157" spans="1:11" ht="19.5" customHeight="1">
      <c r="A157" s="754"/>
      <c r="B157" s="1204" t="s">
        <v>670</v>
      </c>
      <c r="C157" s="1009"/>
      <c r="D157" s="1009"/>
      <c r="E157" s="1009"/>
      <c r="F157" s="1009"/>
      <c r="G157" s="1009"/>
      <c r="H157" s="1009"/>
      <c r="I157" s="1010"/>
      <c r="J157" s="857">
        <f>ROUND(SUM(J154:J156),2)</f>
        <v>0</v>
      </c>
      <c r="K157" s="835"/>
    </row>
    <row r="158" spans="1:11" ht="7.5" customHeight="1">
      <c r="A158" s="754"/>
      <c r="B158" s="1267"/>
      <c r="C158" s="1009"/>
      <c r="D158" s="1009"/>
      <c r="E158" s="1009"/>
      <c r="F158" s="1009"/>
      <c r="G158" s="1009"/>
      <c r="H158" s="1009"/>
      <c r="I158" s="1009"/>
      <c r="J158" s="1010"/>
      <c r="K158" s="858"/>
    </row>
    <row r="159" spans="1:11" ht="18.75" customHeight="1">
      <c r="A159" s="754"/>
      <c r="B159" s="1268" t="s">
        <v>671</v>
      </c>
      <c r="C159" s="1009"/>
      <c r="D159" s="1009"/>
      <c r="E159" s="1009"/>
      <c r="F159" s="1009"/>
      <c r="G159" s="1009"/>
      <c r="H159" s="1009"/>
      <c r="I159" s="1009"/>
      <c r="J159" s="1010"/>
      <c r="K159" s="859"/>
    </row>
    <row r="160" spans="1:11" ht="10.5" customHeight="1">
      <c r="A160" s="754"/>
      <c r="B160" s="860"/>
      <c r="C160" s="714"/>
      <c r="D160" s="714"/>
      <c r="E160" s="714"/>
      <c r="F160" s="714"/>
      <c r="G160" s="714"/>
      <c r="H160" s="714"/>
      <c r="I160" s="714"/>
      <c r="J160" s="715"/>
      <c r="K160" s="329"/>
    </row>
    <row r="161" spans="1:11" ht="24" customHeight="1">
      <c r="A161" s="754"/>
      <c r="B161" s="1252" t="s">
        <v>672</v>
      </c>
      <c r="C161" s="1009"/>
      <c r="D161" s="1009"/>
      <c r="E161" s="1009"/>
      <c r="F161" s="1009"/>
      <c r="G161" s="1009"/>
      <c r="H161" s="1009"/>
      <c r="I161" s="1009"/>
      <c r="J161" s="1010"/>
      <c r="K161" s="842"/>
    </row>
    <row r="162" spans="1:11" ht="18.75" customHeight="1">
      <c r="A162" s="754"/>
      <c r="B162" s="669">
        <v>6</v>
      </c>
      <c r="C162" s="1162" t="s">
        <v>673</v>
      </c>
      <c r="D162" s="1009"/>
      <c r="E162" s="1009"/>
      <c r="F162" s="1009"/>
      <c r="G162" s="1009"/>
      <c r="H162" s="1010"/>
      <c r="I162" s="861" t="s">
        <v>556</v>
      </c>
      <c r="J162" s="716" t="s">
        <v>599</v>
      </c>
      <c r="K162" s="717"/>
    </row>
    <row r="163" spans="1:11" ht="60" customHeight="1">
      <c r="A163" s="754"/>
      <c r="B163" s="1229" t="s">
        <v>674</v>
      </c>
      <c r="C163" s="1009"/>
      <c r="D163" s="1009"/>
      <c r="E163" s="1009"/>
      <c r="F163" s="1009"/>
      <c r="G163" s="1009"/>
      <c r="H163" s="1010"/>
      <c r="I163" s="355" t="s">
        <v>527</v>
      </c>
      <c r="J163" s="862">
        <f>SUM(J63+J115+J124+J150+J157)</f>
        <v>7113.7620933333337</v>
      </c>
      <c r="K163" s="863"/>
    </row>
    <row r="164" spans="1:11" ht="24" customHeight="1">
      <c r="A164" s="754"/>
      <c r="B164" s="823" t="s">
        <v>514</v>
      </c>
      <c r="C164" s="1109" t="s">
        <v>675</v>
      </c>
      <c r="D164" s="1009"/>
      <c r="E164" s="1009"/>
      <c r="F164" s="1009"/>
      <c r="G164" s="1009"/>
      <c r="H164" s="1010"/>
      <c r="I164" s="813">
        <f>'1-ABA-DE-CARREGAMENTO'!J85</f>
        <v>0.06</v>
      </c>
      <c r="J164" s="814">
        <f>ROUND(I164*J163,2)</f>
        <v>426.83</v>
      </c>
      <c r="K164" s="809"/>
    </row>
    <row r="165" spans="1:11" ht="50.25" customHeight="1">
      <c r="A165" s="754"/>
      <c r="B165" s="1229" t="s">
        <v>676</v>
      </c>
      <c r="C165" s="1009"/>
      <c r="D165" s="1009"/>
      <c r="E165" s="1009"/>
      <c r="F165" s="1009"/>
      <c r="G165" s="1009"/>
      <c r="H165" s="1010"/>
      <c r="I165" s="864" t="s">
        <v>527</v>
      </c>
      <c r="J165" s="862">
        <f>SUM(J63+J115+J124+J150+J157+J164)</f>
        <v>7540.5920933333337</v>
      </c>
      <c r="K165" s="863"/>
    </row>
    <row r="166" spans="1:11" ht="19.5" customHeight="1">
      <c r="A166" s="754"/>
      <c r="B166" s="823" t="s">
        <v>516</v>
      </c>
      <c r="C166" s="1109" t="s">
        <v>312</v>
      </c>
      <c r="D166" s="1009"/>
      <c r="E166" s="1009"/>
      <c r="F166" s="1009"/>
      <c r="G166" s="1009"/>
      <c r="H166" s="1010"/>
      <c r="I166" s="813">
        <f>'1-ABA-DE-CARREGAMENTO'!J86</f>
        <v>0.06</v>
      </c>
      <c r="J166" s="814">
        <f>ROUND(I166*J165,2)</f>
        <v>452.44</v>
      </c>
      <c r="K166" s="809"/>
    </row>
    <row r="167" spans="1:11" ht="54" customHeight="1">
      <c r="A167" s="754"/>
      <c r="B167" s="1229" t="s">
        <v>677</v>
      </c>
      <c r="C167" s="1009"/>
      <c r="D167" s="1009"/>
      <c r="E167" s="1009"/>
      <c r="F167" s="1009"/>
      <c r="G167" s="1009"/>
      <c r="H167" s="1010"/>
      <c r="I167" s="864" t="s">
        <v>527</v>
      </c>
      <c r="J167" s="862">
        <f>SUM(J163+J164+J166)</f>
        <v>7993.0320933333333</v>
      </c>
      <c r="K167" s="863"/>
    </row>
    <row r="168" spans="1:11" ht="18.75" customHeight="1">
      <c r="A168" s="754"/>
      <c r="B168" s="865" t="s">
        <v>518</v>
      </c>
      <c r="C168" s="1252" t="s">
        <v>678</v>
      </c>
      <c r="D168" s="1009"/>
      <c r="E168" s="1009"/>
      <c r="F168" s="1009"/>
      <c r="G168" s="1009"/>
      <c r="H168" s="1010"/>
      <c r="I168" s="792" t="s">
        <v>527</v>
      </c>
      <c r="J168" s="798" t="s">
        <v>527</v>
      </c>
      <c r="K168" s="799"/>
    </row>
    <row r="169" spans="1:11" ht="30" customHeight="1">
      <c r="A169" s="754"/>
      <c r="B169" s="823"/>
      <c r="C169" s="1212" t="s">
        <v>679</v>
      </c>
      <c r="D169" s="1009"/>
      <c r="E169" s="1009"/>
      <c r="F169" s="1009"/>
      <c r="G169" s="1009"/>
      <c r="H169" s="1010"/>
      <c r="I169" s="792" t="s">
        <v>527</v>
      </c>
      <c r="J169" s="798" t="s">
        <v>527</v>
      </c>
      <c r="K169" s="799"/>
    </row>
    <row r="170" spans="1:11" ht="23.25" customHeight="1">
      <c r="A170" s="754"/>
      <c r="B170" s="823"/>
      <c r="C170" s="1099" t="s">
        <v>1129</v>
      </c>
      <c r="D170" s="1009"/>
      <c r="E170" s="1009"/>
      <c r="F170" s="1009"/>
      <c r="G170" s="1009"/>
      <c r="H170" s="1010"/>
      <c r="I170" s="866">
        <f>'1-ABA-DE-CARREGAMENTO'!E28</f>
        <v>1.6500000000000001E-2</v>
      </c>
      <c r="J170" s="867">
        <f t="shared" ref="J170:J171" si="1">ROUND(($J$167/(1-$I$179))*I170,2)</f>
        <v>152.03</v>
      </c>
      <c r="K170" s="868"/>
    </row>
    <row r="171" spans="1:11" ht="23.25" customHeight="1">
      <c r="A171" s="754"/>
      <c r="B171" s="823"/>
      <c r="C171" s="1099" t="s">
        <v>1130</v>
      </c>
      <c r="D171" s="1009"/>
      <c r="E171" s="1009"/>
      <c r="F171" s="1009"/>
      <c r="G171" s="1009"/>
      <c r="H171" s="1010"/>
      <c r="I171" s="866">
        <f>'1-ABA-DE-CARREGAMENTO'!F28</f>
        <v>7.5999999999999998E-2</v>
      </c>
      <c r="J171" s="867">
        <f t="shared" si="1"/>
        <v>700.25</v>
      </c>
      <c r="K171" s="868"/>
    </row>
    <row r="172" spans="1:11" ht="23.25" customHeight="1">
      <c r="A172" s="754"/>
      <c r="B172" s="823"/>
      <c r="C172" s="1178" t="s">
        <v>1131</v>
      </c>
      <c r="D172" s="1009"/>
      <c r="E172" s="1009"/>
      <c r="F172" s="1009"/>
      <c r="G172" s="1009"/>
      <c r="H172" s="1010"/>
      <c r="I172" s="869" t="s">
        <v>527</v>
      </c>
      <c r="J172" s="798" t="s">
        <v>527</v>
      </c>
      <c r="K172" s="799"/>
    </row>
    <row r="173" spans="1:11" ht="23.25" customHeight="1">
      <c r="A173" s="754"/>
      <c r="B173" s="823"/>
      <c r="C173" s="1178" t="s">
        <v>1132</v>
      </c>
      <c r="D173" s="1009"/>
      <c r="E173" s="1009"/>
      <c r="F173" s="1009"/>
      <c r="G173" s="1009"/>
      <c r="H173" s="1010"/>
      <c r="I173" s="869" t="s">
        <v>527</v>
      </c>
      <c r="J173" s="798" t="s">
        <v>527</v>
      </c>
      <c r="K173" s="799"/>
    </row>
    <row r="174" spans="1:11" ht="15.75" customHeight="1">
      <c r="A174" s="754"/>
      <c r="B174" s="823"/>
      <c r="C174" s="1178" t="s">
        <v>684</v>
      </c>
      <c r="D174" s="1009"/>
      <c r="E174" s="1009"/>
      <c r="F174" s="1009"/>
      <c r="G174" s="1009"/>
      <c r="H174" s="1009"/>
      <c r="I174" s="870" t="s">
        <v>527</v>
      </c>
      <c r="J174" s="871" t="s">
        <v>527</v>
      </c>
      <c r="K174" s="872"/>
    </row>
    <row r="175" spans="1:11" ht="15.75" customHeight="1">
      <c r="A175" s="754"/>
      <c r="B175" s="823"/>
      <c r="C175" s="1178" t="s">
        <v>685</v>
      </c>
      <c r="D175" s="1009"/>
      <c r="E175" s="1009"/>
      <c r="F175" s="1009"/>
      <c r="G175" s="1009"/>
      <c r="H175" s="1009"/>
      <c r="I175" s="870" t="s">
        <v>527</v>
      </c>
      <c r="J175" s="871" t="s">
        <v>527</v>
      </c>
      <c r="K175" s="872"/>
    </row>
    <row r="176" spans="1:11" ht="15.75" customHeight="1">
      <c r="A176" s="754"/>
      <c r="B176" s="823"/>
      <c r="C176" s="1178" t="s">
        <v>1133</v>
      </c>
      <c r="D176" s="1009"/>
      <c r="E176" s="1009"/>
      <c r="F176" s="1009"/>
      <c r="G176" s="1009"/>
      <c r="H176" s="1010"/>
      <c r="I176" s="873">
        <f>'1-ABA-DE-CARREGAMENTO'!D87</f>
        <v>0.04</v>
      </c>
      <c r="J176" s="867">
        <f>ROUND(($J$167/(1-$I$179))*I176,2)</f>
        <v>368.55</v>
      </c>
      <c r="K176" s="868"/>
    </row>
    <row r="177" spans="1:11" ht="15.75" customHeight="1">
      <c r="A177" s="754"/>
      <c r="B177" s="1204" t="s">
        <v>641</v>
      </c>
      <c r="C177" s="1009"/>
      <c r="D177" s="1009"/>
      <c r="E177" s="1009"/>
      <c r="F177" s="1009"/>
      <c r="G177" s="1009"/>
      <c r="H177" s="1009"/>
      <c r="I177" s="1010"/>
      <c r="J177" s="808">
        <f>SUM(J164+J166+J170+J171+J176)</f>
        <v>2100.1</v>
      </c>
      <c r="K177" s="809"/>
    </row>
    <row r="178" spans="1:11" ht="15.75" customHeight="1">
      <c r="A178" s="754"/>
      <c r="B178" s="1186"/>
      <c r="C178" s="1009"/>
      <c r="D178" s="1009"/>
      <c r="E178" s="1009"/>
      <c r="F178" s="1009"/>
      <c r="G178" s="1009"/>
      <c r="H178" s="1009"/>
      <c r="I178" s="1009"/>
      <c r="J178" s="1010"/>
      <c r="K178" s="844"/>
    </row>
    <row r="179" spans="1:11" ht="15.75" customHeight="1">
      <c r="A179" s="754"/>
      <c r="B179" s="1205" t="s">
        <v>687</v>
      </c>
      <c r="C179" s="1009"/>
      <c r="D179" s="1009"/>
      <c r="E179" s="1009"/>
      <c r="F179" s="1009"/>
      <c r="G179" s="1009"/>
      <c r="H179" s="1010"/>
      <c r="I179" s="874">
        <f t="shared" ref="I179:J179" si="2">SUM(I170:I176)</f>
        <v>0.13250000000000001</v>
      </c>
      <c r="J179" s="862">
        <f t="shared" si="2"/>
        <v>1220.83</v>
      </c>
      <c r="K179" s="863"/>
    </row>
    <row r="180" spans="1:11" ht="15.75" customHeight="1">
      <c r="A180" s="754"/>
      <c r="B180" s="1206" t="s">
        <v>688</v>
      </c>
      <c r="C180" s="1023"/>
      <c r="D180" s="1207" t="s">
        <v>689</v>
      </c>
      <c r="E180" s="1023"/>
      <c r="F180" s="1023"/>
      <c r="G180" s="1023"/>
      <c r="H180" s="1023"/>
      <c r="I180" s="1023"/>
      <c r="J180" s="1040"/>
      <c r="K180" s="875"/>
    </row>
    <row r="181" spans="1:11" ht="15.75" customHeight="1">
      <c r="A181" s="754"/>
      <c r="B181" s="1102"/>
      <c r="C181" s="1023"/>
      <c r="D181" s="1208" t="s">
        <v>690</v>
      </c>
      <c r="E181" s="1023"/>
      <c r="F181" s="1023"/>
      <c r="G181" s="1023"/>
      <c r="H181" s="1023"/>
      <c r="I181" s="1023"/>
      <c r="J181" s="1040"/>
      <c r="K181" s="876"/>
    </row>
    <row r="182" spans="1:11" ht="15.75" customHeight="1">
      <c r="A182" s="754"/>
      <c r="B182" s="1103"/>
      <c r="C182" s="1060"/>
      <c r="D182" s="1209" t="s">
        <v>691</v>
      </c>
      <c r="E182" s="1060"/>
      <c r="F182" s="1060"/>
      <c r="G182" s="1060"/>
      <c r="H182" s="1060"/>
      <c r="I182" s="1060"/>
      <c r="J182" s="1062"/>
      <c r="K182" s="875"/>
    </row>
    <row r="183" spans="1:11" ht="9" customHeight="1">
      <c r="A183" s="754"/>
      <c r="B183" s="1210"/>
      <c r="C183" s="1009"/>
      <c r="D183" s="1009"/>
      <c r="E183" s="1009"/>
      <c r="F183" s="1009"/>
      <c r="G183" s="1009"/>
      <c r="H183" s="1009"/>
      <c r="I183" s="1009"/>
      <c r="J183" s="1010"/>
      <c r="K183" s="877"/>
    </row>
    <row r="184" spans="1:11" ht="25.5" customHeight="1">
      <c r="A184" s="754"/>
      <c r="B184" s="1211" t="s">
        <v>692</v>
      </c>
      <c r="C184" s="1009"/>
      <c r="D184" s="1009"/>
      <c r="E184" s="1009"/>
      <c r="F184" s="1009"/>
      <c r="G184" s="1009"/>
      <c r="H184" s="1009"/>
      <c r="I184" s="1009"/>
      <c r="J184" s="1010"/>
      <c r="K184" s="766"/>
    </row>
    <row r="185" spans="1:11" ht="12" customHeight="1">
      <c r="A185" s="754"/>
      <c r="B185" s="1186"/>
      <c r="C185" s="1009"/>
      <c r="D185" s="1009"/>
      <c r="E185" s="1009"/>
      <c r="F185" s="1009"/>
      <c r="G185" s="1009"/>
      <c r="H185" s="1009"/>
      <c r="I185" s="1009"/>
      <c r="J185" s="1010"/>
      <c r="K185" s="844"/>
    </row>
    <row r="186" spans="1:11" ht="15.75" customHeight="1">
      <c r="A186" s="754"/>
      <c r="B186" s="1187" t="s">
        <v>1134</v>
      </c>
      <c r="C186" s="1009"/>
      <c r="D186" s="1009"/>
      <c r="E186" s="1009"/>
      <c r="F186" s="1009"/>
      <c r="G186" s="1009"/>
      <c r="H186" s="1009"/>
      <c r="I186" s="1009"/>
      <c r="J186" s="1010"/>
      <c r="K186" s="845"/>
    </row>
    <row r="187" spans="1:11" ht="15.75" customHeight="1">
      <c r="A187" s="754"/>
      <c r="B187" s="1086" t="s">
        <v>694</v>
      </c>
      <c r="C187" s="1009"/>
      <c r="D187" s="1009"/>
      <c r="E187" s="1009"/>
      <c r="F187" s="1009"/>
      <c r="G187" s="1009"/>
      <c r="H187" s="1009"/>
      <c r="I187" s="1010"/>
      <c r="J187" s="861" t="s">
        <v>591</v>
      </c>
      <c r="K187" s="763"/>
    </row>
    <row r="188" spans="1:11" ht="15.75" customHeight="1">
      <c r="A188" s="754"/>
      <c r="B188" s="878" t="s">
        <v>514</v>
      </c>
      <c r="C188" s="1181" t="s">
        <v>695</v>
      </c>
      <c r="D188" s="1009"/>
      <c r="E188" s="1009"/>
      <c r="F188" s="1009"/>
      <c r="G188" s="1009"/>
      <c r="H188" s="1009"/>
      <c r="I188" s="1009"/>
      <c r="J188" s="834">
        <f>J63</f>
        <v>4128.0200000000004</v>
      </c>
      <c r="K188" s="835"/>
    </row>
    <row r="189" spans="1:11" ht="15.75" customHeight="1">
      <c r="A189" s="754"/>
      <c r="B189" s="878" t="s">
        <v>516</v>
      </c>
      <c r="C189" s="1181" t="s">
        <v>696</v>
      </c>
      <c r="D189" s="1009"/>
      <c r="E189" s="1009"/>
      <c r="F189" s="1009"/>
      <c r="G189" s="1009"/>
      <c r="H189" s="1009"/>
      <c r="I189" s="1009"/>
      <c r="J189" s="834">
        <f>J115</f>
        <v>2160.33</v>
      </c>
      <c r="K189" s="835"/>
    </row>
    <row r="190" spans="1:11" ht="15.75" customHeight="1">
      <c r="A190" s="754"/>
      <c r="B190" s="878" t="s">
        <v>518</v>
      </c>
      <c r="C190" s="1181" t="s">
        <v>697</v>
      </c>
      <c r="D190" s="1009"/>
      <c r="E190" s="1009"/>
      <c r="F190" s="1009"/>
      <c r="G190" s="1009"/>
      <c r="H190" s="1009"/>
      <c r="I190" s="1009"/>
      <c r="J190" s="834">
        <f>J124</f>
        <v>231.29</v>
      </c>
      <c r="K190" s="835"/>
    </row>
    <row r="191" spans="1:11" ht="15.75" customHeight="1">
      <c r="A191" s="754"/>
      <c r="B191" s="878" t="s">
        <v>520</v>
      </c>
      <c r="C191" s="1181" t="s">
        <v>698</v>
      </c>
      <c r="D191" s="1009"/>
      <c r="E191" s="1009"/>
      <c r="F191" s="1009"/>
      <c r="G191" s="1009"/>
      <c r="H191" s="1009"/>
      <c r="I191" s="1009"/>
      <c r="J191" s="834">
        <f>J150</f>
        <v>594.12209333333351</v>
      </c>
      <c r="K191" s="835"/>
    </row>
    <row r="192" spans="1:11" ht="15.75" customHeight="1">
      <c r="A192" s="754"/>
      <c r="B192" s="878" t="s">
        <v>562</v>
      </c>
      <c r="C192" s="1181" t="s">
        <v>699</v>
      </c>
      <c r="D192" s="1009"/>
      <c r="E192" s="1009"/>
      <c r="F192" s="1009"/>
      <c r="G192" s="1009"/>
      <c r="H192" s="1009"/>
      <c r="I192" s="1009"/>
      <c r="J192" s="834">
        <f>J157</f>
        <v>0</v>
      </c>
      <c r="K192" s="835"/>
    </row>
    <row r="193" spans="1:11" ht="15.75" customHeight="1">
      <c r="A193" s="754"/>
      <c r="B193" s="1182" t="s">
        <v>700</v>
      </c>
      <c r="C193" s="1009"/>
      <c r="D193" s="1009"/>
      <c r="E193" s="1009"/>
      <c r="F193" s="1009"/>
      <c r="G193" s="1009"/>
      <c r="H193" s="1009"/>
      <c r="I193" s="1030"/>
      <c r="J193" s="857">
        <f>ROUND(SUM(J188:J192),2)</f>
        <v>7113.76</v>
      </c>
      <c r="K193" s="835"/>
    </row>
    <row r="194" spans="1:11" ht="15.75" customHeight="1">
      <c r="A194" s="754"/>
      <c r="B194" s="879" t="s">
        <v>566</v>
      </c>
      <c r="C194" s="1181" t="s">
        <v>672</v>
      </c>
      <c r="D194" s="1009"/>
      <c r="E194" s="1009"/>
      <c r="F194" s="1009"/>
      <c r="G194" s="1009"/>
      <c r="H194" s="1009"/>
      <c r="I194" s="1009"/>
      <c r="J194" s="834">
        <f>J177</f>
        <v>2100.1</v>
      </c>
      <c r="K194" s="835"/>
    </row>
    <row r="195" spans="1:11" ht="15.75" customHeight="1">
      <c r="A195" s="754"/>
      <c r="B195" s="1182" t="s">
        <v>777</v>
      </c>
      <c r="C195" s="1009"/>
      <c r="D195" s="1009"/>
      <c r="E195" s="1009"/>
      <c r="F195" s="1009"/>
      <c r="G195" s="1009"/>
      <c r="H195" s="1009"/>
      <c r="I195" s="1030"/>
      <c r="J195" s="857">
        <f>J193+J194</f>
        <v>9213.86</v>
      </c>
      <c r="K195" s="835"/>
    </row>
    <row r="196" spans="1:11" ht="34.5" customHeight="1">
      <c r="A196" s="754"/>
      <c r="B196" s="1183" t="s">
        <v>702</v>
      </c>
      <c r="C196" s="1009"/>
      <c r="D196" s="1009"/>
      <c r="E196" s="1009"/>
      <c r="F196" s="1009"/>
      <c r="G196" s="1009"/>
      <c r="H196" s="1009"/>
      <c r="I196" s="1009"/>
      <c r="J196" s="1010"/>
      <c r="K196" s="880"/>
    </row>
    <row r="197" spans="1:11" ht="8.25" customHeight="1">
      <c r="A197" s="754"/>
      <c r="B197" s="1184"/>
      <c r="C197" s="1009"/>
      <c r="D197" s="1009"/>
      <c r="E197" s="1009"/>
      <c r="F197" s="1009"/>
      <c r="G197" s="1009"/>
      <c r="H197" s="1009"/>
      <c r="I197" s="1009"/>
      <c r="J197" s="1010"/>
      <c r="K197" s="881"/>
    </row>
    <row r="198" spans="1:11" ht="15.75" customHeight="1">
      <c r="A198" s="754"/>
      <c r="B198" s="882"/>
      <c r="C198" s="760"/>
      <c r="D198" s="760"/>
      <c r="E198" s="760"/>
      <c r="F198" s="760"/>
      <c r="G198" s="760"/>
      <c r="H198" s="760"/>
      <c r="I198" s="883"/>
      <c r="J198" s="884"/>
      <c r="K198" s="883"/>
    </row>
    <row r="199" spans="1:11" ht="15.75" customHeight="1">
      <c r="A199" s="754"/>
      <c r="B199" s="1082" t="s">
        <v>1135</v>
      </c>
      <c r="C199" s="1023"/>
      <c r="D199" s="1023"/>
      <c r="E199" s="1023"/>
      <c r="F199" s="1023"/>
      <c r="G199" s="1023"/>
      <c r="H199" s="1023"/>
      <c r="I199" s="1023"/>
      <c r="J199" s="1040"/>
      <c r="K199" s="594"/>
    </row>
    <row r="200" spans="1:11" ht="37.5" customHeight="1">
      <c r="A200" s="754"/>
      <c r="B200" s="1185" t="s">
        <v>704</v>
      </c>
      <c r="C200" s="1009"/>
      <c r="D200" s="1009"/>
      <c r="E200" s="1010"/>
      <c r="F200" s="1185" t="s">
        <v>778</v>
      </c>
      <c r="G200" s="1010"/>
      <c r="H200" s="861" t="s">
        <v>707</v>
      </c>
      <c r="I200" s="1185" t="s">
        <v>708</v>
      </c>
      <c r="J200" s="1010"/>
      <c r="K200" s="763"/>
    </row>
    <row r="201" spans="1:11" ht="36" hidden="1" customHeight="1" outlineLevel="1">
      <c r="A201" s="754"/>
      <c r="B201" s="1178" t="s">
        <v>709</v>
      </c>
      <c r="C201" s="1009"/>
      <c r="D201" s="1009"/>
      <c r="E201" s="1010"/>
      <c r="F201" s="1176">
        <v>0</v>
      </c>
      <c r="G201" s="1010"/>
      <c r="H201" s="885">
        <f t="shared" ref="H201:H202" si="3">E201*F201</f>
        <v>0</v>
      </c>
      <c r="I201" s="1176">
        <f t="shared" ref="I201:I203" si="4">F201*H201</f>
        <v>0</v>
      </c>
      <c r="J201" s="1010"/>
      <c r="K201" s="886"/>
    </row>
    <row r="202" spans="1:11" ht="36" hidden="1" customHeight="1" outlineLevel="1">
      <c r="A202" s="754"/>
      <c r="B202" s="1178" t="s">
        <v>710</v>
      </c>
      <c r="C202" s="1009"/>
      <c r="D202" s="1009"/>
      <c r="E202" s="1010"/>
      <c r="F202" s="1176">
        <v>0</v>
      </c>
      <c r="G202" s="1010"/>
      <c r="H202" s="885">
        <f t="shared" si="3"/>
        <v>0</v>
      </c>
      <c r="I202" s="1176">
        <f t="shared" si="4"/>
        <v>0</v>
      </c>
      <c r="J202" s="1010"/>
      <c r="K202" s="886"/>
    </row>
    <row r="203" spans="1:11" ht="36" customHeight="1" collapsed="1">
      <c r="A203" s="754"/>
      <c r="B203" s="1179" t="str">
        <f>B3</f>
        <v>A NÃO TEM MAIS POSTOS-55</v>
      </c>
      <c r="C203" s="1009"/>
      <c r="D203" s="1009"/>
      <c r="E203" s="1010"/>
      <c r="F203" s="1180">
        <f>J195</f>
        <v>9213.86</v>
      </c>
      <c r="G203" s="1010"/>
      <c r="H203" s="885">
        <f>I17</f>
        <v>0</v>
      </c>
      <c r="I203" s="1176">
        <f t="shared" si="4"/>
        <v>0</v>
      </c>
      <c r="J203" s="1010"/>
      <c r="K203" s="886"/>
    </row>
    <row r="204" spans="1:11" ht="36" hidden="1" customHeight="1" outlineLevel="1">
      <c r="A204" s="754"/>
      <c r="B204" s="1178" t="s">
        <v>711</v>
      </c>
      <c r="C204" s="1009"/>
      <c r="D204" s="1009"/>
      <c r="E204" s="1010"/>
      <c r="F204" s="1180">
        <v>0</v>
      </c>
      <c r="G204" s="1010"/>
      <c r="H204" s="885">
        <f t="shared" ref="H204:I204" si="5">E204*G204</f>
        <v>0</v>
      </c>
      <c r="I204" s="1176">
        <f t="shared" si="5"/>
        <v>0</v>
      </c>
      <c r="J204" s="1010"/>
      <c r="K204" s="886"/>
    </row>
    <row r="205" spans="1:11" ht="36" hidden="1" customHeight="1" outlineLevel="1">
      <c r="A205" s="754"/>
      <c r="B205" s="1178" t="s">
        <v>712</v>
      </c>
      <c r="C205" s="1009"/>
      <c r="D205" s="1009"/>
      <c r="E205" s="1010"/>
      <c r="F205" s="1180">
        <v>0</v>
      </c>
      <c r="G205" s="1010"/>
      <c r="H205" s="885">
        <f t="shared" ref="H205:I205" si="6">E205*G205</f>
        <v>0</v>
      </c>
      <c r="I205" s="1176">
        <f t="shared" si="6"/>
        <v>0</v>
      </c>
      <c r="J205" s="1010"/>
      <c r="K205" s="886"/>
    </row>
    <row r="206" spans="1:11" ht="15.75" hidden="1" customHeight="1" outlineLevel="1">
      <c r="A206" s="754"/>
      <c r="B206" s="1203" t="s">
        <v>1136</v>
      </c>
      <c r="C206" s="1009"/>
      <c r="D206" s="1009"/>
      <c r="E206" s="1010"/>
      <c r="F206" s="1176">
        <v>0</v>
      </c>
      <c r="G206" s="1010"/>
      <c r="H206" s="885">
        <f t="shared" ref="H206:I206" si="7">E206*G206</f>
        <v>0</v>
      </c>
      <c r="I206" s="1176">
        <f t="shared" si="7"/>
        <v>0</v>
      </c>
      <c r="J206" s="1010"/>
      <c r="K206" s="886"/>
    </row>
    <row r="207" spans="1:11" ht="15.75" customHeight="1" collapsed="1">
      <c r="A207" s="754"/>
      <c r="B207" s="1188" t="s">
        <v>714</v>
      </c>
      <c r="C207" s="1009"/>
      <c r="D207" s="1009"/>
      <c r="E207" s="1009"/>
      <c r="F207" s="1009"/>
      <c r="G207" s="1010"/>
      <c r="H207" s="887">
        <f>SUM(H201:H206)</f>
        <v>0</v>
      </c>
      <c r="I207" s="1177">
        <f>SUM(I201:J206)</f>
        <v>0</v>
      </c>
      <c r="J207" s="1010"/>
      <c r="K207" s="888"/>
    </row>
    <row r="208" spans="1:11" ht="7.5" customHeight="1">
      <c r="A208" s="754"/>
      <c r="B208" s="1189"/>
      <c r="C208" s="1092"/>
      <c r="D208" s="1092"/>
      <c r="E208" s="1092"/>
      <c r="F208" s="1092"/>
      <c r="G208" s="1092"/>
      <c r="H208" s="1092"/>
      <c r="I208" s="1092"/>
      <c r="J208" s="1093"/>
      <c r="K208" s="844"/>
    </row>
    <row r="209" spans="1:11" ht="15.75" customHeight="1">
      <c r="A209" s="754"/>
      <c r="B209" s="1190" t="s">
        <v>715</v>
      </c>
      <c r="C209" s="1060"/>
      <c r="D209" s="1060"/>
      <c r="E209" s="1060"/>
      <c r="F209" s="1060"/>
      <c r="G209" s="1060"/>
      <c r="H209" s="1060"/>
      <c r="I209" s="1060"/>
      <c r="J209" s="1062"/>
      <c r="K209" s="766"/>
    </row>
    <row r="210" spans="1:11" ht="7.5" customHeight="1">
      <c r="A210" s="754"/>
      <c r="B210" s="1194"/>
      <c r="C210" s="1009"/>
      <c r="D210" s="1009"/>
      <c r="E210" s="1009"/>
      <c r="F210" s="1009"/>
      <c r="G210" s="1009"/>
      <c r="H210" s="1009"/>
      <c r="I210" s="1009"/>
      <c r="J210" s="1010"/>
      <c r="K210" s="889"/>
    </row>
    <row r="211" spans="1:11" ht="15.75" customHeight="1">
      <c r="A211" s="754"/>
      <c r="B211" s="1191" t="s">
        <v>716</v>
      </c>
      <c r="C211" s="1009"/>
      <c r="D211" s="1009"/>
      <c r="E211" s="1009"/>
      <c r="F211" s="1009"/>
      <c r="G211" s="1010"/>
      <c r="H211" s="1195">
        <f>$I$207</f>
        <v>0</v>
      </c>
      <c r="I211" s="1009"/>
      <c r="J211" s="1010"/>
      <c r="K211" s="890"/>
    </row>
    <row r="212" spans="1:11" ht="7.5" customHeight="1">
      <c r="A212" s="754"/>
      <c r="B212" s="1196"/>
      <c r="C212" s="1015"/>
      <c r="D212" s="1015"/>
      <c r="E212" s="1015"/>
      <c r="F212" s="1015"/>
      <c r="G212" s="1015"/>
      <c r="H212" s="1015"/>
      <c r="I212" s="1015"/>
      <c r="J212" s="1075"/>
      <c r="K212" s="891"/>
    </row>
    <row r="213" spans="1:11" ht="15.75" customHeight="1">
      <c r="A213" s="754"/>
      <c r="B213" s="1191" t="s">
        <v>717</v>
      </c>
      <c r="C213" s="1009"/>
      <c r="D213" s="1009"/>
      <c r="E213" s="1009"/>
      <c r="F213" s="1009"/>
      <c r="G213" s="1010"/>
      <c r="H213" s="1197">
        <f>$I$11</f>
        <v>30</v>
      </c>
      <c r="I213" s="1009"/>
      <c r="J213" s="1010"/>
      <c r="K213" s="892"/>
    </row>
    <row r="214" spans="1:11" ht="7.5" customHeight="1">
      <c r="A214" s="754"/>
      <c r="B214" s="1198"/>
      <c r="C214" s="1009"/>
      <c r="D214" s="1009"/>
      <c r="E214" s="1009"/>
      <c r="F214" s="1009"/>
      <c r="G214" s="1009"/>
      <c r="H214" s="1009"/>
      <c r="I214" s="1009"/>
      <c r="J214" s="1010"/>
      <c r="K214" s="893"/>
    </row>
    <row r="215" spans="1:11" ht="15.75" customHeight="1">
      <c r="A215" s="754"/>
      <c r="B215" s="1191" t="s">
        <v>1137</v>
      </c>
      <c r="C215" s="1009"/>
      <c r="D215" s="1009"/>
      <c r="E215" s="1009"/>
      <c r="F215" s="1009"/>
      <c r="G215" s="1010"/>
      <c r="H215" s="1192">
        <f>ROUND(H211*H213,2)</f>
        <v>0</v>
      </c>
      <c r="I215" s="1009"/>
      <c r="J215" s="1010"/>
      <c r="K215" s="894"/>
    </row>
    <row r="216" spans="1:11" ht="7.5" customHeight="1">
      <c r="A216" s="754"/>
      <c r="B216" s="1193"/>
      <c r="C216" s="1009"/>
      <c r="D216" s="1009"/>
      <c r="E216" s="1009"/>
      <c r="F216" s="1009"/>
      <c r="G216" s="1009"/>
      <c r="H216" s="1009"/>
      <c r="I216" s="1009"/>
      <c r="J216" s="1010"/>
      <c r="K216" s="760"/>
    </row>
    <row r="217" spans="1:11" ht="15.75" customHeight="1">
      <c r="A217" s="754"/>
      <c r="B217" s="754"/>
      <c r="C217" s="754"/>
      <c r="D217" s="754"/>
      <c r="E217" s="754"/>
      <c r="F217" s="754"/>
      <c r="G217" s="754"/>
      <c r="H217" s="754"/>
      <c r="I217" s="754"/>
      <c r="J217" s="754"/>
      <c r="K217" s="754"/>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47:I147"/>
    <mergeCell ref="C148:I148"/>
    <mergeCell ref="C149:I149"/>
    <mergeCell ref="B150:I150"/>
    <mergeCell ref="B151:J151"/>
    <mergeCell ref="B152:J152"/>
    <mergeCell ref="C153:I153"/>
    <mergeCell ref="C154:I154"/>
    <mergeCell ref="C155:I155"/>
    <mergeCell ref="C156:I156"/>
    <mergeCell ref="B157:I157"/>
    <mergeCell ref="B158:J158"/>
    <mergeCell ref="B159:J159"/>
    <mergeCell ref="B161:J161"/>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C104:I104"/>
    <mergeCell ref="C105:I105"/>
    <mergeCell ref="C106:I106"/>
    <mergeCell ref="B107:J107"/>
    <mergeCell ref="B108:J108"/>
    <mergeCell ref="B109:J109"/>
    <mergeCell ref="B110:J110"/>
    <mergeCell ref="C111:I111"/>
    <mergeCell ref="C112:I112"/>
    <mergeCell ref="C113:I113"/>
    <mergeCell ref="C114:I114"/>
    <mergeCell ref="B115:I115"/>
    <mergeCell ref="B116:J116"/>
    <mergeCell ref="B117:J117"/>
    <mergeCell ref="C118:I118"/>
    <mergeCell ref="C119:I119"/>
    <mergeCell ref="C120:I120"/>
    <mergeCell ref="C121:I121"/>
    <mergeCell ref="C122:I122"/>
    <mergeCell ref="C123:H123"/>
    <mergeCell ref="B124:I124"/>
    <mergeCell ref="B125:J125"/>
    <mergeCell ref="B126:J126"/>
    <mergeCell ref="B127:J12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36:H36"/>
    <mergeCell ref="I36:J36"/>
    <mergeCell ref="C37:H37"/>
    <mergeCell ref="I37:J37"/>
    <mergeCell ref="C38:H38"/>
    <mergeCell ref="I38:J38"/>
    <mergeCell ref="I39:J39"/>
    <mergeCell ref="C39:H39"/>
    <mergeCell ref="C40:H40"/>
    <mergeCell ref="I40:J40"/>
    <mergeCell ref="C57:I57"/>
    <mergeCell ref="B58:I58"/>
    <mergeCell ref="C59:I59"/>
    <mergeCell ref="C60:I60"/>
    <mergeCell ref="B61:I61"/>
    <mergeCell ref="B62:J62"/>
    <mergeCell ref="B63:I63"/>
    <mergeCell ref="B64:J64"/>
    <mergeCell ref="B65:J65"/>
    <mergeCell ref="B66:J66"/>
    <mergeCell ref="B67:J67"/>
    <mergeCell ref="C97:I97"/>
    <mergeCell ref="C98:H98"/>
    <mergeCell ref="C99:H99"/>
    <mergeCell ref="C100:H100"/>
    <mergeCell ref="C101:I101"/>
    <mergeCell ref="C102:I102"/>
    <mergeCell ref="C103:I103"/>
    <mergeCell ref="B89:J89"/>
    <mergeCell ref="B90:J90"/>
    <mergeCell ref="C91:I91"/>
    <mergeCell ref="C92:H92"/>
    <mergeCell ref="C93:H93"/>
    <mergeCell ref="C94:H94"/>
    <mergeCell ref="C95:H95"/>
    <mergeCell ref="C96:H96"/>
    <mergeCell ref="C82:H82"/>
    <mergeCell ref="C83:H83"/>
    <mergeCell ref="C84:H84"/>
    <mergeCell ref="C85:H85"/>
    <mergeCell ref="B86:H86"/>
    <mergeCell ref="B88:J88"/>
  </mergeCells>
  <conditionalFormatting sqref="I49:I50">
    <cfRule type="cellIs" dxfId="9" priority="1" operator="equal">
      <formula>0</formula>
    </cfRule>
  </conditionalFormatting>
  <conditionalFormatting sqref="I48">
    <cfRule type="cellIs" dxfId="8" priority="2" operator="equal">
      <formula>0</formula>
    </cfRule>
  </conditionalFormatting>
  <pageMargins left="0.511811024" right="0.511811024" top="0.78740157499999996" bottom="0.78740157499999996"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5A5A5"/>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4.5703125" customWidth="1"/>
    <col min="8" max="8" width="14.42578125" customWidth="1"/>
    <col min="9" max="9" width="11.28515625" customWidth="1"/>
    <col min="10" max="10" width="14.5703125" customWidth="1"/>
    <col min="11" max="11" width="1.42578125" customWidth="1"/>
  </cols>
  <sheetData>
    <row r="1" spans="1:11" ht="11.25" customHeight="1">
      <c r="A1" s="754"/>
      <c r="B1" s="754"/>
      <c r="C1" s="754"/>
      <c r="D1" s="754"/>
      <c r="E1" s="754"/>
      <c r="F1" s="754"/>
      <c r="G1" s="754"/>
      <c r="H1" s="754"/>
      <c r="I1" s="754"/>
      <c r="J1" s="755"/>
      <c r="K1" s="754"/>
    </row>
    <row r="2" spans="1:11" ht="11.25" customHeight="1">
      <c r="A2" s="754"/>
      <c r="B2" s="1245" t="str">
        <f>'1-ABA-DE-CARREGAMENTO'!C11</f>
        <v xml:space="preserve"> S E R V I Ç O S     -   REFEITORIO_×_JARDINAGEM</v>
      </c>
      <c r="C2" s="1130"/>
      <c r="D2" s="1130"/>
      <c r="E2" s="1130"/>
      <c r="F2" s="1130"/>
      <c r="G2" s="1130"/>
      <c r="H2" s="1130"/>
      <c r="I2" s="1130"/>
      <c r="J2" s="1128"/>
      <c r="K2" s="756"/>
    </row>
    <row r="3" spans="1:11" ht="11.25" customHeight="1">
      <c r="A3" s="754"/>
      <c r="B3" s="1246" t="str">
        <f>'1-ABA-DE-CARREGAMENTO'!K33</f>
        <v>A NÃO TEM MAIS POSTOS-66</v>
      </c>
      <c r="C3" s="1060"/>
      <c r="D3" s="1060"/>
      <c r="E3" s="1060"/>
      <c r="F3" s="1060"/>
      <c r="G3" s="1060"/>
      <c r="H3" s="1060"/>
      <c r="I3" s="1060"/>
      <c r="J3" s="1062"/>
      <c r="K3" s="757"/>
    </row>
    <row r="4" spans="1:11" ht="11.25" customHeight="1">
      <c r="A4" s="754"/>
      <c r="B4" s="1247" t="s">
        <v>511</v>
      </c>
      <c r="C4" s="1060"/>
      <c r="D4" s="1060"/>
      <c r="E4" s="1060"/>
      <c r="F4" s="1062"/>
      <c r="G4" s="1248">
        <f>'1-ABA-DE-CARREGAMENTO'!C12</f>
        <v>0</v>
      </c>
      <c r="H4" s="1060"/>
      <c r="I4" s="1060"/>
      <c r="J4" s="1062"/>
      <c r="K4" s="758"/>
    </row>
    <row r="5" spans="1:11" ht="11.25" customHeight="1">
      <c r="A5" s="754"/>
      <c r="B5" s="1178" t="s">
        <v>512</v>
      </c>
      <c r="C5" s="1009"/>
      <c r="D5" s="1009"/>
      <c r="E5" s="1009"/>
      <c r="F5" s="1010"/>
      <c r="G5" s="1249">
        <f>'1-ABA-DE-CARREGAMENTO'!C13</f>
        <v>0</v>
      </c>
      <c r="H5" s="1009"/>
      <c r="I5" s="1009"/>
      <c r="J5" s="1010"/>
      <c r="K5" s="758"/>
    </row>
    <row r="6" spans="1:11" ht="11.25" customHeight="1">
      <c r="A6" s="754"/>
      <c r="B6" s="1250">
        <f>'1-ABA-DE-CARREGAMENTO'!C16</f>
        <v>0</v>
      </c>
      <c r="C6" s="1009"/>
      <c r="D6" s="1009"/>
      <c r="E6" s="1009"/>
      <c r="F6" s="1009"/>
      <c r="G6" s="1009"/>
      <c r="H6" s="1009"/>
      <c r="I6" s="1009"/>
      <c r="J6" s="1010"/>
      <c r="K6" s="760"/>
    </row>
    <row r="7" spans="1:11" ht="11.25" customHeight="1">
      <c r="A7" s="754"/>
      <c r="B7" s="1086" t="s">
        <v>513</v>
      </c>
      <c r="C7" s="1009"/>
      <c r="D7" s="1009"/>
      <c r="E7" s="1009"/>
      <c r="F7" s="1009"/>
      <c r="G7" s="1009"/>
      <c r="H7" s="1009"/>
      <c r="I7" s="1009"/>
      <c r="J7" s="1010"/>
      <c r="K7" s="594"/>
    </row>
    <row r="8" spans="1:11" ht="11.25" customHeight="1">
      <c r="A8" s="754"/>
      <c r="B8" s="761" t="s">
        <v>514</v>
      </c>
      <c r="C8" s="1178" t="s">
        <v>515</v>
      </c>
      <c r="D8" s="1009"/>
      <c r="E8" s="1009"/>
      <c r="F8" s="1009"/>
      <c r="G8" s="1009"/>
      <c r="H8" s="1010"/>
      <c r="I8" s="1251">
        <f>'1-ABA-DE-CARREGAMENTO'!C16</f>
        <v>0</v>
      </c>
      <c r="J8" s="1010"/>
      <c r="K8" s="762"/>
    </row>
    <row r="9" spans="1:11" ht="11.25" customHeight="1">
      <c r="A9" s="754"/>
      <c r="B9" s="761" t="s">
        <v>516</v>
      </c>
      <c r="C9" s="1178" t="s">
        <v>517</v>
      </c>
      <c r="D9" s="1009"/>
      <c r="E9" s="1009"/>
      <c r="F9" s="1009"/>
      <c r="G9" s="1009"/>
      <c r="H9" s="1010"/>
      <c r="I9" s="1249" t="str">
        <f>'1-ABA-DE-CARREGAMENTO'!C14</f>
        <v xml:space="preserve">JULIO-DE-CASTILHOS </v>
      </c>
      <c r="J9" s="1010"/>
      <c r="K9" s="758"/>
    </row>
    <row r="10" spans="1:11" ht="11.25" customHeight="1">
      <c r="A10" s="754"/>
      <c r="B10" s="761" t="s">
        <v>518</v>
      </c>
      <c r="C10" s="1178" t="s">
        <v>519</v>
      </c>
      <c r="D10" s="1009"/>
      <c r="E10" s="1009"/>
      <c r="F10" s="1009"/>
      <c r="G10" s="1009"/>
      <c r="H10" s="1010"/>
      <c r="I10" s="1249" t="str">
        <f>VLOOKUP('1-ABA-DE-CARREGAMENTO'!K35,'DADOS-CADASTRAIS'!C6:J16,1,0)</f>
        <v>RS000947/2019-</v>
      </c>
      <c r="J10" s="1010"/>
      <c r="K10" s="758"/>
    </row>
    <row r="11" spans="1:11" ht="11.25" customHeight="1">
      <c r="A11" s="754"/>
      <c r="B11" s="761" t="s">
        <v>520</v>
      </c>
      <c r="C11" s="1178" t="s">
        <v>521</v>
      </c>
      <c r="D11" s="1009"/>
      <c r="E11" s="1009"/>
      <c r="F11" s="1009"/>
      <c r="G11" s="1009"/>
      <c r="H11" s="1010"/>
      <c r="I11" s="1240">
        <f>'1-ABA-DE-CARREGAMENTO'!K94</f>
        <v>30</v>
      </c>
      <c r="J11" s="1010"/>
      <c r="K11" s="758"/>
    </row>
    <row r="12" spans="1:11" ht="11.25" customHeight="1">
      <c r="A12" s="754"/>
      <c r="B12" s="1140" t="s">
        <v>522</v>
      </c>
      <c r="C12" s="1009"/>
      <c r="D12" s="1009"/>
      <c r="E12" s="1009"/>
      <c r="F12" s="1009"/>
      <c r="G12" s="1009"/>
      <c r="H12" s="1009"/>
      <c r="I12" s="1009"/>
      <c r="J12" s="1010"/>
      <c r="K12" s="592"/>
    </row>
    <row r="13" spans="1:11" ht="42" customHeight="1">
      <c r="A13" s="754"/>
      <c r="B13" s="1185" t="str">
        <f>'1-ABA-DE-CARREGAMENTO'!C11</f>
        <v xml:space="preserve"> S E R V I Ç O S     -   REFEITORIO_×_JARDINAGEM</v>
      </c>
      <c r="C13" s="1009"/>
      <c r="D13" s="1009"/>
      <c r="E13" s="1009"/>
      <c r="F13" s="1030"/>
      <c r="G13" s="1185" t="s">
        <v>523</v>
      </c>
      <c r="H13" s="1010"/>
      <c r="I13" s="1185" t="s">
        <v>524</v>
      </c>
      <c r="J13" s="1010"/>
      <c r="K13" s="763"/>
    </row>
    <row r="14" spans="1:11" ht="11.25" hidden="1" customHeight="1" outlineLevel="1">
      <c r="A14" s="754"/>
      <c r="B14" s="1241" t="s">
        <v>525</v>
      </c>
      <c r="C14" s="1009"/>
      <c r="D14" s="1009"/>
      <c r="E14" s="1009"/>
      <c r="F14" s="1010"/>
      <c r="G14" s="1242" t="s">
        <v>526</v>
      </c>
      <c r="H14" s="1010"/>
      <c r="I14" s="1243" t="s">
        <v>527</v>
      </c>
      <c r="J14" s="1010"/>
      <c r="K14" s="764"/>
    </row>
    <row r="15" spans="1:11" ht="11.25" hidden="1" customHeight="1" outlineLevel="1">
      <c r="A15" s="754"/>
      <c r="B15" s="1241" t="s">
        <v>528</v>
      </c>
      <c r="C15" s="1009"/>
      <c r="D15" s="1009"/>
      <c r="E15" s="1009"/>
      <c r="F15" s="1010"/>
      <c r="G15" s="1242" t="s">
        <v>526</v>
      </c>
      <c r="H15" s="1010"/>
      <c r="I15" s="1243" t="s">
        <v>527</v>
      </c>
      <c r="J15" s="1010"/>
      <c r="K15" s="764"/>
    </row>
    <row r="16" spans="1:11" ht="11.25" hidden="1" customHeight="1" outlineLevel="1">
      <c r="A16" s="754"/>
      <c r="B16" s="1241" t="s">
        <v>529</v>
      </c>
      <c r="C16" s="1009"/>
      <c r="D16" s="1009"/>
      <c r="E16" s="1009"/>
      <c r="F16" s="1010"/>
      <c r="G16" s="1242" t="s">
        <v>526</v>
      </c>
      <c r="H16" s="1010"/>
      <c r="I16" s="1243" t="s">
        <v>527</v>
      </c>
      <c r="J16" s="1010"/>
      <c r="K16" s="764"/>
    </row>
    <row r="17" spans="1:11" ht="11.25" customHeight="1" collapsed="1">
      <c r="A17" s="754"/>
      <c r="B17" s="1241" t="str">
        <f>B3</f>
        <v>A NÃO TEM MAIS POSTOS-66</v>
      </c>
      <c r="C17" s="1009"/>
      <c r="D17" s="1009"/>
      <c r="E17" s="1009"/>
      <c r="F17" s="1010"/>
      <c r="G17" s="1242" t="s">
        <v>526</v>
      </c>
      <c r="H17" s="1010"/>
      <c r="I17" s="1243">
        <f>'1-ABA-DE-CARREGAMENTO'!K92</f>
        <v>0</v>
      </c>
      <c r="J17" s="1010"/>
      <c r="K17" s="764"/>
    </row>
    <row r="18" spans="1:11" ht="11.25" hidden="1" customHeight="1" outlineLevel="1">
      <c r="A18" s="754"/>
      <c r="B18" s="1241" t="s">
        <v>530</v>
      </c>
      <c r="C18" s="1009"/>
      <c r="D18" s="1009"/>
      <c r="E18" s="1009"/>
      <c r="F18" s="1010"/>
      <c r="G18" s="1242" t="s">
        <v>526</v>
      </c>
      <c r="H18" s="1010"/>
      <c r="I18" s="1243" t="s">
        <v>527</v>
      </c>
      <c r="J18" s="1010"/>
      <c r="K18" s="764"/>
    </row>
    <row r="19" spans="1:11" ht="11.25" hidden="1" customHeight="1" outlineLevel="1">
      <c r="A19" s="754"/>
      <c r="B19" s="1241" t="s">
        <v>1138</v>
      </c>
      <c r="C19" s="1009"/>
      <c r="D19" s="1009"/>
      <c r="E19" s="1009"/>
      <c r="F19" s="1010"/>
      <c r="G19" s="1242" t="s">
        <v>526</v>
      </c>
      <c r="H19" s="1010"/>
      <c r="I19" s="1243" t="s">
        <v>527</v>
      </c>
      <c r="J19" s="1010"/>
      <c r="K19" s="764"/>
    </row>
    <row r="20" spans="1:11" ht="11.25" customHeight="1" collapsed="1">
      <c r="A20" s="754"/>
      <c r="B20" s="1254" t="s">
        <v>532</v>
      </c>
      <c r="C20" s="1009"/>
      <c r="D20" s="1009"/>
      <c r="E20" s="1009"/>
      <c r="F20" s="1009"/>
      <c r="G20" s="1009"/>
      <c r="H20" s="1010"/>
      <c r="I20" s="1253">
        <f>SUM(I14:I19)</f>
        <v>0</v>
      </c>
      <c r="J20" s="1010"/>
      <c r="K20" s="765"/>
    </row>
    <row r="21" spans="1:11" ht="11.25" customHeight="1">
      <c r="A21" s="754"/>
      <c r="B21" s="1220"/>
      <c r="C21" s="1009"/>
      <c r="D21" s="1009"/>
      <c r="E21" s="1009"/>
      <c r="F21" s="1009"/>
      <c r="G21" s="1009"/>
      <c r="H21" s="1009"/>
      <c r="I21" s="1009"/>
      <c r="J21" s="1010"/>
      <c r="K21" s="763"/>
    </row>
    <row r="22" spans="1:11" ht="11.25" customHeight="1">
      <c r="A22" s="754"/>
      <c r="B22" s="1211" t="s">
        <v>533</v>
      </c>
      <c r="C22" s="1009"/>
      <c r="D22" s="1009"/>
      <c r="E22" s="1009"/>
      <c r="F22" s="1009"/>
      <c r="G22" s="1009"/>
      <c r="H22" s="1009"/>
      <c r="I22" s="1009"/>
      <c r="J22" s="1010"/>
      <c r="K22" s="766"/>
    </row>
    <row r="23" spans="1:11" ht="11.25" customHeight="1">
      <c r="A23" s="754"/>
      <c r="B23" s="1225"/>
      <c r="C23" s="1009"/>
      <c r="D23" s="1009"/>
      <c r="E23" s="1009"/>
      <c r="F23" s="1009"/>
      <c r="G23" s="1009"/>
      <c r="H23" s="1009"/>
      <c r="I23" s="1009"/>
      <c r="J23" s="1010"/>
      <c r="K23" s="376"/>
    </row>
    <row r="24" spans="1:11" ht="15" customHeight="1">
      <c r="A24" s="754"/>
      <c r="B24" s="1255" t="s">
        <v>1139</v>
      </c>
      <c r="C24" s="1009"/>
      <c r="D24" s="1009"/>
      <c r="E24" s="1009"/>
      <c r="F24" s="1009"/>
      <c r="G24" s="1009"/>
      <c r="H24" s="1009"/>
      <c r="I24" s="1009"/>
      <c r="J24" s="1010"/>
      <c r="K24" s="767"/>
    </row>
    <row r="25" spans="1:11" ht="15" customHeight="1">
      <c r="A25" s="754"/>
      <c r="B25" s="1123"/>
      <c r="C25" s="1009"/>
      <c r="D25" s="1009"/>
      <c r="E25" s="1009"/>
      <c r="F25" s="1009"/>
      <c r="G25" s="1009"/>
      <c r="H25" s="1009"/>
      <c r="I25" s="1009"/>
      <c r="J25" s="1010"/>
      <c r="K25" s="602"/>
    </row>
    <row r="26" spans="1:11" ht="11.25" customHeight="1">
      <c r="A26" s="763"/>
      <c r="B26" s="1086" t="s">
        <v>535</v>
      </c>
      <c r="C26" s="1009"/>
      <c r="D26" s="1009"/>
      <c r="E26" s="1009"/>
      <c r="F26" s="1009"/>
      <c r="G26" s="1009"/>
      <c r="H26" s="1009"/>
      <c r="I26" s="1009"/>
      <c r="J26" s="1010"/>
      <c r="K26" s="594"/>
    </row>
    <row r="27" spans="1:11" ht="29.25" customHeight="1">
      <c r="A27" s="754"/>
      <c r="B27" s="761">
        <v>1</v>
      </c>
      <c r="C27" s="1178" t="s">
        <v>536</v>
      </c>
      <c r="D27" s="1009"/>
      <c r="E27" s="1009"/>
      <c r="F27" s="1009"/>
      <c r="G27" s="1009"/>
      <c r="H27" s="1010"/>
      <c r="I27" s="1256" t="str">
        <f>'1-ABA-DE-CARREGAMENTO'!K33</f>
        <v>A NÃO TEM MAIS POSTOS-66</v>
      </c>
      <c r="J27" s="1010"/>
      <c r="K27" s="768"/>
    </row>
    <row r="28" spans="1:11" ht="11.25" customHeight="1">
      <c r="A28" s="754"/>
      <c r="B28" s="769">
        <v>2</v>
      </c>
      <c r="C28" s="1215" t="s">
        <v>537</v>
      </c>
      <c r="D28" s="1009"/>
      <c r="E28" s="1009"/>
      <c r="F28" s="1009"/>
      <c r="G28" s="1009"/>
      <c r="H28" s="1010"/>
      <c r="I28" s="1257"/>
      <c r="J28" s="1010"/>
      <c r="K28" s="770"/>
    </row>
    <row r="29" spans="1:11" ht="28.5" customHeight="1">
      <c r="A29" s="754"/>
      <c r="B29" s="761">
        <v>3</v>
      </c>
      <c r="C29" s="1258" t="s">
        <v>538</v>
      </c>
      <c r="D29" s="948"/>
      <c r="E29" s="748">
        <v>220</v>
      </c>
      <c r="F29" s="606">
        <f>'1-ABA-DE-CARREGAMENTO'!K37</f>
        <v>4128.0200000000004</v>
      </c>
      <c r="G29" s="759" t="s">
        <v>539</v>
      </c>
      <c r="H29" s="895">
        <f>'1-ABA-DE-CARREGAMENTO'!K52</f>
        <v>220</v>
      </c>
      <c r="I29" s="1259">
        <f>F29/E29*H29</f>
        <v>4128.0200000000004</v>
      </c>
      <c r="J29" s="1010"/>
      <c r="K29" s="773"/>
    </row>
    <row r="30" spans="1:11" ht="11.25" customHeight="1">
      <c r="A30" s="754"/>
      <c r="B30" s="761">
        <v>4</v>
      </c>
      <c r="C30" s="1178" t="s">
        <v>540</v>
      </c>
      <c r="D30" s="1009"/>
      <c r="E30" s="1009"/>
      <c r="F30" s="1009"/>
      <c r="G30" s="1009"/>
      <c r="H30" s="1010"/>
      <c r="I30" s="1260"/>
      <c r="J30" s="1010"/>
      <c r="K30" s="774"/>
    </row>
    <row r="31" spans="1:11" ht="11.25" customHeight="1">
      <c r="A31" s="754"/>
      <c r="B31" s="761">
        <v>5</v>
      </c>
      <c r="C31" s="1178" t="s">
        <v>541</v>
      </c>
      <c r="D31" s="1009"/>
      <c r="E31" s="1009"/>
      <c r="F31" s="1009"/>
      <c r="G31" s="1009"/>
      <c r="H31" s="1010"/>
      <c r="I31" s="1244" t="str">
        <f>'1-ABA-DE-CARREGAMENTO'!K36</f>
        <v>01 de FEVEREIRO</v>
      </c>
      <c r="J31" s="1010"/>
      <c r="K31" s="775"/>
    </row>
    <row r="32" spans="1:11" ht="27" customHeight="1">
      <c r="A32" s="754"/>
      <c r="B32" s="776">
        <v>6</v>
      </c>
      <c r="C32" s="1229" t="s">
        <v>1140</v>
      </c>
      <c r="D32" s="1009"/>
      <c r="E32" s="1009"/>
      <c r="F32" s="1009"/>
      <c r="G32" s="1009"/>
      <c r="H32" s="1010"/>
      <c r="I32" s="1231">
        <f>ROUND(I29/220,2)*0</f>
        <v>0</v>
      </c>
      <c r="J32" s="1010"/>
      <c r="K32" s="777"/>
    </row>
    <row r="33" spans="1:11" ht="27" customHeight="1">
      <c r="A33" s="754"/>
      <c r="B33" s="776">
        <v>7</v>
      </c>
      <c r="C33" s="1229" t="s">
        <v>1141</v>
      </c>
      <c r="D33" s="1009"/>
      <c r="E33" s="1009"/>
      <c r="F33" s="1010"/>
      <c r="G33" s="1239"/>
      <c r="H33" s="1010"/>
      <c r="I33" s="1231">
        <f>SUM(J47:J50)/220</f>
        <v>18.763727272727273</v>
      </c>
      <c r="J33" s="1010"/>
      <c r="K33" s="777"/>
    </row>
    <row r="34" spans="1:11" ht="27" customHeight="1">
      <c r="A34" s="754"/>
      <c r="B34" s="776">
        <v>8</v>
      </c>
      <c r="C34" s="1229" t="s">
        <v>1142</v>
      </c>
      <c r="D34" s="1009"/>
      <c r="E34" s="1009"/>
      <c r="F34" s="1010"/>
      <c r="G34" s="1239"/>
      <c r="H34" s="1010"/>
      <c r="I34" s="1231">
        <f>TRUNC(I33*1.5,2)*0</f>
        <v>0</v>
      </c>
      <c r="J34" s="1010"/>
      <c r="K34" s="777"/>
    </row>
    <row r="35" spans="1:11" ht="27" customHeight="1">
      <c r="A35" s="754"/>
      <c r="B35" s="776">
        <v>9</v>
      </c>
      <c r="C35" s="1229" t="s">
        <v>1143</v>
      </c>
      <c r="D35" s="1009"/>
      <c r="E35" s="1009"/>
      <c r="F35" s="1010"/>
      <c r="G35" s="1239" t="s">
        <v>546</v>
      </c>
      <c r="H35" s="1010"/>
      <c r="I35" s="1275">
        <f>I33*1.5</f>
        <v>28.14559090909091</v>
      </c>
      <c r="J35" s="1010"/>
      <c r="K35" s="778"/>
    </row>
    <row r="36" spans="1:11" ht="27" customHeight="1">
      <c r="A36" s="754"/>
      <c r="B36" s="776">
        <v>10</v>
      </c>
      <c r="C36" s="1229" t="s">
        <v>1144</v>
      </c>
      <c r="D36" s="1009"/>
      <c r="E36" s="1009"/>
      <c r="F36" s="1009"/>
      <c r="G36" s="1009"/>
      <c r="H36" s="1010"/>
      <c r="I36" s="1231">
        <f>TRUNC(1.3*I32*0.2,2)</f>
        <v>0</v>
      </c>
      <c r="J36" s="1010"/>
      <c r="K36" s="777"/>
    </row>
    <row r="37" spans="1:11" ht="27" customHeight="1">
      <c r="A37" s="754"/>
      <c r="B37" s="776">
        <v>11</v>
      </c>
      <c r="C37" s="1229" t="s">
        <v>1145</v>
      </c>
      <c r="D37" s="1009"/>
      <c r="E37" s="1009"/>
      <c r="F37" s="1009"/>
      <c r="G37" s="1009"/>
      <c r="H37" s="1010"/>
      <c r="I37" s="1231">
        <f>I33*2</f>
        <v>37.527454545454546</v>
      </c>
      <c r="J37" s="1010"/>
      <c r="K37" s="777"/>
    </row>
    <row r="38" spans="1:11" ht="14.25" customHeight="1">
      <c r="A38" s="754"/>
      <c r="B38" s="776">
        <v>12</v>
      </c>
      <c r="C38" s="1229" t="s">
        <v>1146</v>
      </c>
      <c r="D38" s="1009"/>
      <c r="E38" s="1009"/>
      <c r="F38" s="1009"/>
      <c r="G38" s="1009"/>
      <c r="H38" s="1010"/>
      <c r="I38" s="1231">
        <f>I29*'1-ABA-DE-CARREGAMENTO'!D44</f>
        <v>0</v>
      </c>
      <c r="J38" s="1010"/>
      <c r="K38" s="777"/>
    </row>
    <row r="39" spans="1:11" ht="14.25" customHeight="1">
      <c r="A39" s="754"/>
      <c r="B39" s="776">
        <v>13</v>
      </c>
      <c r="C39" s="1229" t="s">
        <v>550</v>
      </c>
      <c r="D39" s="1009"/>
      <c r="E39" s="1009"/>
      <c r="F39" s="1009"/>
      <c r="G39" s="1009"/>
      <c r="H39" s="1010"/>
      <c r="I39" s="1231">
        <f>ROUND(I32/6,2)*1.3</f>
        <v>0</v>
      </c>
      <c r="J39" s="1010"/>
      <c r="K39" s="777"/>
    </row>
    <row r="40" spans="1:11" ht="11.25" customHeight="1">
      <c r="A40" s="754"/>
      <c r="B40" s="776">
        <v>14</v>
      </c>
      <c r="C40" s="1269" t="s">
        <v>551</v>
      </c>
      <c r="D40" s="1009"/>
      <c r="E40" s="1009"/>
      <c r="F40" s="1009"/>
      <c r="G40" s="1009"/>
      <c r="H40" s="1010"/>
      <c r="I40" s="1274">
        <f>'1-ABA-DE-CARREGAMENTO'!K93</f>
        <v>1</v>
      </c>
      <c r="J40" s="1010"/>
      <c r="K40" s="780"/>
    </row>
    <row r="41" spans="1:11" ht="11.25" customHeight="1">
      <c r="A41" s="754"/>
      <c r="B41" s="776">
        <v>15</v>
      </c>
      <c r="C41" s="1269" t="s">
        <v>907</v>
      </c>
      <c r="D41" s="1009"/>
      <c r="E41" s="1009"/>
      <c r="F41" s="1009"/>
      <c r="G41" s="1009"/>
      <c r="H41" s="1010"/>
      <c r="I41" s="1270">
        <f>'1-ABA-DE-CARREGAMENTO'!E42</f>
        <v>1320</v>
      </c>
      <c r="J41" s="1010"/>
      <c r="K41" s="781"/>
    </row>
    <row r="42" spans="1:11" ht="11.25" customHeight="1">
      <c r="A42" s="754"/>
      <c r="B42" s="1225"/>
      <c r="C42" s="1009"/>
      <c r="D42" s="1009"/>
      <c r="E42" s="1009"/>
      <c r="F42" s="1009"/>
      <c r="G42" s="1009"/>
      <c r="H42" s="1009"/>
      <c r="I42" s="1009"/>
      <c r="J42" s="1010"/>
      <c r="K42" s="376"/>
    </row>
    <row r="43" spans="1:11" ht="24" customHeight="1">
      <c r="A43" s="754"/>
      <c r="B43" s="1214" t="s">
        <v>553</v>
      </c>
      <c r="C43" s="1009"/>
      <c r="D43" s="1009"/>
      <c r="E43" s="1009"/>
      <c r="F43" s="1009"/>
      <c r="G43" s="1009"/>
      <c r="H43" s="1009"/>
      <c r="I43" s="1009"/>
      <c r="J43" s="1010"/>
      <c r="K43" s="782"/>
    </row>
    <row r="44" spans="1:11" ht="14.25" customHeight="1">
      <c r="A44" s="754"/>
      <c r="B44" s="1226"/>
      <c r="C44" s="1009"/>
      <c r="D44" s="1009"/>
      <c r="E44" s="1009"/>
      <c r="F44" s="1009"/>
      <c r="G44" s="1009"/>
      <c r="H44" s="1009"/>
      <c r="I44" s="1009"/>
      <c r="J44" s="1010"/>
      <c r="K44" s="783"/>
    </row>
    <row r="45" spans="1:11" ht="11.25" customHeight="1">
      <c r="A45" s="754"/>
      <c r="B45" s="1227" t="s">
        <v>554</v>
      </c>
      <c r="C45" s="1009"/>
      <c r="D45" s="1009"/>
      <c r="E45" s="1009"/>
      <c r="F45" s="1009"/>
      <c r="G45" s="1009"/>
      <c r="H45" s="1009"/>
      <c r="I45" s="1009"/>
      <c r="J45" s="1010"/>
      <c r="K45" s="784"/>
    </row>
    <row r="46" spans="1:11" ht="11.25" customHeight="1">
      <c r="A46" s="785"/>
      <c r="B46" s="622">
        <v>1</v>
      </c>
      <c r="C46" s="1083" t="s">
        <v>555</v>
      </c>
      <c r="D46" s="1009"/>
      <c r="E46" s="1009"/>
      <c r="F46" s="1009"/>
      <c r="G46" s="1009"/>
      <c r="H46" s="1010"/>
      <c r="I46" s="786" t="s">
        <v>556</v>
      </c>
      <c r="J46" s="622" t="s">
        <v>557</v>
      </c>
      <c r="K46" s="592"/>
    </row>
    <row r="47" spans="1:11" ht="12.75" customHeight="1">
      <c r="A47" s="754"/>
      <c r="B47" s="761" t="s">
        <v>514</v>
      </c>
      <c r="C47" s="1178" t="s">
        <v>558</v>
      </c>
      <c r="D47" s="1009"/>
      <c r="E47" s="1009"/>
      <c r="F47" s="1010"/>
      <c r="G47" s="787" t="s">
        <v>185</v>
      </c>
      <c r="H47" s="788">
        <f>'1-ABA-DE-CARREGAMENTO'!K52</f>
        <v>220</v>
      </c>
      <c r="I47" s="787"/>
      <c r="J47" s="789">
        <f>I29*I40</f>
        <v>4128.0200000000004</v>
      </c>
      <c r="K47" s="790"/>
    </row>
    <row r="48" spans="1:11" ht="11.25" customHeight="1">
      <c r="A48" s="754"/>
      <c r="B48" s="761" t="s">
        <v>516</v>
      </c>
      <c r="C48" s="1178" t="s">
        <v>790</v>
      </c>
      <c r="D48" s="1009"/>
      <c r="E48" s="1009"/>
      <c r="F48" s="1228" t="str">
        <f>'1-ABA-DE-CARREGAMENTO'!K38</f>
        <v>SEM ADICIONAL DE FUNÇÃO</v>
      </c>
      <c r="G48" s="1009"/>
      <c r="H48" s="1010"/>
      <c r="I48" s="791">
        <f>'1-ABA-DE-CARREGAMENTO'!K39</f>
        <v>0</v>
      </c>
      <c r="J48" s="789">
        <f>J47*I48</f>
        <v>0</v>
      </c>
      <c r="K48" s="790"/>
    </row>
    <row r="49" spans="1:11" ht="11.25" customHeight="1">
      <c r="A49" s="754"/>
      <c r="B49" s="761" t="s">
        <v>518</v>
      </c>
      <c r="C49" s="1178" t="s">
        <v>1147</v>
      </c>
      <c r="D49" s="1009"/>
      <c r="E49" s="1009"/>
      <c r="F49" s="1009"/>
      <c r="G49" s="1009"/>
      <c r="H49" s="1010"/>
      <c r="I49" s="792">
        <f>'1-ABA-DE-CARREGAMENTO'!K44</f>
        <v>0</v>
      </c>
      <c r="J49" s="789">
        <f>ROUND(J47*I49,2)</f>
        <v>0</v>
      </c>
      <c r="K49" s="790"/>
    </row>
    <row r="50" spans="1:11" ht="11.25" customHeight="1">
      <c r="A50" s="754"/>
      <c r="B50" s="761" t="s">
        <v>520</v>
      </c>
      <c r="C50" s="1178" t="s">
        <v>1148</v>
      </c>
      <c r="D50" s="1009"/>
      <c r="E50" s="1009"/>
      <c r="F50" s="1009"/>
      <c r="G50" s="1228" t="str">
        <f>'1-ABA-DE-CARREGAMENTO'!K40</f>
        <v>SEM ADICIONAL DE RISCO</v>
      </c>
      <c r="H50" s="1010"/>
      <c r="I50" s="896">
        <f>'1-ABA-DE-CARREGAMENTO'!K41</f>
        <v>0</v>
      </c>
      <c r="J50" s="789">
        <f>ROUND(I50*I41,2)</f>
        <v>0</v>
      </c>
      <c r="K50" s="790"/>
    </row>
    <row r="51" spans="1:11" ht="24.75" customHeight="1">
      <c r="A51" s="754"/>
      <c r="B51" s="761" t="s">
        <v>562</v>
      </c>
      <c r="C51" s="1178" t="s">
        <v>1149</v>
      </c>
      <c r="D51" s="1009"/>
      <c r="E51" s="1009"/>
      <c r="F51" s="1009"/>
      <c r="G51" s="1009"/>
      <c r="H51" s="1009"/>
      <c r="I51" s="1010"/>
      <c r="J51" s="789">
        <f>ROUND(2*8*15*I36,2)*0</f>
        <v>0</v>
      </c>
      <c r="K51" s="790"/>
    </row>
    <row r="52" spans="1:11" ht="39" customHeight="1">
      <c r="A52" s="754"/>
      <c r="B52" s="761" t="s">
        <v>566</v>
      </c>
      <c r="C52" s="1215" t="s">
        <v>1150</v>
      </c>
      <c r="D52" s="1009"/>
      <c r="E52" s="1009"/>
      <c r="F52" s="1009"/>
      <c r="G52" s="1009"/>
      <c r="H52" s="1009"/>
      <c r="I52" s="1010"/>
      <c r="J52" s="789">
        <f>ROUND(I38*(((12*15)+15)-((44/6)*26))*I35,2)*0+ROUND(2*4.33*I35,2)*0</f>
        <v>0</v>
      </c>
      <c r="K52" s="790"/>
    </row>
    <row r="53" spans="1:11" ht="39" customHeight="1">
      <c r="A53" s="754"/>
      <c r="B53" s="761" t="s">
        <v>568</v>
      </c>
      <c r="C53" s="1215" t="s">
        <v>1151</v>
      </c>
      <c r="D53" s="1009"/>
      <c r="E53" s="1009"/>
      <c r="F53" s="1009"/>
      <c r="G53" s="1009"/>
      <c r="H53" s="1009"/>
      <c r="I53" s="1010"/>
      <c r="J53" s="789">
        <f>ROUND(I39*I40*15,2)*0</f>
        <v>0</v>
      </c>
      <c r="K53" s="790"/>
    </row>
    <row r="54" spans="1:11" ht="30" customHeight="1">
      <c r="A54" s="754"/>
      <c r="B54" s="761" t="s">
        <v>570</v>
      </c>
      <c r="C54" s="1215" t="s">
        <v>1091</v>
      </c>
      <c r="D54" s="1009"/>
      <c r="E54" s="1009"/>
      <c r="F54" s="1276" t="s">
        <v>1152</v>
      </c>
      <c r="G54" s="1009"/>
      <c r="H54" s="1009"/>
      <c r="I54" s="934">
        <f>'1-ABA-DE-CARREGAMENTO'!K65</f>
        <v>0</v>
      </c>
      <c r="J54" s="789">
        <f>ROUND((((SUM(J47:J50))/220)*1.5)*I54,2)</f>
        <v>0</v>
      </c>
      <c r="K54" s="790"/>
    </row>
    <row r="55" spans="1:11" ht="30" customHeight="1">
      <c r="A55" s="754"/>
      <c r="B55" s="761" t="s">
        <v>574</v>
      </c>
      <c r="C55" s="1215" t="s">
        <v>1093</v>
      </c>
      <c r="D55" s="1009"/>
      <c r="E55" s="1009"/>
      <c r="F55" s="1276" t="s">
        <v>1153</v>
      </c>
      <c r="G55" s="1009"/>
      <c r="H55" s="1009"/>
      <c r="I55" s="934">
        <f>'1-ABA-DE-CARREGAMENTO'!K68</f>
        <v>0</v>
      </c>
      <c r="J55" s="789">
        <f>ROUND((((SUM(J47:J50))/220)*2)*I55,2)</f>
        <v>0</v>
      </c>
      <c r="K55" s="790"/>
    </row>
    <row r="56" spans="1:11" ht="39" customHeight="1">
      <c r="A56" s="754"/>
      <c r="B56" s="761" t="s">
        <v>578</v>
      </c>
      <c r="C56" s="1178" t="s">
        <v>1154</v>
      </c>
      <c r="D56" s="1009"/>
      <c r="E56" s="1009"/>
      <c r="F56" s="1009"/>
      <c r="G56" s="1009"/>
      <c r="H56" s="1009"/>
      <c r="I56" s="1010"/>
      <c r="J56" s="789">
        <f>ROUND(((J54+J55)/25)*5,2)</f>
        <v>0</v>
      </c>
      <c r="K56" s="790"/>
    </row>
    <row r="57" spans="1:11" ht="11.25" customHeight="1">
      <c r="A57" s="754"/>
      <c r="B57" s="761" t="s">
        <v>580</v>
      </c>
      <c r="C57" s="1178" t="s">
        <v>581</v>
      </c>
      <c r="D57" s="1009"/>
      <c r="E57" s="1009"/>
      <c r="F57" s="1009"/>
      <c r="G57" s="1009"/>
      <c r="H57" s="1009"/>
      <c r="I57" s="1010"/>
      <c r="J57" s="798" t="s">
        <v>527</v>
      </c>
      <c r="K57" s="799"/>
    </row>
    <row r="58" spans="1:11" ht="11.25" customHeight="1">
      <c r="A58" s="754"/>
      <c r="B58" s="1086" t="s">
        <v>582</v>
      </c>
      <c r="C58" s="1009"/>
      <c r="D58" s="1009"/>
      <c r="E58" s="1009"/>
      <c r="F58" s="1009"/>
      <c r="G58" s="1009"/>
      <c r="H58" s="1009"/>
      <c r="I58" s="1010"/>
      <c r="J58" s="640">
        <f>SUM(J47:J57)</f>
        <v>4128.0200000000004</v>
      </c>
      <c r="K58" s="626"/>
    </row>
    <row r="59" spans="1:11" ht="14.25" customHeight="1">
      <c r="A59" s="754"/>
      <c r="B59" s="800"/>
      <c r="C59" s="1219"/>
      <c r="D59" s="1009"/>
      <c r="E59" s="1009"/>
      <c r="F59" s="1009"/>
      <c r="G59" s="1009"/>
      <c r="H59" s="1009"/>
      <c r="I59" s="1010"/>
      <c r="J59" s="642"/>
      <c r="K59" s="626"/>
    </row>
    <row r="60" spans="1:11" ht="11.25" customHeight="1">
      <c r="A60" s="754"/>
      <c r="B60" s="761" t="s">
        <v>570</v>
      </c>
      <c r="C60" s="1178" t="s">
        <v>1155</v>
      </c>
      <c r="D60" s="1009"/>
      <c r="E60" s="1009"/>
      <c r="F60" s="1009"/>
      <c r="G60" s="1009"/>
      <c r="H60" s="1009"/>
      <c r="I60" s="1010"/>
      <c r="J60" s="789">
        <f>ROUND(I34*15*I40*0.5,2)*0</f>
        <v>0</v>
      </c>
      <c r="K60" s="790"/>
    </row>
    <row r="61" spans="1:11" ht="11.25" customHeight="1">
      <c r="A61" s="754"/>
      <c r="B61" s="1086" t="s">
        <v>1156</v>
      </c>
      <c r="C61" s="1009"/>
      <c r="D61" s="1009"/>
      <c r="E61" s="1009"/>
      <c r="F61" s="1009"/>
      <c r="G61" s="1009"/>
      <c r="H61" s="1009"/>
      <c r="I61" s="1010"/>
      <c r="J61" s="640">
        <f>J60</f>
        <v>0</v>
      </c>
      <c r="K61" s="626"/>
    </row>
    <row r="62" spans="1:11" ht="11.25" customHeight="1">
      <c r="A62" s="754"/>
      <c r="B62" s="1220"/>
      <c r="C62" s="1009"/>
      <c r="D62" s="1009"/>
      <c r="E62" s="1009"/>
      <c r="F62" s="1009"/>
      <c r="G62" s="1009"/>
      <c r="H62" s="1009"/>
      <c r="I62" s="1009"/>
      <c r="J62" s="1010"/>
      <c r="K62" s="763"/>
    </row>
    <row r="63" spans="1:11" ht="11.25" customHeight="1">
      <c r="A63" s="754"/>
      <c r="B63" s="1221" t="s">
        <v>1157</v>
      </c>
      <c r="C63" s="1009"/>
      <c r="D63" s="1009"/>
      <c r="E63" s="1009"/>
      <c r="F63" s="1009"/>
      <c r="G63" s="1009"/>
      <c r="H63" s="1009"/>
      <c r="I63" s="1010"/>
      <c r="J63" s="801">
        <f>J58+J61</f>
        <v>4128.0200000000004</v>
      </c>
      <c r="K63" s="802"/>
    </row>
    <row r="64" spans="1:11" ht="11.25" customHeight="1">
      <c r="A64" s="754"/>
      <c r="B64" s="1219"/>
      <c r="C64" s="1009"/>
      <c r="D64" s="1009"/>
      <c r="E64" s="1009"/>
      <c r="F64" s="1009"/>
      <c r="G64" s="1009"/>
      <c r="H64" s="1009"/>
      <c r="I64" s="1009"/>
      <c r="J64" s="1010"/>
      <c r="K64" s="803"/>
    </row>
    <row r="65" spans="1:11" ht="11.25" customHeight="1">
      <c r="A65" s="754"/>
      <c r="B65" s="1222" t="s">
        <v>586</v>
      </c>
      <c r="C65" s="1009"/>
      <c r="D65" s="1009"/>
      <c r="E65" s="1009"/>
      <c r="F65" s="1009"/>
      <c r="G65" s="1009"/>
      <c r="H65" s="1009"/>
      <c r="I65" s="1009"/>
      <c r="J65" s="1010"/>
      <c r="K65" s="804"/>
    </row>
    <row r="66" spans="1:11" ht="11.25" customHeight="1">
      <c r="A66" s="754"/>
      <c r="B66" s="1219"/>
      <c r="C66" s="1009"/>
      <c r="D66" s="1009"/>
      <c r="E66" s="1009"/>
      <c r="F66" s="1009"/>
      <c r="G66" s="1009"/>
      <c r="H66" s="1009"/>
      <c r="I66" s="1009"/>
      <c r="J66" s="1010"/>
      <c r="K66" s="803"/>
    </row>
    <row r="67" spans="1:11" ht="11.25" customHeight="1">
      <c r="A67" s="754"/>
      <c r="B67" s="1201" t="s">
        <v>587</v>
      </c>
      <c r="C67" s="1009"/>
      <c r="D67" s="1009"/>
      <c r="E67" s="1009"/>
      <c r="F67" s="1009"/>
      <c r="G67" s="1009"/>
      <c r="H67" s="1009"/>
      <c r="I67" s="1009"/>
      <c r="J67" s="1010"/>
      <c r="K67" s="805"/>
    </row>
    <row r="68" spans="1:11" ht="11.25" customHeight="1">
      <c r="A68" s="754"/>
      <c r="B68" s="1112" t="s">
        <v>1158</v>
      </c>
      <c r="C68" s="1009"/>
      <c r="D68" s="1009"/>
      <c r="E68" s="1009"/>
      <c r="F68" s="1009"/>
      <c r="G68" s="1009"/>
      <c r="H68" s="1009"/>
      <c r="I68" s="1009"/>
      <c r="J68" s="1010"/>
      <c r="K68" s="646"/>
    </row>
    <row r="69" spans="1:11" ht="15" customHeight="1">
      <c r="A69" s="754"/>
      <c r="B69" s="647" t="s">
        <v>589</v>
      </c>
      <c r="C69" s="1113" t="s">
        <v>1159</v>
      </c>
      <c r="D69" s="1009"/>
      <c r="E69" s="1009"/>
      <c r="F69" s="1009"/>
      <c r="G69" s="1009"/>
      <c r="H69" s="1009"/>
      <c r="I69" s="1010"/>
      <c r="J69" s="604" t="s">
        <v>591</v>
      </c>
      <c r="K69" s="487"/>
    </row>
    <row r="70" spans="1:11" ht="11.25" customHeight="1">
      <c r="A70" s="754"/>
      <c r="B70" s="647" t="s">
        <v>514</v>
      </c>
      <c r="C70" s="1215" t="s">
        <v>1160</v>
      </c>
      <c r="D70" s="1009"/>
      <c r="E70" s="1009"/>
      <c r="F70" s="1009"/>
      <c r="G70" s="1009"/>
      <c r="H70" s="1010"/>
      <c r="I70" s="648">
        <v>8.3299999999999999E-2</v>
      </c>
      <c r="J70" s="806">
        <f>ROUND(J58*I70,2)</f>
        <v>343.86</v>
      </c>
      <c r="K70" s="807"/>
    </row>
    <row r="71" spans="1:11" ht="14.25" customHeight="1">
      <c r="A71" s="754"/>
      <c r="B71" s="647" t="s">
        <v>516</v>
      </c>
      <c r="C71" s="1216" t="s">
        <v>1161</v>
      </c>
      <c r="D71" s="1009"/>
      <c r="E71" s="1009"/>
      <c r="F71" s="1009"/>
      <c r="G71" s="1009"/>
      <c r="H71" s="1010"/>
      <c r="I71" s="651">
        <v>3.0249999999999999E-2</v>
      </c>
      <c r="J71" s="806">
        <f>ROUND(J58*I71,2)</f>
        <v>124.87</v>
      </c>
      <c r="K71" s="807"/>
    </row>
    <row r="72" spans="1:11" ht="11.25" customHeight="1">
      <c r="A72" s="754"/>
      <c r="B72" s="1199" t="s">
        <v>594</v>
      </c>
      <c r="C72" s="1009"/>
      <c r="D72" s="1009"/>
      <c r="E72" s="1009"/>
      <c r="F72" s="1009"/>
      <c r="G72" s="1009"/>
      <c r="H72" s="1009"/>
      <c r="I72" s="1010"/>
      <c r="J72" s="808">
        <f>SUM(J70+J71)</f>
        <v>468.73</v>
      </c>
      <c r="K72" s="809"/>
    </row>
    <row r="73" spans="1:11" ht="14.25" customHeight="1">
      <c r="A73" s="754"/>
      <c r="B73" s="1217"/>
      <c r="C73" s="1009"/>
      <c r="D73" s="1009"/>
      <c r="E73" s="1009"/>
      <c r="F73" s="1009"/>
      <c r="G73" s="1009"/>
      <c r="H73" s="1009"/>
      <c r="I73" s="1009"/>
      <c r="J73" s="1010"/>
      <c r="K73" s="810"/>
    </row>
    <row r="74" spans="1:11" ht="11.25" customHeight="1">
      <c r="A74" s="754"/>
      <c r="B74" s="1214" t="s">
        <v>1162</v>
      </c>
      <c r="C74" s="1009"/>
      <c r="D74" s="1009"/>
      <c r="E74" s="1009"/>
      <c r="F74" s="1009"/>
      <c r="G74" s="1009"/>
      <c r="H74" s="1009"/>
      <c r="I74" s="1009"/>
      <c r="J74" s="1010"/>
      <c r="K74" s="782"/>
    </row>
    <row r="75" spans="1:11" ht="14.25" customHeight="1">
      <c r="A75" s="754"/>
      <c r="B75" s="1218"/>
      <c r="C75" s="1009"/>
      <c r="D75" s="1009"/>
      <c r="E75" s="1009"/>
      <c r="F75" s="1009"/>
      <c r="G75" s="1009"/>
      <c r="H75" s="1009"/>
      <c r="I75" s="1009"/>
      <c r="J75" s="1010"/>
      <c r="K75" s="782"/>
    </row>
    <row r="76" spans="1:11" ht="14.25" customHeight="1">
      <c r="A76" s="754"/>
      <c r="B76" s="1108" t="s">
        <v>1163</v>
      </c>
      <c r="C76" s="1009"/>
      <c r="D76" s="1009"/>
      <c r="E76" s="1009"/>
      <c r="F76" s="1009"/>
      <c r="G76" s="1009"/>
      <c r="H76" s="1009"/>
      <c r="I76" s="1009"/>
      <c r="J76" s="1010"/>
      <c r="K76" s="655"/>
    </row>
    <row r="77" spans="1:11" ht="11.25" customHeight="1">
      <c r="A77" s="754"/>
      <c r="B77" s="656" t="s">
        <v>597</v>
      </c>
      <c r="C77" s="1165" t="s">
        <v>598</v>
      </c>
      <c r="D77" s="1009"/>
      <c r="E77" s="1009"/>
      <c r="F77" s="1009"/>
      <c r="G77" s="1009"/>
      <c r="H77" s="1010"/>
      <c r="I77" s="811" t="s">
        <v>556</v>
      </c>
      <c r="J77" s="657" t="s">
        <v>599</v>
      </c>
      <c r="K77" s="487"/>
    </row>
    <row r="78" spans="1:11" ht="11.25" customHeight="1">
      <c r="A78" s="754"/>
      <c r="B78" s="812" t="s">
        <v>514</v>
      </c>
      <c r="C78" s="1178" t="s">
        <v>600</v>
      </c>
      <c r="D78" s="1009"/>
      <c r="E78" s="1009"/>
      <c r="F78" s="1009"/>
      <c r="G78" s="1009"/>
      <c r="H78" s="1010"/>
      <c r="I78" s="813">
        <v>0.2</v>
      </c>
      <c r="J78" s="814">
        <f>ROUND((J58+J72)*I78,2)</f>
        <v>919.35</v>
      </c>
      <c r="K78" s="809"/>
    </row>
    <row r="79" spans="1:11" ht="11.25" customHeight="1">
      <c r="A79" s="754"/>
      <c r="B79" s="812" t="s">
        <v>516</v>
      </c>
      <c r="C79" s="1178" t="s">
        <v>601</v>
      </c>
      <c r="D79" s="1009"/>
      <c r="E79" s="1009"/>
      <c r="F79" s="1009"/>
      <c r="G79" s="1009"/>
      <c r="H79" s="1010"/>
      <c r="I79" s="813">
        <v>2.5000000000000001E-2</v>
      </c>
      <c r="J79" s="814">
        <f>ROUND((J58+J72)*I79,2)</f>
        <v>114.92</v>
      </c>
      <c r="K79" s="809"/>
    </row>
    <row r="80" spans="1:11" ht="11.25" customHeight="1">
      <c r="A80" s="754"/>
      <c r="B80" s="812" t="s">
        <v>518</v>
      </c>
      <c r="C80" s="1178" t="s">
        <v>1164</v>
      </c>
      <c r="D80" s="1010"/>
      <c r="E80" s="815" t="s">
        <v>603</v>
      </c>
      <c r="F80" s="816">
        <f>'1-ABA-DE-CARREGAMENTO'!K57</f>
        <v>0.03</v>
      </c>
      <c r="G80" s="815" t="s">
        <v>604</v>
      </c>
      <c r="H80" s="817">
        <f>'1-ABA-DE-CARREGAMENTO'!K58</f>
        <v>1</v>
      </c>
      <c r="I80" s="818">
        <f>ROUND((F80*H80),6)</f>
        <v>0.03</v>
      </c>
      <c r="J80" s="814">
        <f>ROUND((J58+J72)*I80,2)</f>
        <v>137.9</v>
      </c>
      <c r="K80" s="809"/>
    </row>
    <row r="81" spans="1:11" ht="16.5" customHeight="1">
      <c r="A81" s="754"/>
      <c r="B81" s="812" t="s">
        <v>520</v>
      </c>
      <c r="C81" s="1178" t="s">
        <v>605</v>
      </c>
      <c r="D81" s="1009"/>
      <c r="E81" s="1009"/>
      <c r="F81" s="1009"/>
      <c r="G81" s="1009"/>
      <c r="H81" s="1010"/>
      <c r="I81" s="813">
        <v>1.4999999999999999E-2</v>
      </c>
      <c r="J81" s="814">
        <f>ROUND((J58+J72)*I81,2)</f>
        <v>68.95</v>
      </c>
      <c r="K81" s="809"/>
    </row>
    <row r="82" spans="1:11" ht="16.5" customHeight="1">
      <c r="A82" s="754"/>
      <c r="B82" s="812" t="s">
        <v>562</v>
      </c>
      <c r="C82" s="1178" t="s">
        <v>606</v>
      </c>
      <c r="D82" s="1009"/>
      <c r="E82" s="1009"/>
      <c r="F82" s="1009"/>
      <c r="G82" s="1009"/>
      <c r="H82" s="1010"/>
      <c r="I82" s="813">
        <v>0.01</v>
      </c>
      <c r="J82" s="814">
        <f>ROUND((J58+J72)*I82,2)</f>
        <v>45.97</v>
      </c>
      <c r="K82" s="809"/>
    </row>
    <row r="83" spans="1:11" ht="16.5" customHeight="1">
      <c r="A83" s="754"/>
      <c r="B83" s="812" t="s">
        <v>566</v>
      </c>
      <c r="C83" s="1178" t="s">
        <v>607</v>
      </c>
      <c r="D83" s="1009"/>
      <c r="E83" s="1009"/>
      <c r="F83" s="1009"/>
      <c r="G83" s="1009"/>
      <c r="H83" s="1010"/>
      <c r="I83" s="813">
        <v>6.0000000000000001E-3</v>
      </c>
      <c r="J83" s="814">
        <f>ROUND((J58+J72)*I83,2)</f>
        <v>27.58</v>
      </c>
      <c r="K83" s="809"/>
    </row>
    <row r="84" spans="1:11" ht="16.5" customHeight="1">
      <c r="A84" s="754"/>
      <c r="B84" s="812" t="s">
        <v>568</v>
      </c>
      <c r="C84" s="1178" t="s">
        <v>608</v>
      </c>
      <c r="D84" s="1009"/>
      <c r="E84" s="1009"/>
      <c r="F84" s="1009"/>
      <c r="G84" s="1009"/>
      <c r="H84" s="1010"/>
      <c r="I84" s="813">
        <v>2E-3</v>
      </c>
      <c r="J84" s="814">
        <f>ROUND((J58+J72)*I84,2)</f>
        <v>9.19</v>
      </c>
      <c r="K84" s="809"/>
    </row>
    <row r="85" spans="1:11" ht="28.5" customHeight="1">
      <c r="A85" s="754"/>
      <c r="B85" s="812" t="s">
        <v>570</v>
      </c>
      <c r="C85" s="1178" t="s">
        <v>609</v>
      </c>
      <c r="D85" s="1009"/>
      <c r="E85" s="1009"/>
      <c r="F85" s="1009"/>
      <c r="G85" s="1009"/>
      <c r="H85" s="1010"/>
      <c r="I85" s="813">
        <v>0.08</v>
      </c>
      <c r="J85" s="814">
        <f>ROUND((J58+J72)*I85,2)</f>
        <v>367.74</v>
      </c>
      <c r="K85" s="809"/>
    </row>
    <row r="86" spans="1:11" ht="12" customHeight="1">
      <c r="A86" s="754"/>
      <c r="B86" s="1204" t="s">
        <v>594</v>
      </c>
      <c r="C86" s="1009"/>
      <c r="D86" s="1009"/>
      <c r="E86" s="1009"/>
      <c r="F86" s="1009"/>
      <c r="G86" s="1009"/>
      <c r="H86" s="1010"/>
      <c r="I86" s="819">
        <f t="shared" ref="I86:J86" si="0">SUM(I78:I85)</f>
        <v>0.36800000000000005</v>
      </c>
      <c r="J86" s="808">
        <f t="shared" si="0"/>
        <v>1691.6000000000001</v>
      </c>
      <c r="K86" s="809"/>
    </row>
    <row r="87" spans="1:11" ht="12" customHeight="1">
      <c r="A87" s="754"/>
      <c r="B87" s="820"/>
      <c r="C87" s="666"/>
      <c r="D87" s="666"/>
      <c r="E87" s="666"/>
      <c r="F87" s="666"/>
      <c r="G87" s="666"/>
      <c r="H87" s="666"/>
      <c r="I87" s="821"/>
      <c r="J87" s="822"/>
      <c r="K87" s="809"/>
    </row>
    <row r="88" spans="1:11" ht="33" customHeight="1">
      <c r="A88" s="754"/>
      <c r="B88" s="1214" t="s">
        <v>610</v>
      </c>
      <c r="C88" s="1009"/>
      <c r="D88" s="1009"/>
      <c r="E88" s="1009"/>
      <c r="F88" s="1009"/>
      <c r="G88" s="1009"/>
      <c r="H88" s="1009"/>
      <c r="I88" s="1009"/>
      <c r="J88" s="1010"/>
      <c r="K88" s="782"/>
    </row>
    <row r="89" spans="1:11" ht="18.75" customHeight="1">
      <c r="A89" s="754"/>
      <c r="B89" s="1225"/>
      <c r="C89" s="1009"/>
      <c r="D89" s="1009"/>
      <c r="E89" s="1009"/>
      <c r="F89" s="1009"/>
      <c r="G89" s="1009"/>
      <c r="H89" s="1009"/>
      <c r="I89" s="1009"/>
      <c r="J89" s="1010"/>
      <c r="K89" s="376"/>
    </row>
    <row r="90" spans="1:11" ht="15" customHeight="1">
      <c r="A90" s="754"/>
      <c r="B90" s="1096" t="s">
        <v>611</v>
      </c>
      <c r="C90" s="1009"/>
      <c r="D90" s="1009"/>
      <c r="E90" s="1009"/>
      <c r="F90" s="1009"/>
      <c r="G90" s="1009"/>
      <c r="H90" s="1009"/>
      <c r="I90" s="1009"/>
      <c r="J90" s="1010"/>
      <c r="K90" s="646"/>
    </row>
    <row r="91" spans="1:11" ht="15" customHeight="1">
      <c r="A91" s="754"/>
      <c r="B91" s="669" t="s">
        <v>612</v>
      </c>
      <c r="C91" s="1083" t="s">
        <v>613</v>
      </c>
      <c r="D91" s="1009"/>
      <c r="E91" s="1009"/>
      <c r="F91" s="1009"/>
      <c r="G91" s="1009"/>
      <c r="H91" s="1009"/>
      <c r="I91" s="1010"/>
      <c r="J91" s="670" t="s">
        <v>591</v>
      </c>
      <c r="K91" s="592"/>
    </row>
    <row r="92" spans="1:11" ht="15" customHeight="1">
      <c r="A92" s="754"/>
      <c r="B92" s="823" t="s">
        <v>514</v>
      </c>
      <c r="C92" s="1178" t="s">
        <v>1165</v>
      </c>
      <c r="D92" s="1009"/>
      <c r="E92" s="1009"/>
      <c r="F92" s="1009"/>
      <c r="G92" s="1009"/>
      <c r="H92" s="1010"/>
      <c r="I92" s="794">
        <f>J47</f>
        <v>4128.0200000000004</v>
      </c>
      <c r="J92" s="824">
        <f>IF(ROUND((I93*I95*I94)-(J47*I96),2)&lt;0,0,ROUND((I93*I95*I94)-(J47*I96),2))</f>
        <v>0</v>
      </c>
      <c r="K92" s="809"/>
    </row>
    <row r="93" spans="1:11" ht="28.5" customHeight="1">
      <c r="A93" s="754"/>
      <c r="B93" s="823" t="s">
        <v>516</v>
      </c>
      <c r="C93" s="1178" t="s">
        <v>1166</v>
      </c>
      <c r="D93" s="1009"/>
      <c r="E93" s="1009"/>
      <c r="F93" s="1009"/>
      <c r="G93" s="1009"/>
      <c r="H93" s="1009"/>
      <c r="I93" s="825">
        <f>'1-ABA-DE-CARREGAMENTO'!K72</f>
        <v>3.2</v>
      </c>
      <c r="J93" s="826" t="s">
        <v>527</v>
      </c>
      <c r="K93" s="799"/>
    </row>
    <row r="94" spans="1:11" ht="24" customHeight="1">
      <c r="A94" s="754"/>
      <c r="B94" s="823" t="s">
        <v>518</v>
      </c>
      <c r="C94" s="1178" t="s">
        <v>1167</v>
      </c>
      <c r="D94" s="1009"/>
      <c r="E94" s="1009"/>
      <c r="F94" s="1009"/>
      <c r="G94" s="1009"/>
      <c r="H94" s="1010"/>
      <c r="I94" s="827">
        <f>'1-ABA-DE-CARREGAMENTO'!K73</f>
        <v>2</v>
      </c>
      <c r="J94" s="826" t="s">
        <v>527</v>
      </c>
      <c r="K94" s="799"/>
    </row>
    <row r="95" spans="1:11" ht="19.5" customHeight="1">
      <c r="A95" s="754"/>
      <c r="B95" s="823" t="s">
        <v>520</v>
      </c>
      <c r="C95" s="1229" t="s">
        <v>617</v>
      </c>
      <c r="D95" s="1009"/>
      <c r="E95" s="1009"/>
      <c r="F95" s="1009"/>
      <c r="G95" s="1009"/>
      <c r="H95" s="1010"/>
      <c r="I95" s="827">
        <f>'1-ABA-DE-CARREGAMENTO'!K74</f>
        <v>22</v>
      </c>
      <c r="J95" s="826" t="s">
        <v>527</v>
      </c>
      <c r="K95" s="799"/>
    </row>
    <row r="96" spans="1:11" ht="25.5" customHeight="1">
      <c r="A96" s="754"/>
      <c r="B96" s="823" t="s">
        <v>562</v>
      </c>
      <c r="C96" s="1229" t="s">
        <v>1168</v>
      </c>
      <c r="D96" s="1009"/>
      <c r="E96" s="1009"/>
      <c r="F96" s="1009"/>
      <c r="G96" s="1009"/>
      <c r="H96" s="1010"/>
      <c r="I96" s="832">
        <f>'1-ABA-DE-CARREGAMENTO'!K75</f>
        <v>0.06</v>
      </c>
      <c r="J96" s="830" t="s">
        <v>527</v>
      </c>
      <c r="K96" s="799"/>
    </row>
    <row r="97" spans="1:11" ht="15" customHeight="1">
      <c r="A97" s="754"/>
      <c r="B97" s="823" t="s">
        <v>566</v>
      </c>
      <c r="C97" s="1178" t="s">
        <v>1169</v>
      </c>
      <c r="D97" s="1009"/>
      <c r="E97" s="1009"/>
      <c r="F97" s="1009"/>
      <c r="G97" s="1009"/>
      <c r="H97" s="1009"/>
      <c r="I97" s="1009"/>
      <c r="J97" s="824">
        <f>ROUND(I98*I99,2)-ROUND((I98*I99)*I100,2)</f>
        <v>0</v>
      </c>
      <c r="K97" s="809"/>
    </row>
    <row r="98" spans="1:11" ht="15" customHeight="1">
      <c r="A98" s="754"/>
      <c r="B98" s="823" t="s">
        <v>568</v>
      </c>
      <c r="C98" s="1178" t="s">
        <v>1170</v>
      </c>
      <c r="D98" s="1009"/>
      <c r="E98" s="1009"/>
      <c r="F98" s="1009"/>
      <c r="G98" s="1009"/>
      <c r="H98" s="1009"/>
      <c r="I98" s="825">
        <f>IF('1-ABA-DE-CARREGAMENTO'!K60&gt;0,'1-ABA-DE-CARREGAMENTO'!K60,'1-ABA-DE-CARREGAMENTO'!K63)</f>
        <v>0</v>
      </c>
      <c r="J98" s="831"/>
      <c r="K98" s="799"/>
    </row>
    <row r="99" spans="1:11" ht="15" customHeight="1">
      <c r="A99" s="754"/>
      <c r="B99" s="823" t="s">
        <v>570</v>
      </c>
      <c r="C99" s="1178" t="s">
        <v>1171</v>
      </c>
      <c r="D99" s="1009"/>
      <c r="E99" s="1009"/>
      <c r="F99" s="1009"/>
      <c r="G99" s="1009"/>
      <c r="H99" s="1009"/>
      <c r="I99" s="827">
        <f>'1-ABA-DE-CARREGAMENTO'!K62</f>
        <v>22</v>
      </c>
      <c r="J99" s="831"/>
      <c r="K99" s="799"/>
    </row>
    <row r="100" spans="1:11" ht="27" customHeight="1">
      <c r="A100" s="754"/>
      <c r="B100" s="823" t="s">
        <v>574</v>
      </c>
      <c r="C100" s="1266" t="s">
        <v>1172</v>
      </c>
      <c r="D100" s="1009"/>
      <c r="E100" s="1009"/>
      <c r="F100" s="1009"/>
      <c r="G100" s="1009"/>
      <c r="H100" s="1010"/>
      <c r="I100" s="832">
        <f>'1-ABA-DE-CARREGAMENTO'!K61</f>
        <v>0</v>
      </c>
      <c r="J100" s="833"/>
      <c r="K100" s="799"/>
    </row>
    <row r="101" spans="1:11" ht="15" customHeight="1">
      <c r="A101" s="754"/>
      <c r="B101" s="823" t="s">
        <v>578</v>
      </c>
      <c r="C101" s="1178" t="s">
        <v>1114</v>
      </c>
      <c r="D101" s="1009"/>
      <c r="E101" s="1009"/>
      <c r="F101" s="1009"/>
      <c r="G101" s="1009"/>
      <c r="H101" s="1009"/>
      <c r="I101" s="1009"/>
      <c r="J101" s="814">
        <v>0</v>
      </c>
      <c r="K101" s="809"/>
    </row>
    <row r="102" spans="1:11" ht="36" customHeight="1">
      <c r="A102" s="754"/>
      <c r="B102" s="823" t="s">
        <v>580</v>
      </c>
      <c r="C102" s="1178" t="s">
        <v>1173</v>
      </c>
      <c r="D102" s="1009"/>
      <c r="E102" s="1009"/>
      <c r="F102" s="1009"/>
      <c r="G102" s="1009"/>
      <c r="H102" s="1009"/>
      <c r="I102" s="1009"/>
      <c r="J102" s="814">
        <f>'1-ABA-DE-CARREGAMENTO'!K77</f>
        <v>0</v>
      </c>
      <c r="K102" s="809"/>
    </row>
    <row r="103" spans="1:11" ht="36" customHeight="1">
      <c r="A103" s="754"/>
      <c r="B103" s="823" t="s">
        <v>625</v>
      </c>
      <c r="C103" s="1178" t="s">
        <v>1174</v>
      </c>
      <c r="D103" s="1009"/>
      <c r="E103" s="1009"/>
      <c r="F103" s="1009"/>
      <c r="G103" s="1009"/>
      <c r="H103" s="1009"/>
      <c r="I103" s="1010"/>
      <c r="J103" s="814">
        <f>'1-ABA-DE-CARREGAMENTO'!K78</f>
        <v>0</v>
      </c>
      <c r="K103" s="809"/>
    </row>
    <row r="104" spans="1:11" ht="16.5" customHeight="1">
      <c r="A104" s="754"/>
      <c r="B104" s="823" t="s">
        <v>627</v>
      </c>
      <c r="C104" s="1178" t="s">
        <v>818</v>
      </c>
      <c r="D104" s="1009"/>
      <c r="E104" s="1009"/>
      <c r="F104" s="1009"/>
      <c r="G104" s="1009"/>
      <c r="H104" s="1009"/>
      <c r="I104" s="1010"/>
      <c r="J104" s="814">
        <f>'1-ABA-DE-CARREGAMENTO'!K76</f>
        <v>0</v>
      </c>
      <c r="K104" s="809"/>
    </row>
    <row r="105" spans="1:11" ht="17.25" customHeight="1">
      <c r="A105" s="754"/>
      <c r="B105" s="823" t="s">
        <v>129</v>
      </c>
      <c r="C105" s="1212" t="s">
        <v>668</v>
      </c>
      <c r="D105" s="1009"/>
      <c r="E105" s="1009"/>
      <c r="F105" s="1009"/>
      <c r="G105" s="1009"/>
      <c r="H105" s="1009"/>
      <c r="I105" s="1009"/>
      <c r="J105" s="834">
        <v>0</v>
      </c>
      <c r="K105" s="835"/>
    </row>
    <row r="106" spans="1:11" ht="33.75" customHeight="1">
      <c r="A106" s="754"/>
      <c r="B106" s="836"/>
      <c r="C106" s="1204" t="s">
        <v>594</v>
      </c>
      <c r="D106" s="1009"/>
      <c r="E106" s="1009"/>
      <c r="F106" s="1009"/>
      <c r="G106" s="1009"/>
      <c r="H106" s="1009"/>
      <c r="I106" s="1030"/>
      <c r="J106" s="808">
        <f>SUM(J92:J105)</f>
        <v>0</v>
      </c>
      <c r="K106" s="809"/>
    </row>
    <row r="107" spans="1:11" ht="12" customHeight="1">
      <c r="A107" s="754"/>
      <c r="B107" s="1225"/>
      <c r="C107" s="1009"/>
      <c r="D107" s="1009"/>
      <c r="E107" s="1009"/>
      <c r="F107" s="1009"/>
      <c r="G107" s="1009"/>
      <c r="H107" s="1009"/>
      <c r="I107" s="1009"/>
      <c r="J107" s="1010"/>
      <c r="K107" s="376"/>
    </row>
    <row r="108" spans="1:11" ht="33.75" customHeight="1">
      <c r="A108" s="754"/>
      <c r="B108" s="1214" t="s">
        <v>630</v>
      </c>
      <c r="C108" s="1009"/>
      <c r="D108" s="1009"/>
      <c r="E108" s="1009"/>
      <c r="F108" s="1009"/>
      <c r="G108" s="1009"/>
      <c r="H108" s="1009"/>
      <c r="I108" s="1009"/>
      <c r="J108" s="1010"/>
      <c r="K108" s="782"/>
    </row>
    <row r="109" spans="1:11" ht="10.5" customHeight="1">
      <c r="A109" s="754"/>
      <c r="B109" s="1220"/>
      <c r="C109" s="1009"/>
      <c r="D109" s="1009"/>
      <c r="E109" s="1009"/>
      <c r="F109" s="1009"/>
      <c r="G109" s="1009"/>
      <c r="H109" s="1009"/>
      <c r="I109" s="1009"/>
      <c r="J109" s="1010"/>
      <c r="K109" s="763"/>
    </row>
    <row r="110" spans="1:11" ht="19.5" customHeight="1">
      <c r="A110" s="754"/>
      <c r="B110" s="1265" t="s">
        <v>631</v>
      </c>
      <c r="C110" s="1009"/>
      <c r="D110" s="1009"/>
      <c r="E110" s="1009"/>
      <c r="F110" s="1009"/>
      <c r="G110" s="1009"/>
      <c r="H110" s="1009"/>
      <c r="I110" s="1009"/>
      <c r="J110" s="1010"/>
      <c r="K110" s="837"/>
    </row>
    <row r="111" spans="1:11" ht="19.5" customHeight="1">
      <c r="A111" s="754"/>
      <c r="B111" s="657">
        <v>2</v>
      </c>
      <c r="C111" s="1165" t="s">
        <v>632</v>
      </c>
      <c r="D111" s="1009"/>
      <c r="E111" s="1009"/>
      <c r="F111" s="1009"/>
      <c r="G111" s="1009"/>
      <c r="H111" s="1009"/>
      <c r="I111" s="1010"/>
      <c r="J111" s="657" t="s">
        <v>591</v>
      </c>
      <c r="K111" s="487"/>
    </row>
    <row r="112" spans="1:11" ht="19.5" customHeight="1">
      <c r="A112" s="754"/>
      <c r="B112" s="769" t="s">
        <v>589</v>
      </c>
      <c r="C112" s="1215" t="s">
        <v>1175</v>
      </c>
      <c r="D112" s="1009"/>
      <c r="E112" s="1009"/>
      <c r="F112" s="1009"/>
      <c r="G112" s="1009"/>
      <c r="H112" s="1009"/>
      <c r="I112" s="1010"/>
      <c r="J112" s="838">
        <f>J72</f>
        <v>468.73</v>
      </c>
      <c r="K112" s="839"/>
    </row>
    <row r="113" spans="1:11" ht="19.5" customHeight="1">
      <c r="A113" s="754"/>
      <c r="B113" s="769" t="s">
        <v>597</v>
      </c>
      <c r="C113" s="1215" t="s">
        <v>598</v>
      </c>
      <c r="D113" s="1009"/>
      <c r="E113" s="1009"/>
      <c r="F113" s="1009"/>
      <c r="G113" s="1009"/>
      <c r="H113" s="1009"/>
      <c r="I113" s="1010"/>
      <c r="J113" s="838">
        <f>J86</f>
        <v>1691.6000000000001</v>
      </c>
      <c r="K113" s="839"/>
    </row>
    <row r="114" spans="1:11" ht="19.5" customHeight="1">
      <c r="A114" s="754"/>
      <c r="B114" s="769" t="s">
        <v>612</v>
      </c>
      <c r="C114" s="1215" t="s">
        <v>613</v>
      </c>
      <c r="D114" s="1009"/>
      <c r="E114" s="1009"/>
      <c r="F114" s="1009"/>
      <c r="G114" s="1009"/>
      <c r="H114" s="1009"/>
      <c r="I114" s="1010"/>
      <c r="J114" s="838">
        <f>J106</f>
        <v>0</v>
      </c>
      <c r="K114" s="839"/>
    </row>
    <row r="115" spans="1:11" ht="14.25" customHeight="1">
      <c r="A115" s="754"/>
      <c r="B115" s="1261" t="s">
        <v>594</v>
      </c>
      <c r="C115" s="1009"/>
      <c r="D115" s="1009"/>
      <c r="E115" s="1009"/>
      <c r="F115" s="1009"/>
      <c r="G115" s="1009"/>
      <c r="H115" s="1009"/>
      <c r="I115" s="1010"/>
      <c r="J115" s="840">
        <f>SUM(J112+J113+J114)</f>
        <v>2160.33</v>
      </c>
      <c r="K115" s="839"/>
    </row>
    <row r="116" spans="1:11" ht="14.25" customHeight="1">
      <c r="A116" s="754"/>
      <c r="B116" s="1262"/>
      <c r="C116" s="1009"/>
      <c r="D116" s="1009"/>
      <c r="E116" s="1009"/>
      <c r="F116" s="1009"/>
      <c r="G116" s="1009"/>
      <c r="H116" s="1009"/>
      <c r="I116" s="1009"/>
      <c r="J116" s="1010"/>
      <c r="K116" s="841"/>
    </row>
    <row r="117" spans="1:11" ht="18.75" customHeight="1">
      <c r="A117" s="754"/>
      <c r="B117" s="1252" t="s">
        <v>634</v>
      </c>
      <c r="C117" s="1009"/>
      <c r="D117" s="1009"/>
      <c r="E117" s="1009"/>
      <c r="F117" s="1009"/>
      <c r="G117" s="1009"/>
      <c r="H117" s="1009"/>
      <c r="I117" s="1009"/>
      <c r="J117" s="1010"/>
      <c r="K117" s="842"/>
    </row>
    <row r="118" spans="1:11" ht="15.75" customHeight="1">
      <c r="A118" s="754"/>
      <c r="B118" s="669">
        <v>3</v>
      </c>
      <c r="C118" s="1162" t="s">
        <v>635</v>
      </c>
      <c r="D118" s="1009"/>
      <c r="E118" s="1009"/>
      <c r="F118" s="1009"/>
      <c r="G118" s="1009"/>
      <c r="H118" s="1009"/>
      <c r="I118" s="1010"/>
      <c r="J118" s="669" t="s">
        <v>591</v>
      </c>
      <c r="K118" s="601"/>
    </row>
    <row r="119" spans="1:11" ht="42" customHeight="1">
      <c r="A119" s="754"/>
      <c r="B119" s="823" t="s">
        <v>514</v>
      </c>
      <c r="C119" s="1178" t="s">
        <v>1176</v>
      </c>
      <c r="D119" s="1009"/>
      <c r="E119" s="1009"/>
      <c r="F119" s="1009"/>
      <c r="G119" s="1009"/>
      <c r="H119" s="1009"/>
      <c r="I119" s="1010"/>
      <c r="J119" s="814">
        <f>ROUND((($J$58/12)+($J$70/12)+(J58/12/12)+($J$71/12))*(30/30)*0.05,2)</f>
        <v>20.59</v>
      </c>
      <c r="K119" s="809"/>
    </row>
    <row r="120" spans="1:11" ht="15.75" customHeight="1">
      <c r="A120" s="754"/>
      <c r="B120" s="823" t="s">
        <v>516</v>
      </c>
      <c r="C120" s="1212" t="s">
        <v>637</v>
      </c>
      <c r="D120" s="1009"/>
      <c r="E120" s="1009"/>
      <c r="F120" s="1009"/>
      <c r="G120" s="1009"/>
      <c r="H120" s="1009"/>
      <c r="I120" s="1010"/>
      <c r="J120" s="814">
        <f>ROUND($I$85*J119,2)</f>
        <v>1.65</v>
      </c>
      <c r="K120" s="809"/>
    </row>
    <row r="121" spans="1:11" ht="30" customHeight="1">
      <c r="A121" s="754"/>
      <c r="B121" s="823" t="s">
        <v>518</v>
      </c>
      <c r="C121" s="1178" t="s">
        <v>1177</v>
      </c>
      <c r="D121" s="1009"/>
      <c r="E121" s="1009"/>
      <c r="F121" s="1009"/>
      <c r="G121" s="1009"/>
      <c r="H121" s="1009"/>
      <c r="I121" s="1010"/>
      <c r="J121" s="814">
        <f>ROUND(((7/30)/$I$11)*$J$58*1,2)</f>
        <v>32.11</v>
      </c>
      <c r="K121" s="809"/>
    </row>
    <row r="122" spans="1:11" ht="18.75" customHeight="1">
      <c r="A122" s="754"/>
      <c r="B122" s="823" t="s">
        <v>520</v>
      </c>
      <c r="C122" s="1212" t="s">
        <v>639</v>
      </c>
      <c r="D122" s="1009"/>
      <c r="E122" s="1009"/>
      <c r="F122" s="1009"/>
      <c r="G122" s="1009"/>
      <c r="H122" s="1009"/>
      <c r="I122" s="1010"/>
      <c r="J122" s="814">
        <f>ROUND($I$86*J121,2)</f>
        <v>11.82</v>
      </c>
      <c r="K122" s="809"/>
    </row>
    <row r="123" spans="1:11" ht="33.75" customHeight="1">
      <c r="A123" s="754"/>
      <c r="B123" s="823" t="s">
        <v>562</v>
      </c>
      <c r="C123" s="1178" t="s">
        <v>1178</v>
      </c>
      <c r="D123" s="1009"/>
      <c r="E123" s="1009"/>
      <c r="F123" s="1009"/>
      <c r="G123" s="1009"/>
      <c r="H123" s="1010"/>
      <c r="I123" s="843">
        <v>0.04</v>
      </c>
      <c r="J123" s="814">
        <f>ROUND(J58*I123,2)</f>
        <v>165.12</v>
      </c>
      <c r="K123" s="809"/>
    </row>
    <row r="124" spans="1:11" ht="19.5" customHeight="1">
      <c r="A124" s="754"/>
      <c r="B124" s="1204" t="s">
        <v>641</v>
      </c>
      <c r="C124" s="1009"/>
      <c r="D124" s="1009"/>
      <c r="E124" s="1009"/>
      <c r="F124" s="1009"/>
      <c r="G124" s="1009"/>
      <c r="H124" s="1009"/>
      <c r="I124" s="1010"/>
      <c r="J124" s="808">
        <f>SUM(J119:J123)</f>
        <v>231.29</v>
      </c>
      <c r="K124" s="809"/>
    </row>
    <row r="125" spans="1:11" ht="15.75" customHeight="1">
      <c r="A125" s="754"/>
      <c r="B125" s="1186"/>
      <c r="C125" s="1009"/>
      <c r="D125" s="1009"/>
      <c r="E125" s="1009"/>
      <c r="F125" s="1009"/>
      <c r="G125" s="1009"/>
      <c r="H125" s="1009"/>
      <c r="I125" s="1009"/>
      <c r="J125" s="1010"/>
      <c r="K125" s="844"/>
    </row>
    <row r="126" spans="1:11" ht="17.25" customHeight="1">
      <c r="A126" s="754"/>
      <c r="B126" s="1187" t="s">
        <v>642</v>
      </c>
      <c r="C126" s="1009"/>
      <c r="D126" s="1009"/>
      <c r="E126" s="1009"/>
      <c r="F126" s="1009"/>
      <c r="G126" s="1009"/>
      <c r="H126" s="1009"/>
      <c r="I126" s="1009"/>
      <c r="J126" s="1010"/>
      <c r="K126" s="845"/>
    </row>
    <row r="127" spans="1:11" ht="30" customHeight="1">
      <c r="A127" s="754"/>
      <c r="B127" s="1214" t="s">
        <v>643</v>
      </c>
      <c r="C127" s="1009"/>
      <c r="D127" s="1009"/>
      <c r="E127" s="1009"/>
      <c r="F127" s="1009"/>
      <c r="G127" s="1009"/>
      <c r="H127" s="1009"/>
      <c r="I127" s="1009"/>
      <c r="J127" s="1010"/>
      <c r="K127" s="782"/>
    </row>
    <row r="128" spans="1:11" ht="28.5" customHeight="1">
      <c r="A128" s="754"/>
      <c r="B128" s="1108" t="s">
        <v>1179</v>
      </c>
      <c r="C128" s="1009"/>
      <c r="D128" s="1009"/>
      <c r="E128" s="1009"/>
      <c r="F128" s="1009"/>
      <c r="G128" s="1009"/>
      <c r="H128" s="1009"/>
      <c r="I128" s="1009"/>
      <c r="J128" s="1010"/>
      <c r="K128" s="655"/>
    </row>
    <row r="129" spans="1:11" ht="27.75" customHeight="1">
      <c r="A129" s="754"/>
      <c r="B129" s="694" t="s">
        <v>645</v>
      </c>
      <c r="C129" s="695">
        <f>J58</f>
        <v>4128.0200000000004</v>
      </c>
      <c r="D129" s="846" t="s">
        <v>646</v>
      </c>
      <c r="E129" s="694" t="s">
        <v>1180</v>
      </c>
      <c r="F129" s="695">
        <f>J115-J92-J97</f>
        <v>2160.33</v>
      </c>
      <c r="G129" s="846" t="s">
        <v>646</v>
      </c>
      <c r="H129" s="694" t="s">
        <v>648</v>
      </c>
      <c r="I129" s="695">
        <f>J124</f>
        <v>231.29</v>
      </c>
      <c r="J129" s="847">
        <f>C129+F129+I129</f>
        <v>6519.64</v>
      </c>
      <c r="K129" s="848"/>
    </row>
    <row r="130" spans="1:11" ht="9" customHeight="1">
      <c r="A130" s="754"/>
      <c r="B130" s="1263"/>
      <c r="C130" s="1009"/>
      <c r="D130" s="1009"/>
      <c r="E130" s="1009"/>
      <c r="F130" s="1009"/>
      <c r="G130" s="1009"/>
      <c r="H130" s="1009"/>
      <c r="I130" s="1009"/>
      <c r="J130" s="1010"/>
      <c r="K130" s="849"/>
    </row>
    <row r="131" spans="1:11" ht="15.75" customHeight="1">
      <c r="A131" s="754"/>
      <c r="B131" s="1069" t="s">
        <v>649</v>
      </c>
      <c r="C131" s="1009"/>
      <c r="D131" s="1009"/>
      <c r="E131" s="1009"/>
      <c r="F131" s="1009"/>
      <c r="G131" s="1009"/>
      <c r="H131" s="1009"/>
      <c r="I131" s="1009"/>
      <c r="J131" s="1010"/>
      <c r="K131" s="698"/>
    </row>
    <row r="132" spans="1:11" ht="17.25" customHeight="1">
      <c r="A132" s="754"/>
      <c r="B132" s="699" t="s">
        <v>650</v>
      </c>
      <c r="C132" s="1162" t="s">
        <v>651</v>
      </c>
      <c r="D132" s="1009"/>
      <c r="E132" s="1009"/>
      <c r="F132" s="1009"/>
      <c r="G132" s="1009"/>
      <c r="H132" s="1009"/>
      <c r="I132" s="1010"/>
      <c r="J132" s="699" t="s">
        <v>591</v>
      </c>
      <c r="K132" s="700"/>
    </row>
    <row r="133" spans="1:11" ht="45" customHeight="1">
      <c r="A133" s="754"/>
      <c r="B133" s="823" t="s">
        <v>514</v>
      </c>
      <c r="C133" s="1215" t="s">
        <v>1181</v>
      </c>
      <c r="D133" s="1009"/>
      <c r="E133" s="1009"/>
      <c r="F133" s="1009"/>
      <c r="G133" s="1009"/>
      <c r="H133" s="701">
        <v>9.0749999999999997E-2</v>
      </c>
      <c r="I133" s="702">
        <f>I86</f>
        <v>0.36800000000000005</v>
      </c>
      <c r="J133" s="814">
        <f>ROUND(H133*J58,2)*(1+I133)</f>
        <v>512.48016000000007</v>
      </c>
      <c r="K133" s="809"/>
    </row>
    <row r="134" spans="1:11" ht="17.25" customHeight="1">
      <c r="A134" s="754"/>
      <c r="B134" s="823" t="s">
        <v>516</v>
      </c>
      <c r="C134" s="1178" t="s">
        <v>1182</v>
      </c>
      <c r="D134" s="1009"/>
      <c r="E134" s="1009"/>
      <c r="F134" s="1009"/>
      <c r="G134" s="1009"/>
      <c r="H134" s="1009"/>
      <c r="I134" s="1010"/>
      <c r="J134" s="814">
        <f>ROUND((1/30)/12*(J129),2)</f>
        <v>18.11</v>
      </c>
      <c r="K134" s="809"/>
    </row>
    <row r="135" spans="1:11" ht="26.25" customHeight="1">
      <c r="A135" s="754"/>
      <c r="B135" s="823" t="s">
        <v>518</v>
      </c>
      <c r="C135" s="1178" t="s">
        <v>1183</v>
      </c>
      <c r="D135" s="1009"/>
      <c r="E135" s="1009"/>
      <c r="F135" s="1009"/>
      <c r="G135" s="1009"/>
      <c r="H135" s="1009"/>
      <c r="I135" s="1010"/>
      <c r="J135" s="814">
        <f>ROUND((5/30)/12*0.015*(J129),2)</f>
        <v>1.36</v>
      </c>
      <c r="K135" s="809"/>
    </row>
    <row r="136" spans="1:11" ht="28.5" customHeight="1">
      <c r="A136" s="754"/>
      <c r="B136" s="823" t="s">
        <v>520</v>
      </c>
      <c r="C136" s="1178" t="s">
        <v>1184</v>
      </c>
      <c r="D136" s="1009"/>
      <c r="E136" s="1009"/>
      <c r="F136" s="1009"/>
      <c r="G136" s="1009"/>
      <c r="H136" s="1009"/>
      <c r="I136" s="1010"/>
      <c r="J136" s="814">
        <f>ROUND(((15/30)/12)*0.0078*(J129),2)</f>
        <v>2.12</v>
      </c>
      <c r="K136" s="809"/>
    </row>
    <row r="137" spans="1:11" ht="30.75" customHeight="1">
      <c r="A137" s="754"/>
      <c r="B137" s="850" t="s">
        <v>562</v>
      </c>
      <c r="C137" s="1264" t="s">
        <v>1185</v>
      </c>
      <c r="D137" s="1009"/>
      <c r="E137" s="1009"/>
      <c r="F137" s="1009"/>
      <c r="G137" s="1009"/>
      <c r="H137" s="1009"/>
      <c r="I137" s="1010"/>
      <c r="J137" s="704">
        <f>ROUND(((((C129+C129/3)+(I86)*(C129+C129/3))*(4/12))/12)*0.02,2) + ((J106 -J92-J97+ J124)*4/12)*0.02</f>
        <v>5.7219333333333333</v>
      </c>
      <c r="K137" s="653"/>
    </row>
    <row r="138" spans="1:11" ht="38.25" customHeight="1">
      <c r="A138" s="754"/>
      <c r="B138" s="823" t="s">
        <v>566</v>
      </c>
      <c r="C138" s="1178" t="s">
        <v>1186</v>
      </c>
      <c r="D138" s="1009"/>
      <c r="E138" s="1009"/>
      <c r="F138" s="1009"/>
      <c r="G138" s="1009"/>
      <c r="H138" s="1009"/>
      <c r="I138" s="1010"/>
      <c r="J138" s="814">
        <f>ROUND(((3/30)/12)*(J129),2)</f>
        <v>54.33</v>
      </c>
      <c r="K138" s="809"/>
    </row>
    <row r="139" spans="1:11" ht="18" customHeight="1">
      <c r="A139" s="754"/>
      <c r="B139" s="1204" t="s">
        <v>594</v>
      </c>
      <c r="C139" s="1009"/>
      <c r="D139" s="1009"/>
      <c r="E139" s="1009"/>
      <c r="F139" s="1009"/>
      <c r="G139" s="1009"/>
      <c r="H139" s="1009"/>
      <c r="I139" s="1010"/>
      <c r="J139" s="808">
        <f>SUM(J133:J138)</f>
        <v>594.12209333333351</v>
      </c>
      <c r="K139" s="809"/>
    </row>
    <row r="140" spans="1:11" ht="10.5" customHeight="1">
      <c r="A140" s="754"/>
      <c r="B140" s="1186"/>
      <c r="C140" s="1009"/>
      <c r="D140" s="1009"/>
      <c r="E140" s="1009"/>
      <c r="F140" s="1009"/>
      <c r="G140" s="1009"/>
      <c r="H140" s="1009"/>
      <c r="I140" s="1009"/>
      <c r="J140" s="1010"/>
      <c r="K140" s="844"/>
    </row>
    <row r="141" spans="1:11" ht="19.5" customHeight="1">
      <c r="A141" s="754"/>
      <c r="B141" s="1096" t="s">
        <v>658</v>
      </c>
      <c r="C141" s="1009"/>
      <c r="D141" s="1009"/>
      <c r="E141" s="1009"/>
      <c r="F141" s="1009"/>
      <c r="G141" s="1009"/>
      <c r="H141" s="1009"/>
      <c r="I141" s="1009"/>
      <c r="J141" s="1010"/>
      <c r="K141" s="646"/>
    </row>
    <row r="142" spans="1:11" ht="19.5" customHeight="1">
      <c r="A142" s="754"/>
      <c r="B142" s="705" t="s">
        <v>659</v>
      </c>
      <c r="C142" s="1097" t="s">
        <v>660</v>
      </c>
      <c r="D142" s="1009"/>
      <c r="E142" s="1009"/>
      <c r="F142" s="1009"/>
      <c r="G142" s="1009"/>
      <c r="H142" s="1009"/>
      <c r="I142" s="1010"/>
      <c r="J142" s="706" t="s">
        <v>591</v>
      </c>
      <c r="K142" s="707"/>
    </row>
    <row r="143" spans="1:11" ht="19.5" customHeight="1">
      <c r="A143" s="754"/>
      <c r="B143" s="851" t="s">
        <v>514</v>
      </c>
      <c r="C143" s="1202" t="s">
        <v>661</v>
      </c>
      <c r="D143" s="1009"/>
      <c r="E143" s="1009"/>
      <c r="F143" s="1009"/>
      <c r="G143" s="1009"/>
      <c r="H143" s="1009"/>
      <c r="I143" s="1010"/>
      <c r="J143" s="852">
        <v>0</v>
      </c>
      <c r="K143" s="853"/>
    </row>
    <row r="144" spans="1:11" ht="19.5" customHeight="1">
      <c r="A144" s="754"/>
      <c r="B144" s="1199" t="s">
        <v>594</v>
      </c>
      <c r="C144" s="1009"/>
      <c r="D144" s="1009"/>
      <c r="E144" s="1009"/>
      <c r="F144" s="1009"/>
      <c r="G144" s="1009"/>
      <c r="H144" s="1009"/>
      <c r="I144" s="1010"/>
      <c r="J144" s="854">
        <v>0</v>
      </c>
      <c r="K144" s="853"/>
    </row>
    <row r="145" spans="1:11" ht="9.75" customHeight="1">
      <c r="A145" s="754"/>
      <c r="B145" s="1200"/>
      <c r="C145" s="1009"/>
      <c r="D145" s="1009"/>
      <c r="E145" s="1009"/>
      <c r="F145" s="1009"/>
      <c r="G145" s="1009"/>
      <c r="H145" s="1009"/>
      <c r="I145" s="1009"/>
      <c r="J145" s="1010"/>
      <c r="K145" s="855"/>
    </row>
    <row r="146" spans="1:11" ht="19.5" customHeight="1">
      <c r="A146" s="754"/>
      <c r="B146" s="1201" t="s">
        <v>662</v>
      </c>
      <c r="C146" s="1009"/>
      <c r="D146" s="1009"/>
      <c r="E146" s="1009"/>
      <c r="F146" s="1009"/>
      <c r="G146" s="1009"/>
      <c r="H146" s="1009"/>
      <c r="I146" s="1009"/>
      <c r="J146" s="1010"/>
      <c r="K146" s="805"/>
    </row>
    <row r="147" spans="1:11" ht="19.5" customHeight="1">
      <c r="A147" s="754"/>
      <c r="B147" s="657">
        <v>4</v>
      </c>
      <c r="C147" s="1097" t="s">
        <v>663</v>
      </c>
      <c r="D147" s="1009"/>
      <c r="E147" s="1009"/>
      <c r="F147" s="1009"/>
      <c r="G147" s="1009"/>
      <c r="H147" s="1009"/>
      <c r="I147" s="1010"/>
      <c r="J147" s="706" t="s">
        <v>591</v>
      </c>
      <c r="K147" s="707"/>
    </row>
    <row r="148" spans="1:11" ht="28.5" customHeight="1">
      <c r="A148" s="754"/>
      <c r="B148" s="769" t="s">
        <v>650</v>
      </c>
      <c r="C148" s="1202" t="s">
        <v>651</v>
      </c>
      <c r="D148" s="1009"/>
      <c r="E148" s="1009"/>
      <c r="F148" s="1009"/>
      <c r="G148" s="1009"/>
      <c r="H148" s="1009"/>
      <c r="I148" s="1010"/>
      <c r="J148" s="852">
        <f>J139</f>
        <v>594.12209333333351</v>
      </c>
      <c r="K148" s="853"/>
    </row>
    <row r="149" spans="1:11" ht="24" customHeight="1">
      <c r="A149" s="754"/>
      <c r="B149" s="769" t="s">
        <v>664</v>
      </c>
      <c r="C149" s="1202" t="s">
        <v>660</v>
      </c>
      <c r="D149" s="1009"/>
      <c r="E149" s="1009"/>
      <c r="F149" s="1009"/>
      <c r="G149" s="1009"/>
      <c r="H149" s="1009"/>
      <c r="I149" s="1010"/>
      <c r="J149" s="852">
        <f>J144</f>
        <v>0</v>
      </c>
      <c r="K149" s="853"/>
    </row>
    <row r="150" spans="1:11" ht="24" customHeight="1">
      <c r="A150" s="754"/>
      <c r="B150" s="1261" t="s">
        <v>594</v>
      </c>
      <c r="C150" s="1009"/>
      <c r="D150" s="1009"/>
      <c r="E150" s="1009"/>
      <c r="F150" s="1009"/>
      <c r="G150" s="1009"/>
      <c r="H150" s="1009"/>
      <c r="I150" s="1010"/>
      <c r="J150" s="854">
        <f>SUM(J148+J149)</f>
        <v>594.12209333333351</v>
      </c>
      <c r="K150" s="853"/>
    </row>
    <row r="151" spans="1:11" ht="9" customHeight="1">
      <c r="A151" s="754"/>
      <c r="B151" s="1200"/>
      <c r="C151" s="1009"/>
      <c r="D151" s="1009"/>
      <c r="E151" s="1009"/>
      <c r="F151" s="1009"/>
      <c r="G151" s="1009"/>
      <c r="H151" s="1009"/>
      <c r="I151" s="1009"/>
      <c r="J151" s="1010"/>
      <c r="K151" s="855"/>
    </row>
    <row r="152" spans="1:11" ht="15.75" customHeight="1">
      <c r="A152" s="754"/>
      <c r="B152" s="1187" t="s">
        <v>665</v>
      </c>
      <c r="C152" s="1009"/>
      <c r="D152" s="1009"/>
      <c r="E152" s="1009"/>
      <c r="F152" s="1009"/>
      <c r="G152" s="1009"/>
      <c r="H152" s="1009"/>
      <c r="I152" s="1009"/>
      <c r="J152" s="1010"/>
      <c r="K152" s="845"/>
    </row>
    <row r="153" spans="1:11" ht="15.75" customHeight="1">
      <c r="A153" s="754"/>
      <c r="B153" s="669">
        <v>3</v>
      </c>
      <c r="C153" s="1083" t="s">
        <v>666</v>
      </c>
      <c r="D153" s="1009"/>
      <c r="E153" s="1009"/>
      <c r="F153" s="1009"/>
      <c r="G153" s="1009"/>
      <c r="H153" s="1009"/>
      <c r="I153" s="1010"/>
      <c r="J153" s="669" t="s">
        <v>591</v>
      </c>
      <c r="K153" s="601"/>
    </row>
    <row r="154" spans="1:11" ht="19.5" customHeight="1">
      <c r="A154" s="754"/>
      <c r="B154" s="823" t="s">
        <v>514</v>
      </c>
      <c r="C154" s="1178" t="s">
        <v>769</v>
      </c>
      <c r="D154" s="1009"/>
      <c r="E154" s="1009"/>
      <c r="F154" s="1009"/>
      <c r="G154" s="1009"/>
      <c r="H154" s="1009"/>
      <c r="I154" s="1010"/>
      <c r="J154" s="814">
        <v>0</v>
      </c>
      <c r="K154" s="809"/>
    </row>
    <row r="155" spans="1:11" ht="15.75" customHeight="1">
      <c r="A155" s="754"/>
      <c r="B155" s="823" t="s">
        <v>516</v>
      </c>
      <c r="C155" s="1178" t="s">
        <v>770</v>
      </c>
      <c r="D155" s="1009"/>
      <c r="E155" s="1009"/>
      <c r="F155" s="1009"/>
      <c r="G155" s="1009"/>
      <c r="H155" s="1009"/>
      <c r="I155" s="1010"/>
      <c r="J155" s="834">
        <v>0</v>
      </c>
      <c r="K155" s="835"/>
    </row>
    <row r="156" spans="1:11" ht="15.75" customHeight="1">
      <c r="A156" s="754"/>
      <c r="B156" s="823" t="s">
        <v>518</v>
      </c>
      <c r="C156" s="1178" t="s">
        <v>668</v>
      </c>
      <c r="D156" s="1009"/>
      <c r="E156" s="1009"/>
      <c r="F156" s="1009"/>
      <c r="G156" s="1009"/>
      <c r="H156" s="1009"/>
      <c r="I156" s="1010"/>
      <c r="J156" s="834" t="s">
        <v>669</v>
      </c>
      <c r="K156" s="835"/>
    </row>
    <row r="157" spans="1:11" ht="19.5" customHeight="1">
      <c r="A157" s="754"/>
      <c r="B157" s="1204" t="s">
        <v>670</v>
      </c>
      <c r="C157" s="1009"/>
      <c r="D157" s="1009"/>
      <c r="E157" s="1009"/>
      <c r="F157" s="1009"/>
      <c r="G157" s="1009"/>
      <c r="H157" s="1009"/>
      <c r="I157" s="1010"/>
      <c r="J157" s="857">
        <f>ROUND(SUM(J154:J156),2)</f>
        <v>0</v>
      </c>
      <c r="K157" s="835"/>
    </row>
    <row r="158" spans="1:11" ht="12" customHeight="1">
      <c r="A158" s="754"/>
      <c r="B158" s="1267"/>
      <c r="C158" s="1009"/>
      <c r="D158" s="1009"/>
      <c r="E158" s="1009"/>
      <c r="F158" s="1009"/>
      <c r="G158" s="1009"/>
      <c r="H158" s="1009"/>
      <c r="I158" s="1009"/>
      <c r="J158" s="1010"/>
      <c r="K158" s="858"/>
    </row>
    <row r="159" spans="1:11" ht="18" customHeight="1">
      <c r="A159" s="754"/>
      <c r="B159" s="1268" t="s">
        <v>671</v>
      </c>
      <c r="C159" s="1009"/>
      <c r="D159" s="1009"/>
      <c r="E159" s="1009"/>
      <c r="F159" s="1009"/>
      <c r="G159" s="1009"/>
      <c r="H159" s="1009"/>
      <c r="I159" s="1009"/>
      <c r="J159" s="1010"/>
      <c r="K159" s="859"/>
    </row>
    <row r="160" spans="1:11" ht="12" customHeight="1">
      <c r="A160" s="754"/>
      <c r="B160" s="860"/>
      <c r="C160" s="714"/>
      <c r="D160" s="714"/>
      <c r="E160" s="714"/>
      <c r="F160" s="714"/>
      <c r="G160" s="714"/>
      <c r="H160" s="714"/>
      <c r="I160" s="714"/>
      <c r="J160" s="715"/>
      <c r="K160" s="329"/>
    </row>
    <row r="161" spans="1:11" ht="24" customHeight="1">
      <c r="A161" s="754"/>
      <c r="B161" s="1252" t="s">
        <v>672</v>
      </c>
      <c r="C161" s="1009"/>
      <c r="D161" s="1009"/>
      <c r="E161" s="1009"/>
      <c r="F161" s="1009"/>
      <c r="G161" s="1009"/>
      <c r="H161" s="1009"/>
      <c r="I161" s="1009"/>
      <c r="J161" s="1010"/>
      <c r="K161" s="842"/>
    </row>
    <row r="162" spans="1:11" ht="24" customHeight="1">
      <c r="A162" s="754"/>
      <c r="B162" s="669">
        <v>6</v>
      </c>
      <c r="C162" s="1162" t="s">
        <v>673</v>
      </c>
      <c r="D162" s="1009"/>
      <c r="E162" s="1009"/>
      <c r="F162" s="1009"/>
      <c r="G162" s="1009"/>
      <c r="H162" s="1010"/>
      <c r="I162" s="861" t="s">
        <v>556</v>
      </c>
      <c r="J162" s="716" t="s">
        <v>599</v>
      </c>
      <c r="K162" s="717"/>
    </row>
    <row r="163" spans="1:11" ht="54.75" customHeight="1">
      <c r="A163" s="754"/>
      <c r="B163" s="1229" t="s">
        <v>674</v>
      </c>
      <c r="C163" s="1009"/>
      <c r="D163" s="1009"/>
      <c r="E163" s="1009"/>
      <c r="F163" s="1009"/>
      <c r="G163" s="1009"/>
      <c r="H163" s="1010"/>
      <c r="I163" s="355" t="s">
        <v>527</v>
      </c>
      <c r="J163" s="862">
        <f>SUM(J63+J115+J124+J150+J157)</f>
        <v>7113.7620933333337</v>
      </c>
      <c r="K163" s="863"/>
    </row>
    <row r="164" spans="1:11" ht="20.25" customHeight="1">
      <c r="A164" s="754"/>
      <c r="B164" s="823" t="s">
        <v>514</v>
      </c>
      <c r="C164" s="1109" t="s">
        <v>675</v>
      </c>
      <c r="D164" s="1009"/>
      <c r="E164" s="1009"/>
      <c r="F164" s="1009"/>
      <c r="G164" s="1009"/>
      <c r="H164" s="1010"/>
      <c r="I164" s="813">
        <f>'1-ABA-DE-CARREGAMENTO'!K85</f>
        <v>0.06</v>
      </c>
      <c r="J164" s="814">
        <f>ROUND(I164*J163,2)</f>
        <v>426.83</v>
      </c>
      <c r="K164" s="809"/>
    </row>
    <row r="165" spans="1:11" ht="51" customHeight="1">
      <c r="A165" s="754"/>
      <c r="B165" s="1229" t="s">
        <v>676</v>
      </c>
      <c r="C165" s="1009"/>
      <c r="D165" s="1009"/>
      <c r="E165" s="1009"/>
      <c r="F165" s="1009"/>
      <c r="G165" s="1009"/>
      <c r="H165" s="1010"/>
      <c r="I165" s="864" t="s">
        <v>527</v>
      </c>
      <c r="J165" s="862">
        <f>SUM(J63+J115+J124+J150+J157+J164)</f>
        <v>7540.5920933333337</v>
      </c>
      <c r="K165" s="863"/>
    </row>
    <row r="166" spans="1:11" ht="19.5" customHeight="1">
      <c r="A166" s="754"/>
      <c r="B166" s="823" t="s">
        <v>516</v>
      </c>
      <c r="C166" s="1109" t="s">
        <v>312</v>
      </c>
      <c r="D166" s="1009"/>
      <c r="E166" s="1009"/>
      <c r="F166" s="1009"/>
      <c r="G166" s="1009"/>
      <c r="H166" s="1010"/>
      <c r="I166" s="813">
        <f>'1-ABA-DE-CARREGAMENTO'!K86</f>
        <v>0.06</v>
      </c>
      <c r="J166" s="814">
        <f>ROUND(I166*J165,2)</f>
        <v>452.44</v>
      </c>
      <c r="K166" s="809"/>
    </row>
    <row r="167" spans="1:11" ht="54" customHeight="1">
      <c r="A167" s="754"/>
      <c r="B167" s="1229" t="s">
        <v>677</v>
      </c>
      <c r="C167" s="1009"/>
      <c r="D167" s="1009"/>
      <c r="E167" s="1009"/>
      <c r="F167" s="1009"/>
      <c r="G167" s="1009"/>
      <c r="H167" s="1010"/>
      <c r="I167" s="864" t="s">
        <v>527</v>
      </c>
      <c r="J167" s="862">
        <f>SUM(J163+J164+J166)</f>
        <v>7993.0320933333333</v>
      </c>
      <c r="K167" s="863"/>
    </row>
    <row r="168" spans="1:11" ht="18.75" customHeight="1">
      <c r="A168" s="754"/>
      <c r="B168" s="865" t="s">
        <v>518</v>
      </c>
      <c r="C168" s="1252" t="s">
        <v>678</v>
      </c>
      <c r="D168" s="1009"/>
      <c r="E168" s="1009"/>
      <c r="F168" s="1009"/>
      <c r="G168" s="1009"/>
      <c r="H168" s="1010"/>
      <c r="I168" s="792" t="s">
        <v>527</v>
      </c>
      <c r="J168" s="798" t="s">
        <v>527</v>
      </c>
      <c r="K168" s="799"/>
    </row>
    <row r="169" spans="1:11" ht="18.75" customHeight="1">
      <c r="A169" s="754"/>
      <c r="B169" s="823"/>
      <c r="C169" s="1212" t="s">
        <v>679</v>
      </c>
      <c r="D169" s="1009"/>
      <c r="E169" s="1009"/>
      <c r="F169" s="1009"/>
      <c r="G169" s="1009"/>
      <c r="H169" s="1010"/>
      <c r="I169" s="792" t="s">
        <v>527</v>
      </c>
      <c r="J169" s="798" t="s">
        <v>527</v>
      </c>
      <c r="K169" s="799"/>
    </row>
    <row r="170" spans="1:11" ht="19.5" customHeight="1">
      <c r="A170" s="754"/>
      <c r="B170" s="823"/>
      <c r="C170" s="1099" t="s">
        <v>1187</v>
      </c>
      <c r="D170" s="1009"/>
      <c r="E170" s="1009"/>
      <c r="F170" s="1009"/>
      <c r="G170" s="1009"/>
      <c r="H170" s="1010"/>
      <c r="I170" s="866">
        <f>'1-ABA-DE-CARREGAMENTO'!E28</f>
        <v>1.6500000000000001E-2</v>
      </c>
      <c r="J170" s="867">
        <f t="shared" ref="J170:J171" si="1">ROUND(($J$167/(1-$I$179))*I170,2)</f>
        <v>152.03</v>
      </c>
      <c r="K170" s="868"/>
    </row>
    <row r="171" spans="1:11" ht="19.5" customHeight="1">
      <c r="A171" s="754"/>
      <c r="B171" s="823"/>
      <c r="C171" s="1099" t="s">
        <v>1188</v>
      </c>
      <c r="D171" s="1009"/>
      <c r="E171" s="1009"/>
      <c r="F171" s="1009"/>
      <c r="G171" s="1009"/>
      <c r="H171" s="1010"/>
      <c r="I171" s="866">
        <f>'1-ABA-DE-CARREGAMENTO'!F28</f>
        <v>7.5999999999999998E-2</v>
      </c>
      <c r="J171" s="867">
        <f t="shared" si="1"/>
        <v>700.25</v>
      </c>
      <c r="K171" s="868"/>
    </row>
    <row r="172" spans="1:11" ht="24.75" customHeight="1">
      <c r="A172" s="754"/>
      <c r="B172" s="823"/>
      <c r="C172" s="1178" t="s">
        <v>1189</v>
      </c>
      <c r="D172" s="1009"/>
      <c r="E172" s="1009"/>
      <c r="F172" s="1009"/>
      <c r="G172" s="1009"/>
      <c r="H172" s="1010"/>
      <c r="I172" s="869" t="s">
        <v>527</v>
      </c>
      <c r="J172" s="798" t="s">
        <v>527</v>
      </c>
      <c r="K172" s="799"/>
    </row>
    <row r="173" spans="1:11" ht="27" customHeight="1">
      <c r="A173" s="754"/>
      <c r="B173" s="823"/>
      <c r="C173" s="1178" t="s">
        <v>1190</v>
      </c>
      <c r="D173" s="1009"/>
      <c r="E173" s="1009"/>
      <c r="F173" s="1009"/>
      <c r="G173" s="1009"/>
      <c r="H173" s="1010"/>
      <c r="I173" s="869" t="s">
        <v>527</v>
      </c>
      <c r="J173" s="798" t="s">
        <v>527</v>
      </c>
      <c r="K173" s="799"/>
    </row>
    <row r="174" spans="1:11" ht="15.75" customHeight="1">
      <c r="A174" s="754"/>
      <c r="B174" s="823"/>
      <c r="C174" s="1178" t="s">
        <v>684</v>
      </c>
      <c r="D174" s="1009"/>
      <c r="E174" s="1009"/>
      <c r="F174" s="1009"/>
      <c r="G174" s="1009"/>
      <c r="H174" s="1009"/>
      <c r="I174" s="870" t="s">
        <v>527</v>
      </c>
      <c r="J174" s="871" t="s">
        <v>527</v>
      </c>
      <c r="K174" s="872"/>
    </row>
    <row r="175" spans="1:11" ht="15.75" customHeight="1">
      <c r="A175" s="754"/>
      <c r="B175" s="823"/>
      <c r="C175" s="1178" t="s">
        <v>685</v>
      </c>
      <c r="D175" s="1009"/>
      <c r="E175" s="1009"/>
      <c r="F175" s="1009"/>
      <c r="G175" s="1009"/>
      <c r="H175" s="1009"/>
      <c r="I175" s="870" t="s">
        <v>527</v>
      </c>
      <c r="J175" s="871" t="s">
        <v>527</v>
      </c>
      <c r="K175" s="872"/>
    </row>
    <row r="176" spans="1:11" ht="15.75" customHeight="1">
      <c r="A176" s="754"/>
      <c r="B176" s="823"/>
      <c r="C176" s="1178" t="s">
        <v>1191</v>
      </c>
      <c r="D176" s="1009"/>
      <c r="E176" s="1009"/>
      <c r="F176" s="1009"/>
      <c r="G176" s="1009"/>
      <c r="H176" s="1010"/>
      <c r="I176" s="873">
        <f>'1-ABA-DE-CARREGAMENTO'!D87</f>
        <v>0.04</v>
      </c>
      <c r="J176" s="867">
        <f>ROUND(($J$167/(1-$I$179))*I176,2)</f>
        <v>368.55</v>
      </c>
      <c r="K176" s="868"/>
    </row>
    <row r="177" spans="1:11" ht="15.75" customHeight="1">
      <c r="A177" s="754"/>
      <c r="B177" s="1204" t="s">
        <v>641</v>
      </c>
      <c r="C177" s="1009"/>
      <c r="D177" s="1009"/>
      <c r="E177" s="1009"/>
      <c r="F177" s="1009"/>
      <c r="G177" s="1009"/>
      <c r="H177" s="1009"/>
      <c r="I177" s="1010"/>
      <c r="J177" s="808">
        <f>SUM(J164+J166+J170+J171+J176)</f>
        <v>2100.1</v>
      </c>
      <c r="K177" s="809"/>
    </row>
    <row r="178" spans="1:11" ht="15.75" customHeight="1">
      <c r="A178" s="754"/>
      <c r="B178" s="1186"/>
      <c r="C178" s="1009"/>
      <c r="D178" s="1009"/>
      <c r="E178" s="1009"/>
      <c r="F178" s="1009"/>
      <c r="G178" s="1009"/>
      <c r="H178" s="1009"/>
      <c r="I178" s="1009"/>
      <c r="J178" s="1010"/>
      <c r="K178" s="844"/>
    </row>
    <row r="179" spans="1:11" ht="15.75" customHeight="1">
      <c r="A179" s="754"/>
      <c r="B179" s="1205" t="s">
        <v>687</v>
      </c>
      <c r="C179" s="1009"/>
      <c r="D179" s="1009"/>
      <c r="E179" s="1009"/>
      <c r="F179" s="1009"/>
      <c r="G179" s="1009"/>
      <c r="H179" s="1010"/>
      <c r="I179" s="874">
        <f t="shared" ref="I179:J179" si="2">SUM(I170:I176)</f>
        <v>0.13250000000000001</v>
      </c>
      <c r="J179" s="862">
        <f t="shared" si="2"/>
        <v>1220.83</v>
      </c>
      <c r="K179" s="863"/>
    </row>
    <row r="180" spans="1:11" ht="15.75" customHeight="1">
      <c r="A180" s="754"/>
      <c r="B180" s="1206" t="s">
        <v>688</v>
      </c>
      <c r="C180" s="1023"/>
      <c r="D180" s="1207" t="s">
        <v>689</v>
      </c>
      <c r="E180" s="1023"/>
      <c r="F180" s="1023"/>
      <c r="G180" s="1023"/>
      <c r="H180" s="1023"/>
      <c r="I180" s="1023"/>
      <c r="J180" s="1040"/>
      <c r="K180" s="875"/>
    </row>
    <row r="181" spans="1:11" ht="15.75" customHeight="1">
      <c r="A181" s="754"/>
      <c r="B181" s="1102"/>
      <c r="C181" s="1023"/>
      <c r="D181" s="1208" t="s">
        <v>690</v>
      </c>
      <c r="E181" s="1023"/>
      <c r="F181" s="1023"/>
      <c r="G181" s="1023"/>
      <c r="H181" s="1023"/>
      <c r="I181" s="1023"/>
      <c r="J181" s="1040"/>
      <c r="K181" s="876"/>
    </row>
    <row r="182" spans="1:11" ht="15.75" customHeight="1">
      <c r="A182" s="754"/>
      <c r="B182" s="1103"/>
      <c r="C182" s="1060"/>
      <c r="D182" s="1209" t="s">
        <v>691</v>
      </c>
      <c r="E182" s="1060"/>
      <c r="F182" s="1060"/>
      <c r="G182" s="1060"/>
      <c r="H182" s="1060"/>
      <c r="I182" s="1060"/>
      <c r="J182" s="1062"/>
      <c r="K182" s="875"/>
    </row>
    <row r="183" spans="1:11" ht="15.75" customHeight="1">
      <c r="A183" s="754"/>
      <c r="B183" s="1210"/>
      <c r="C183" s="1009"/>
      <c r="D183" s="1009"/>
      <c r="E183" s="1009"/>
      <c r="F183" s="1009"/>
      <c r="G183" s="1009"/>
      <c r="H183" s="1009"/>
      <c r="I183" s="1009"/>
      <c r="J183" s="1010"/>
      <c r="K183" s="877"/>
    </row>
    <row r="184" spans="1:11" ht="15.75" customHeight="1">
      <c r="A184" s="754"/>
      <c r="B184" s="1211" t="s">
        <v>692</v>
      </c>
      <c r="C184" s="1009"/>
      <c r="D184" s="1009"/>
      <c r="E184" s="1009"/>
      <c r="F184" s="1009"/>
      <c r="G184" s="1009"/>
      <c r="H184" s="1009"/>
      <c r="I184" s="1009"/>
      <c r="J184" s="1010"/>
      <c r="K184" s="766"/>
    </row>
    <row r="185" spans="1:11" ht="15.75" customHeight="1">
      <c r="A185" s="754"/>
      <c r="B185" s="1186"/>
      <c r="C185" s="1009"/>
      <c r="D185" s="1009"/>
      <c r="E185" s="1009"/>
      <c r="F185" s="1009"/>
      <c r="G185" s="1009"/>
      <c r="H185" s="1009"/>
      <c r="I185" s="1009"/>
      <c r="J185" s="1010"/>
      <c r="K185" s="844"/>
    </row>
    <row r="186" spans="1:11" ht="15.75" customHeight="1">
      <c r="A186" s="754"/>
      <c r="B186" s="1187" t="s">
        <v>1192</v>
      </c>
      <c r="C186" s="1009"/>
      <c r="D186" s="1009"/>
      <c r="E186" s="1009"/>
      <c r="F186" s="1009"/>
      <c r="G186" s="1009"/>
      <c r="H186" s="1009"/>
      <c r="I186" s="1009"/>
      <c r="J186" s="1010"/>
      <c r="K186" s="845"/>
    </row>
    <row r="187" spans="1:11" ht="15.75" customHeight="1">
      <c r="A187" s="754"/>
      <c r="B187" s="1086" t="s">
        <v>694</v>
      </c>
      <c r="C187" s="1009"/>
      <c r="D187" s="1009"/>
      <c r="E187" s="1009"/>
      <c r="F187" s="1009"/>
      <c r="G187" s="1009"/>
      <c r="H187" s="1009"/>
      <c r="I187" s="1010"/>
      <c r="J187" s="861" t="s">
        <v>591</v>
      </c>
      <c r="K187" s="763"/>
    </row>
    <row r="188" spans="1:11" ht="15.75" customHeight="1">
      <c r="A188" s="754"/>
      <c r="B188" s="878" t="s">
        <v>514</v>
      </c>
      <c r="C188" s="1181" t="s">
        <v>695</v>
      </c>
      <c r="D188" s="1009"/>
      <c r="E188" s="1009"/>
      <c r="F188" s="1009"/>
      <c r="G188" s="1009"/>
      <c r="H188" s="1009"/>
      <c r="I188" s="1009"/>
      <c r="J188" s="834">
        <f>J63</f>
        <v>4128.0200000000004</v>
      </c>
      <c r="K188" s="835"/>
    </row>
    <row r="189" spans="1:11" ht="15.75" customHeight="1">
      <c r="A189" s="754"/>
      <c r="B189" s="878" t="s">
        <v>516</v>
      </c>
      <c r="C189" s="1181" t="s">
        <v>696</v>
      </c>
      <c r="D189" s="1009"/>
      <c r="E189" s="1009"/>
      <c r="F189" s="1009"/>
      <c r="G189" s="1009"/>
      <c r="H189" s="1009"/>
      <c r="I189" s="1009"/>
      <c r="J189" s="834">
        <f>J115</f>
        <v>2160.33</v>
      </c>
      <c r="K189" s="835"/>
    </row>
    <row r="190" spans="1:11" ht="15.75" customHeight="1">
      <c r="A190" s="754"/>
      <c r="B190" s="878" t="s">
        <v>518</v>
      </c>
      <c r="C190" s="1181" t="s">
        <v>697</v>
      </c>
      <c r="D190" s="1009"/>
      <c r="E190" s="1009"/>
      <c r="F190" s="1009"/>
      <c r="G190" s="1009"/>
      <c r="H190" s="1009"/>
      <c r="I190" s="1009"/>
      <c r="J190" s="834">
        <f>J124</f>
        <v>231.29</v>
      </c>
      <c r="K190" s="835"/>
    </row>
    <row r="191" spans="1:11" ht="15.75" customHeight="1">
      <c r="A191" s="754"/>
      <c r="B191" s="878" t="s">
        <v>520</v>
      </c>
      <c r="C191" s="1181" t="s">
        <v>698</v>
      </c>
      <c r="D191" s="1009"/>
      <c r="E191" s="1009"/>
      <c r="F191" s="1009"/>
      <c r="G191" s="1009"/>
      <c r="H191" s="1009"/>
      <c r="I191" s="1009"/>
      <c r="J191" s="834">
        <f>J150</f>
        <v>594.12209333333351</v>
      </c>
      <c r="K191" s="835"/>
    </row>
    <row r="192" spans="1:11" ht="15.75" customHeight="1">
      <c r="A192" s="754"/>
      <c r="B192" s="878" t="s">
        <v>562</v>
      </c>
      <c r="C192" s="1181" t="s">
        <v>699</v>
      </c>
      <c r="D192" s="1009"/>
      <c r="E192" s="1009"/>
      <c r="F192" s="1009"/>
      <c r="G192" s="1009"/>
      <c r="H192" s="1009"/>
      <c r="I192" s="1009"/>
      <c r="J192" s="834">
        <f>J157</f>
        <v>0</v>
      </c>
      <c r="K192" s="835"/>
    </row>
    <row r="193" spans="1:11" ht="15.75" customHeight="1">
      <c r="A193" s="754"/>
      <c r="B193" s="1182" t="s">
        <v>700</v>
      </c>
      <c r="C193" s="1009"/>
      <c r="D193" s="1009"/>
      <c r="E193" s="1009"/>
      <c r="F193" s="1009"/>
      <c r="G193" s="1009"/>
      <c r="H193" s="1009"/>
      <c r="I193" s="1030"/>
      <c r="J193" s="857">
        <f>ROUND(SUM(J188:J192),2)</f>
        <v>7113.76</v>
      </c>
      <c r="K193" s="835"/>
    </row>
    <row r="194" spans="1:11" ht="15.75" customHeight="1">
      <c r="A194" s="754"/>
      <c r="B194" s="879" t="s">
        <v>566</v>
      </c>
      <c r="C194" s="1181" t="s">
        <v>672</v>
      </c>
      <c r="D194" s="1009"/>
      <c r="E194" s="1009"/>
      <c r="F194" s="1009"/>
      <c r="G194" s="1009"/>
      <c r="H194" s="1009"/>
      <c r="I194" s="1009"/>
      <c r="J194" s="834">
        <f>J177</f>
        <v>2100.1</v>
      </c>
      <c r="K194" s="835"/>
    </row>
    <row r="195" spans="1:11" ht="15.75" customHeight="1">
      <c r="A195" s="754"/>
      <c r="B195" s="1182" t="s">
        <v>777</v>
      </c>
      <c r="C195" s="1009"/>
      <c r="D195" s="1009"/>
      <c r="E195" s="1009"/>
      <c r="F195" s="1009"/>
      <c r="G195" s="1009"/>
      <c r="H195" s="1009"/>
      <c r="I195" s="1030"/>
      <c r="J195" s="857">
        <f>J193+J194</f>
        <v>9213.86</v>
      </c>
      <c r="K195" s="835"/>
    </row>
    <row r="196" spans="1:11" ht="34.5" customHeight="1">
      <c r="A196" s="754"/>
      <c r="B196" s="1183" t="s">
        <v>702</v>
      </c>
      <c r="C196" s="1009"/>
      <c r="D196" s="1009"/>
      <c r="E196" s="1009"/>
      <c r="F196" s="1009"/>
      <c r="G196" s="1009"/>
      <c r="H196" s="1009"/>
      <c r="I196" s="1009"/>
      <c r="J196" s="1010"/>
      <c r="K196" s="880"/>
    </row>
    <row r="197" spans="1:11" ht="9" customHeight="1">
      <c r="A197" s="754"/>
      <c r="B197" s="1184"/>
      <c r="C197" s="1009"/>
      <c r="D197" s="1009"/>
      <c r="E197" s="1009"/>
      <c r="F197" s="1009"/>
      <c r="G197" s="1009"/>
      <c r="H197" s="1009"/>
      <c r="I197" s="1009"/>
      <c r="J197" s="1010"/>
      <c r="K197" s="881"/>
    </row>
    <row r="198" spans="1:11" ht="15.75" customHeight="1">
      <c r="A198" s="754"/>
      <c r="B198" s="882"/>
      <c r="C198" s="760"/>
      <c r="D198" s="760"/>
      <c r="E198" s="760"/>
      <c r="F198" s="760"/>
      <c r="G198" s="760"/>
      <c r="H198" s="760"/>
      <c r="I198" s="883"/>
      <c r="J198" s="884"/>
      <c r="K198" s="883"/>
    </row>
    <row r="199" spans="1:11" ht="15.75" customHeight="1">
      <c r="A199" s="754"/>
      <c r="B199" s="1082" t="s">
        <v>1135</v>
      </c>
      <c r="C199" s="1023"/>
      <c r="D199" s="1023"/>
      <c r="E199" s="1023"/>
      <c r="F199" s="1023"/>
      <c r="G199" s="1023"/>
      <c r="H199" s="1023"/>
      <c r="I199" s="1023"/>
      <c r="J199" s="1040"/>
      <c r="K199" s="594"/>
    </row>
    <row r="200" spans="1:11" ht="40.5" customHeight="1">
      <c r="A200" s="754"/>
      <c r="B200" s="1185" t="s">
        <v>704</v>
      </c>
      <c r="C200" s="1009"/>
      <c r="D200" s="1009"/>
      <c r="E200" s="1010"/>
      <c r="F200" s="1185" t="s">
        <v>778</v>
      </c>
      <c r="G200" s="1010"/>
      <c r="H200" s="861" t="s">
        <v>707</v>
      </c>
      <c r="I200" s="1185" t="s">
        <v>708</v>
      </c>
      <c r="J200" s="1010"/>
      <c r="K200" s="763"/>
    </row>
    <row r="201" spans="1:11" ht="33" hidden="1" customHeight="1" outlineLevel="1">
      <c r="A201" s="754"/>
      <c r="B201" s="1178" t="s">
        <v>709</v>
      </c>
      <c r="C201" s="1009"/>
      <c r="D201" s="1009"/>
      <c r="E201" s="1010"/>
      <c r="F201" s="1176">
        <v>0</v>
      </c>
      <c r="G201" s="1010"/>
      <c r="H201" s="885">
        <f t="shared" ref="H201:H202" si="3">E201*F201</f>
        <v>0</v>
      </c>
      <c r="I201" s="1176">
        <f t="shared" ref="I201:I203" si="4">F201*H201</f>
        <v>0</v>
      </c>
      <c r="J201" s="1010"/>
      <c r="K201" s="886"/>
    </row>
    <row r="202" spans="1:11" ht="33" hidden="1" customHeight="1" outlineLevel="1">
      <c r="A202" s="754"/>
      <c r="B202" s="1178" t="s">
        <v>710</v>
      </c>
      <c r="C202" s="1009"/>
      <c r="D202" s="1009"/>
      <c r="E202" s="1010"/>
      <c r="F202" s="1176">
        <v>0</v>
      </c>
      <c r="G202" s="1010"/>
      <c r="H202" s="885">
        <f t="shared" si="3"/>
        <v>0</v>
      </c>
      <c r="I202" s="1176">
        <f t="shared" si="4"/>
        <v>0</v>
      </c>
      <c r="J202" s="1010"/>
      <c r="K202" s="886"/>
    </row>
    <row r="203" spans="1:11" ht="33" customHeight="1" collapsed="1">
      <c r="A203" s="754"/>
      <c r="B203" s="1179" t="str">
        <f>B3</f>
        <v>A NÃO TEM MAIS POSTOS-66</v>
      </c>
      <c r="C203" s="1009"/>
      <c r="D203" s="1009"/>
      <c r="E203" s="1010"/>
      <c r="F203" s="1180">
        <f>J195</f>
        <v>9213.86</v>
      </c>
      <c r="G203" s="1010"/>
      <c r="H203" s="885">
        <f>I17</f>
        <v>0</v>
      </c>
      <c r="I203" s="1176">
        <f t="shared" si="4"/>
        <v>0</v>
      </c>
      <c r="J203" s="1010"/>
      <c r="K203" s="886"/>
    </row>
    <row r="204" spans="1:11" ht="33" hidden="1" customHeight="1" outlineLevel="1">
      <c r="A204" s="754"/>
      <c r="B204" s="1178" t="s">
        <v>711</v>
      </c>
      <c r="C204" s="1009"/>
      <c r="D204" s="1009"/>
      <c r="E204" s="1010"/>
      <c r="F204" s="1180">
        <v>0</v>
      </c>
      <c r="G204" s="1010"/>
      <c r="H204" s="885">
        <f t="shared" ref="H204:I204" si="5">E204*G204</f>
        <v>0</v>
      </c>
      <c r="I204" s="1176">
        <f t="shared" si="5"/>
        <v>0</v>
      </c>
      <c r="J204" s="1010"/>
      <c r="K204" s="886"/>
    </row>
    <row r="205" spans="1:11" ht="33" hidden="1" customHeight="1" outlineLevel="1">
      <c r="A205" s="754"/>
      <c r="B205" s="1178" t="s">
        <v>712</v>
      </c>
      <c r="C205" s="1009"/>
      <c r="D205" s="1009"/>
      <c r="E205" s="1010"/>
      <c r="F205" s="1180">
        <v>0</v>
      </c>
      <c r="G205" s="1010"/>
      <c r="H205" s="885">
        <f t="shared" ref="H205:I205" si="6">E205*G205</f>
        <v>0</v>
      </c>
      <c r="I205" s="1176">
        <f t="shared" si="6"/>
        <v>0</v>
      </c>
      <c r="J205" s="1010"/>
      <c r="K205" s="886"/>
    </row>
    <row r="206" spans="1:11" ht="15.75" hidden="1" customHeight="1" outlineLevel="1">
      <c r="A206" s="754"/>
      <c r="B206" s="1203" t="s">
        <v>1193</v>
      </c>
      <c r="C206" s="1009"/>
      <c r="D206" s="1009"/>
      <c r="E206" s="1010"/>
      <c r="F206" s="1176">
        <v>0</v>
      </c>
      <c r="G206" s="1010"/>
      <c r="H206" s="885">
        <f t="shared" ref="H206:I206" si="7">E206*G206</f>
        <v>0</v>
      </c>
      <c r="I206" s="1176">
        <f t="shared" si="7"/>
        <v>0</v>
      </c>
      <c r="J206" s="1010"/>
      <c r="K206" s="886"/>
    </row>
    <row r="207" spans="1:11" ht="15.75" customHeight="1" collapsed="1">
      <c r="A207" s="754"/>
      <c r="B207" s="1188" t="s">
        <v>714</v>
      </c>
      <c r="C207" s="1009"/>
      <c r="D207" s="1009"/>
      <c r="E207" s="1009"/>
      <c r="F207" s="1009"/>
      <c r="G207" s="1010"/>
      <c r="H207" s="887">
        <f>SUM(H201:H206)</f>
        <v>0</v>
      </c>
      <c r="I207" s="1177">
        <f>SUM(I201:J206)</f>
        <v>0</v>
      </c>
      <c r="J207" s="1010"/>
      <c r="K207" s="888"/>
    </row>
    <row r="208" spans="1:11" ht="7.5" customHeight="1">
      <c r="A208" s="754"/>
      <c r="B208" s="1189"/>
      <c r="C208" s="1092"/>
      <c r="D208" s="1092"/>
      <c r="E208" s="1092"/>
      <c r="F208" s="1092"/>
      <c r="G208" s="1092"/>
      <c r="H208" s="1092"/>
      <c r="I208" s="1092"/>
      <c r="J208" s="1093"/>
      <c r="K208" s="844"/>
    </row>
    <row r="209" spans="1:11" ht="15.75" customHeight="1">
      <c r="A209" s="754"/>
      <c r="B209" s="1190" t="s">
        <v>715</v>
      </c>
      <c r="C209" s="1060"/>
      <c r="D209" s="1060"/>
      <c r="E209" s="1060"/>
      <c r="F209" s="1060"/>
      <c r="G209" s="1060"/>
      <c r="H209" s="1060"/>
      <c r="I209" s="1060"/>
      <c r="J209" s="1062"/>
      <c r="K209" s="766"/>
    </row>
    <row r="210" spans="1:11" ht="7.5" customHeight="1">
      <c r="A210" s="754"/>
      <c r="B210" s="1194"/>
      <c r="C210" s="1009"/>
      <c r="D210" s="1009"/>
      <c r="E210" s="1009"/>
      <c r="F210" s="1009"/>
      <c r="G210" s="1009"/>
      <c r="H210" s="1009"/>
      <c r="I210" s="1009"/>
      <c r="J210" s="1010"/>
      <c r="K210" s="889"/>
    </row>
    <row r="211" spans="1:11" ht="15.75" customHeight="1">
      <c r="A211" s="754"/>
      <c r="B211" s="1191" t="s">
        <v>716</v>
      </c>
      <c r="C211" s="1009"/>
      <c r="D211" s="1009"/>
      <c r="E211" s="1009"/>
      <c r="F211" s="1009"/>
      <c r="G211" s="1010"/>
      <c r="H211" s="1195">
        <f>$I$207</f>
        <v>0</v>
      </c>
      <c r="I211" s="1009"/>
      <c r="J211" s="1010"/>
      <c r="K211" s="890"/>
    </row>
    <row r="212" spans="1:11" ht="7.5" customHeight="1">
      <c r="A212" s="754"/>
      <c r="B212" s="1196"/>
      <c r="C212" s="1015"/>
      <c r="D212" s="1015"/>
      <c r="E212" s="1015"/>
      <c r="F212" s="1015"/>
      <c r="G212" s="1015"/>
      <c r="H212" s="1015"/>
      <c r="I212" s="1015"/>
      <c r="J212" s="1075"/>
      <c r="K212" s="891"/>
    </row>
    <row r="213" spans="1:11" ht="15.75" customHeight="1">
      <c r="A213" s="754"/>
      <c r="B213" s="1191" t="s">
        <v>717</v>
      </c>
      <c r="C213" s="1009"/>
      <c r="D213" s="1009"/>
      <c r="E213" s="1009"/>
      <c r="F213" s="1009"/>
      <c r="G213" s="1010"/>
      <c r="H213" s="1197">
        <f>$I$11</f>
        <v>30</v>
      </c>
      <c r="I213" s="1009"/>
      <c r="J213" s="1010"/>
      <c r="K213" s="892"/>
    </row>
    <row r="214" spans="1:11" ht="7.5" customHeight="1">
      <c r="A214" s="754"/>
      <c r="B214" s="1198"/>
      <c r="C214" s="1009"/>
      <c r="D214" s="1009"/>
      <c r="E214" s="1009"/>
      <c r="F214" s="1009"/>
      <c r="G214" s="1009"/>
      <c r="H214" s="1009"/>
      <c r="I214" s="1009"/>
      <c r="J214" s="1010"/>
      <c r="K214" s="893"/>
    </row>
    <row r="215" spans="1:11" ht="15.75" customHeight="1">
      <c r="A215" s="754"/>
      <c r="B215" s="1191" t="s">
        <v>1194</v>
      </c>
      <c r="C215" s="1009"/>
      <c r="D215" s="1009"/>
      <c r="E215" s="1009"/>
      <c r="F215" s="1009"/>
      <c r="G215" s="1010"/>
      <c r="H215" s="1192">
        <f>ROUND(H211*H213,2)</f>
        <v>0</v>
      </c>
      <c r="I215" s="1009"/>
      <c r="J215" s="1010"/>
      <c r="K215" s="894"/>
    </row>
    <row r="216" spans="1:11" ht="7.5" customHeight="1">
      <c r="A216" s="754"/>
      <c r="B216" s="1193"/>
      <c r="C216" s="1009"/>
      <c r="D216" s="1009"/>
      <c r="E216" s="1009"/>
      <c r="F216" s="1009"/>
      <c r="G216" s="1009"/>
      <c r="H216" s="1009"/>
      <c r="I216" s="1009"/>
      <c r="J216" s="1010"/>
      <c r="K216" s="760"/>
    </row>
    <row r="217" spans="1:11" ht="15.75" customHeight="1">
      <c r="A217" s="754"/>
      <c r="B217" s="754"/>
      <c r="C217" s="754"/>
      <c r="D217" s="754"/>
      <c r="E217" s="754"/>
      <c r="F217" s="754"/>
      <c r="G217" s="754"/>
      <c r="H217" s="754"/>
      <c r="I217" s="754"/>
      <c r="J217" s="754"/>
      <c r="K217" s="754"/>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47:I147"/>
    <mergeCell ref="C148:I148"/>
    <mergeCell ref="C149:I149"/>
    <mergeCell ref="B150:I150"/>
    <mergeCell ref="B151:J151"/>
    <mergeCell ref="B152:J152"/>
    <mergeCell ref="C153:I153"/>
    <mergeCell ref="C154:I154"/>
    <mergeCell ref="C155:I155"/>
    <mergeCell ref="C156:I156"/>
    <mergeCell ref="B157:I157"/>
    <mergeCell ref="B158:J158"/>
    <mergeCell ref="B159:J159"/>
    <mergeCell ref="B161:J161"/>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C104:I104"/>
    <mergeCell ref="C105:I105"/>
    <mergeCell ref="C106:I106"/>
    <mergeCell ref="B107:J107"/>
    <mergeCell ref="B108:J108"/>
    <mergeCell ref="B109:J109"/>
    <mergeCell ref="B110:J110"/>
    <mergeCell ref="C111:I111"/>
    <mergeCell ref="C112:I112"/>
    <mergeCell ref="C113:I113"/>
    <mergeCell ref="C114:I114"/>
    <mergeCell ref="B115:I115"/>
    <mergeCell ref="B116:J116"/>
    <mergeCell ref="B117:J117"/>
    <mergeCell ref="C118:I118"/>
    <mergeCell ref="C119:I119"/>
    <mergeCell ref="C120:I120"/>
    <mergeCell ref="C121:I121"/>
    <mergeCell ref="C122:I122"/>
    <mergeCell ref="C123:H123"/>
    <mergeCell ref="B124:I124"/>
    <mergeCell ref="B125:J125"/>
    <mergeCell ref="B126:J126"/>
    <mergeCell ref="B127:J12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36:H36"/>
    <mergeCell ref="I36:J36"/>
    <mergeCell ref="C37:H37"/>
    <mergeCell ref="I37:J37"/>
    <mergeCell ref="C38:H38"/>
    <mergeCell ref="I38:J38"/>
    <mergeCell ref="I39:J39"/>
    <mergeCell ref="C39:H39"/>
    <mergeCell ref="C40:H40"/>
    <mergeCell ref="I40:J40"/>
    <mergeCell ref="C57:I57"/>
    <mergeCell ref="B58:I58"/>
    <mergeCell ref="C59:I59"/>
    <mergeCell ref="C60:I60"/>
    <mergeCell ref="B61:I61"/>
    <mergeCell ref="B62:J62"/>
    <mergeCell ref="B63:I63"/>
    <mergeCell ref="B64:J64"/>
    <mergeCell ref="B65:J65"/>
    <mergeCell ref="B66:J66"/>
    <mergeCell ref="B67:J67"/>
    <mergeCell ref="C97:I97"/>
    <mergeCell ref="C98:H98"/>
    <mergeCell ref="C99:H99"/>
    <mergeCell ref="C100:H100"/>
    <mergeCell ref="C101:I101"/>
    <mergeCell ref="C102:I102"/>
    <mergeCell ref="C103:I103"/>
    <mergeCell ref="B89:J89"/>
    <mergeCell ref="B90:J90"/>
    <mergeCell ref="C91:I91"/>
    <mergeCell ref="C92:H92"/>
    <mergeCell ref="C93:H93"/>
    <mergeCell ref="C94:H94"/>
    <mergeCell ref="C95:H95"/>
    <mergeCell ref="C96:H96"/>
    <mergeCell ref="C82:H82"/>
    <mergeCell ref="C83:H83"/>
    <mergeCell ref="C84:H84"/>
    <mergeCell ref="C85:H85"/>
    <mergeCell ref="B86:H86"/>
    <mergeCell ref="B88:J88"/>
  </mergeCells>
  <conditionalFormatting sqref="I49:I50">
    <cfRule type="cellIs" dxfId="7" priority="1" operator="equal">
      <formula>0</formula>
    </cfRule>
  </conditionalFormatting>
  <conditionalFormatting sqref="I48">
    <cfRule type="cellIs" dxfId="6" priority="2" operator="equal">
      <formula>0</formula>
    </cfRule>
  </conditionalFormatting>
  <pageMargins left="0.511811024" right="0.511811024" top="0.78740157499999996" bottom="0.78740157499999996"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3.5703125" customWidth="1"/>
    <col min="8" max="8" width="14.42578125" customWidth="1"/>
    <col min="9" max="9" width="11.28515625" customWidth="1"/>
    <col min="10" max="10" width="19.42578125" customWidth="1"/>
    <col min="11" max="11" width="1.42578125" customWidth="1"/>
  </cols>
  <sheetData>
    <row r="1" spans="1:11" ht="11.25" customHeight="1">
      <c r="A1" s="754"/>
      <c r="B1" s="754"/>
      <c r="C1" s="754"/>
      <c r="D1" s="754"/>
      <c r="E1" s="754"/>
      <c r="F1" s="754"/>
      <c r="G1" s="754"/>
      <c r="H1" s="754"/>
      <c r="I1" s="754"/>
      <c r="J1" s="755"/>
      <c r="K1" s="754"/>
    </row>
    <row r="2" spans="1:11" ht="11.25" customHeight="1">
      <c r="A2" s="754"/>
      <c r="B2" s="1245" t="str">
        <f>'1-ABA-DE-CARREGAMENTO'!C11</f>
        <v xml:space="preserve"> S E R V I Ç O S     -   REFEITORIO_×_JARDINAGEM</v>
      </c>
      <c r="C2" s="1130"/>
      <c r="D2" s="1130"/>
      <c r="E2" s="1130"/>
      <c r="F2" s="1130"/>
      <c r="G2" s="1130"/>
      <c r="H2" s="1130"/>
      <c r="I2" s="1130"/>
      <c r="J2" s="1128"/>
      <c r="K2" s="756"/>
    </row>
    <row r="3" spans="1:11" ht="11.25" customHeight="1">
      <c r="A3" s="754"/>
      <c r="B3" s="1246" t="str">
        <f>'1-ABA-DE-CARREGAMENTO'!L33</f>
        <v>A NÃO TEM MAIS POSTOS-77</v>
      </c>
      <c r="C3" s="1060"/>
      <c r="D3" s="1060"/>
      <c r="E3" s="1060"/>
      <c r="F3" s="1060"/>
      <c r="G3" s="1060"/>
      <c r="H3" s="1060"/>
      <c r="I3" s="1060"/>
      <c r="J3" s="1062"/>
      <c r="K3" s="757"/>
    </row>
    <row r="4" spans="1:11" ht="11.25" customHeight="1">
      <c r="A4" s="754"/>
      <c r="B4" s="1247" t="s">
        <v>511</v>
      </c>
      <c r="C4" s="1060"/>
      <c r="D4" s="1060"/>
      <c r="E4" s="1060"/>
      <c r="F4" s="1062"/>
      <c r="G4" s="1248">
        <f>'1-ABA-DE-CARREGAMENTO'!C12</f>
        <v>0</v>
      </c>
      <c r="H4" s="1060"/>
      <c r="I4" s="1060"/>
      <c r="J4" s="1062"/>
      <c r="K4" s="758"/>
    </row>
    <row r="5" spans="1:11" ht="11.25" customHeight="1">
      <c r="A5" s="754"/>
      <c r="B5" s="1178" t="s">
        <v>512</v>
      </c>
      <c r="C5" s="1009"/>
      <c r="D5" s="1009"/>
      <c r="E5" s="1009"/>
      <c r="F5" s="1010"/>
      <c r="G5" s="1249">
        <f>'1-ABA-DE-CARREGAMENTO'!C13</f>
        <v>0</v>
      </c>
      <c r="H5" s="1009"/>
      <c r="I5" s="1009"/>
      <c r="J5" s="1010"/>
      <c r="K5" s="758"/>
    </row>
    <row r="6" spans="1:11" ht="11.25" customHeight="1">
      <c r="A6" s="754"/>
      <c r="B6" s="1250">
        <f>'1-ABA-DE-CARREGAMENTO'!C16</f>
        <v>0</v>
      </c>
      <c r="C6" s="1009"/>
      <c r="D6" s="1009"/>
      <c r="E6" s="1009"/>
      <c r="F6" s="1009"/>
      <c r="G6" s="1009"/>
      <c r="H6" s="1009"/>
      <c r="I6" s="1009"/>
      <c r="J6" s="1010"/>
      <c r="K6" s="760"/>
    </row>
    <row r="7" spans="1:11" ht="11.25" customHeight="1">
      <c r="A7" s="754"/>
      <c r="B7" s="1086" t="s">
        <v>513</v>
      </c>
      <c r="C7" s="1009"/>
      <c r="D7" s="1009"/>
      <c r="E7" s="1009"/>
      <c r="F7" s="1009"/>
      <c r="G7" s="1009"/>
      <c r="H7" s="1009"/>
      <c r="I7" s="1009"/>
      <c r="J7" s="1010"/>
      <c r="K7" s="594"/>
    </row>
    <row r="8" spans="1:11" ht="11.25" customHeight="1">
      <c r="A8" s="754"/>
      <c r="B8" s="761" t="s">
        <v>514</v>
      </c>
      <c r="C8" s="1178" t="s">
        <v>515</v>
      </c>
      <c r="D8" s="1009"/>
      <c r="E8" s="1009"/>
      <c r="F8" s="1009"/>
      <c r="G8" s="1009"/>
      <c r="H8" s="1010"/>
      <c r="I8" s="1251">
        <f>'1-ABA-DE-CARREGAMENTO'!C16</f>
        <v>0</v>
      </c>
      <c r="J8" s="1010"/>
      <c r="K8" s="762"/>
    </row>
    <row r="9" spans="1:11" ht="11.25" customHeight="1">
      <c r="A9" s="754"/>
      <c r="B9" s="761" t="s">
        <v>516</v>
      </c>
      <c r="C9" s="1178" t="s">
        <v>517</v>
      </c>
      <c r="D9" s="1009"/>
      <c r="E9" s="1009"/>
      <c r="F9" s="1009"/>
      <c r="G9" s="1009"/>
      <c r="H9" s="1010"/>
      <c r="I9" s="1249" t="str">
        <f>'1-ABA-DE-CARREGAMENTO'!C14</f>
        <v xml:space="preserve">JULIO-DE-CASTILHOS </v>
      </c>
      <c r="J9" s="1010"/>
      <c r="K9" s="758"/>
    </row>
    <row r="10" spans="1:11" ht="11.25" customHeight="1">
      <c r="A10" s="754"/>
      <c r="B10" s="761" t="s">
        <v>518</v>
      </c>
      <c r="C10" s="1178" t="s">
        <v>519</v>
      </c>
      <c r="D10" s="1009"/>
      <c r="E10" s="1009"/>
      <c r="F10" s="1009"/>
      <c r="G10" s="1009"/>
      <c r="H10" s="1010"/>
      <c r="I10" s="1249" t="str">
        <f>VLOOKUP('1-ABA-DE-CARREGAMENTO'!L35,'DADOS-CADASTRAIS'!C6:O102,1,0)</f>
        <v>RS000947/2019-</v>
      </c>
      <c r="J10" s="1010"/>
      <c r="K10" s="758"/>
    </row>
    <row r="11" spans="1:11" ht="11.25" customHeight="1">
      <c r="A11" s="754"/>
      <c r="B11" s="761" t="s">
        <v>520</v>
      </c>
      <c r="C11" s="1178" t="s">
        <v>521</v>
      </c>
      <c r="D11" s="1009"/>
      <c r="E11" s="1009"/>
      <c r="F11" s="1009"/>
      <c r="G11" s="1009"/>
      <c r="H11" s="1010"/>
      <c r="I11" s="1240">
        <f>'1-ABA-DE-CARREGAMENTO'!L94</f>
        <v>30</v>
      </c>
      <c r="J11" s="1010"/>
      <c r="K11" s="758"/>
    </row>
    <row r="12" spans="1:11" ht="11.25" customHeight="1">
      <c r="A12" s="754"/>
      <c r="B12" s="1140" t="s">
        <v>522</v>
      </c>
      <c r="C12" s="1009"/>
      <c r="D12" s="1009"/>
      <c r="E12" s="1009"/>
      <c r="F12" s="1009"/>
      <c r="G12" s="1009"/>
      <c r="H12" s="1009"/>
      <c r="I12" s="1009"/>
      <c r="J12" s="1010"/>
      <c r="K12" s="592"/>
    </row>
    <row r="13" spans="1:11" ht="24" customHeight="1">
      <c r="A13" s="754"/>
      <c r="B13" s="1185" t="str">
        <f>'1-ABA-DE-CARREGAMENTO'!C11</f>
        <v xml:space="preserve"> S E R V I Ç O S     -   REFEITORIO_×_JARDINAGEM</v>
      </c>
      <c r="C13" s="1009"/>
      <c r="D13" s="1009"/>
      <c r="E13" s="1009"/>
      <c r="F13" s="1030"/>
      <c r="G13" s="1185" t="s">
        <v>523</v>
      </c>
      <c r="H13" s="1010"/>
      <c r="I13" s="1185" t="s">
        <v>524</v>
      </c>
      <c r="J13" s="1010"/>
      <c r="K13" s="763"/>
    </row>
    <row r="14" spans="1:11" ht="11.25" hidden="1" customHeight="1" outlineLevel="1">
      <c r="A14" s="754"/>
      <c r="B14" s="1241" t="s">
        <v>525</v>
      </c>
      <c r="C14" s="1009"/>
      <c r="D14" s="1009"/>
      <c r="E14" s="1009"/>
      <c r="F14" s="1010"/>
      <c r="G14" s="1242" t="s">
        <v>526</v>
      </c>
      <c r="H14" s="1010"/>
      <c r="I14" s="1243" t="s">
        <v>527</v>
      </c>
      <c r="J14" s="1010"/>
      <c r="K14" s="764"/>
    </row>
    <row r="15" spans="1:11" ht="11.25" hidden="1" customHeight="1" outlineLevel="1">
      <c r="A15" s="754"/>
      <c r="B15" s="1241" t="s">
        <v>528</v>
      </c>
      <c r="C15" s="1009"/>
      <c r="D15" s="1009"/>
      <c r="E15" s="1009"/>
      <c r="F15" s="1010"/>
      <c r="G15" s="1242" t="s">
        <v>526</v>
      </c>
      <c r="H15" s="1010"/>
      <c r="I15" s="1243" t="s">
        <v>527</v>
      </c>
      <c r="J15" s="1010"/>
      <c r="K15" s="764"/>
    </row>
    <row r="16" spans="1:11" ht="15" hidden="1" customHeight="1" outlineLevel="1">
      <c r="A16" s="754"/>
      <c r="B16" s="1241" t="s">
        <v>529</v>
      </c>
      <c r="C16" s="1009"/>
      <c r="D16" s="1009"/>
      <c r="E16" s="1009"/>
      <c r="F16" s="1010"/>
      <c r="G16" s="1242" t="s">
        <v>526</v>
      </c>
      <c r="H16" s="1010"/>
      <c r="I16" s="1243" t="s">
        <v>527</v>
      </c>
      <c r="J16" s="1010"/>
      <c r="K16" s="764"/>
    </row>
    <row r="17" spans="1:11" ht="11.25" customHeight="1" collapsed="1">
      <c r="A17" s="754"/>
      <c r="B17" s="1241" t="str">
        <f>B3</f>
        <v>A NÃO TEM MAIS POSTOS-77</v>
      </c>
      <c r="C17" s="1009"/>
      <c r="D17" s="1009"/>
      <c r="E17" s="1009"/>
      <c r="F17" s="1010"/>
      <c r="G17" s="1242" t="s">
        <v>526</v>
      </c>
      <c r="H17" s="1010"/>
      <c r="I17" s="1243">
        <f>'1-ABA-DE-CARREGAMENTO'!L92</f>
        <v>0</v>
      </c>
      <c r="J17" s="1010"/>
      <c r="K17" s="764"/>
    </row>
    <row r="18" spans="1:11" ht="16.5" hidden="1" customHeight="1" outlineLevel="1">
      <c r="A18" s="754"/>
      <c r="B18" s="1241" t="s">
        <v>530</v>
      </c>
      <c r="C18" s="1009"/>
      <c r="D18" s="1009"/>
      <c r="E18" s="1009"/>
      <c r="F18" s="1010"/>
      <c r="G18" s="1242" t="s">
        <v>526</v>
      </c>
      <c r="H18" s="1010"/>
      <c r="I18" s="1243" t="s">
        <v>527</v>
      </c>
      <c r="J18" s="1010"/>
      <c r="K18" s="764"/>
    </row>
    <row r="19" spans="1:11" ht="11.25" hidden="1" customHeight="1" outlineLevel="1">
      <c r="A19" s="754"/>
      <c r="B19" s="1241" t="s">
        <v>1195</v>
      </c>
      <c r="C19" s="1009"/>
      <c r="D19" s="1009"/>
      <c r="E19" s="1009"/>
      <c r="F19" s="1010"/>
      <c r="G19" s="1242" t="s">
        <v>526</v>
      </c>
      <c r="H19" s="1010"/>
      <c r="I19" s="1243" t="s">
        <v>527</v>
      </c>
      <c r="J19" s="1010"/>
      <c r="K19" s="764"/>
    </row>
    <row r="20" spans="1:11" ht="11.25" customHeight="1" collapsed="1">
      <c r="A20" s="754"/>
      <c r="B20" s="1254" t="s">
        <v>532</v>
      </c>
      <c r="C20" s="1009"/>
      <c r="D20" s="1009"/>
      <c r="E20" s="1009"/>
      <c r="F20" s="1009"/>
      <c r="G20" s="1009"/>
      <c r="H20" s="1010"/>
      <c r="I20" s="1253">
        <f>SUM(I14:I19)</f>
        <v>0</v>
      </c>
      <c r="J20" s="1010"/>
      <c r="K20" s="765"/>
    </row>
    <row r="21" spans="1:11" ht="11.25" customHeight="1">
      <c r="A21" s="754"/>
      <c r="B21" s="1220"/>
      <c r="C21" s="1009"/>
      <c r="D21" s="1009"/>
      <c r="E21" s="1009"/>
      <c r="F21" s="1009"/>
      <c r="G21" s="1009"/>
      <c r="H21" s="1009"/>
      <c r="I21" s="1009"/>
      <c r="J21" s="1010"/>
      <c r="K21" s="763"/>
    </row>
    <row r="22" spans="1:11" ht="11.25" customHeight="1">
      <c r="A22" s="754"/>
      <c r="B22" s="1211" t="s">
        <v>533</v>
      </c>
      <c r="C22" s="1009"/>
      <c r="D22" s="1009"/>
      <c r="E22" s="1009"/>
      <c r="F22" s="1009"/>
      <c r="G22" s="1009"/>
      <c r="H22" s="1009"/>
      <c r="I22" s="1009"/>
      <c r="J22" s="1010"/>
      <c r="K22" s="766"/>
    </row>
    <row r="23" spans="1:11" ht="11.25" customHeight="1">
      <c r="A23" s="754"/>
      <c r="B23" s="1225"/>
      <c r="C23" s="1009"/>
      <c r="D23" s="1009"/>
      <c r="E23" s="1009"/>
      <c r="F23" s="1009"/>
      <c r="G23" s="1009"/>
      <c r="H23" s="1009"/>
      <c r="I23" s="1009"/>
      <c r="J23" s="1010"/>
      <c r="K23" s="376"/>
    </row>
    <row r="24" spans="1:11" ht="15" customHeight="1">
      <c r="A24" s="754"/>
      <c r="B24" s="1255" t="s">
        <v>1196</v>
      </c>
      <c r="C24" s="1009"/>
      <c r="D24" s="1009"/>
      <c r="E24" s="1009"/>
      <c r="F24" s="1009"/>
      <c r="G24" s="1009"/>
      <c r="H24" s="1009"/>
      <c r="I24" s="1009"/>
      <c r="J24" s="1010"/>
      <c r="K24" s="767"/>
    </row>
    <row r="25" spans="1:11" ht="15" customHeight="1">
      <c r="A25" s="754"/>
      <c r="B25" s="1123"/>
      <c r="C25" s="1009"/>
      <c r="D25" s="1009"/>
      <c r="E25" s="1009"/>
      <c r="F25" s="1009"/>
      <c r="G25" s="1009"/>
      <c r="H25" s="1009"/>
      <c r="I25" s="1009"/>
      <c r="J25" s="1010"/>
      <c r="K25" s="602"/>
    </row>
    <row r="26" spans="1:11" ht="11.25" customHeight="1">
      <c r="A26" s="763"/>
      <c r="B26" s="1086" t="s">
        <v>535</v>
      </c>
      <c r="C26" s="1009"/>
      <c r="D26" s="1009"/>
      <c r="E26" s="1009"/>
      <c r="F26" s="1009"/>
      <c r="G26" s="1009"/>
      <c r="H26" s="1009"/>
      <c r="I26" s="1009"/>
      <c r="J26" s="1010"/>
      <c r="K26" s="594"/>
    </row>
    <row r="27" spans="1:11" ht="30.75" customHeight="1">
      <c r="A27" s="754"/>
      <c r="B27" s="761">
        <v>1</v>
      </c>
      <c r="C27" s="1178" t="s">
        <v>536</v>
      </c>
      <c r="D27" s="1009"/>
      <c r="E27" s="1009"/>
      <c r="F27" s="1009"/>
      <c r="G27" s="1009"/>
      <c r="H27" s="1010"/>
      <c r="I27" s="1256" t="str">
        <f>'1-ABA-DE-CARREGAMENTO'!L33</f>
        <v>A NÃO TEM MAIS POSTOS-77</v>
      </c>
      <c r="J27" s="1010"/>
      <c r="K27" s="768"/>
    </row>
    <row r="28" spans="1:11" ht="11.25" customHeight="1">
      <c r="A28" s="754"/>
      <c r="B28" s="769">
        <v>2</v>
      </c>
      <c r="C28" s="1215" t="s">
        <v>537</v>
      </c>
      <c r="D28" s="1009"/>
      <c r="E28" s="1009"/>
      <c r="F28" s="1009"/>
      <c r="G28" s="1009"/>
      <c r="H28" s="1010"/>
      <c r="I28" s="1257"/>
      <c r="J28" s="1010"/>
      <c r="K28" s="770"/>
    </row>
    <row r="29" spans="1:11" ht="30" customHeight="1">
      <c r="A29" s="754"/>
      <c r="B29" s="761">
        <v>3</v>
      </c>
      <c r="C29" s="1258" t="s">
        <v>538</v>
      </c>
      <c r="D29" s="948"/>
      <c r="E29" s="748">
        <v>200</v>
      </c>
      <c r="F29" s="606">
        <f>'1-ABA-DE-CARREGAMENTO'!L37</f>
        <v>1741.45</v>
      </c>
      <c r="G29" s="759" t="s">
        <v>539</v>
      </c>
      <c r="H29" s="895">
        <f>'1-ABA-DE-CARREGAMENTO'!L52</f>
        <v>220</v>
      </c>
      <c r="I29" s="1259">
        <f>F29/E29*H29</f>
        <v>1915.595</v>
      </c>
      <c r="J29" s="1010"/>
      <c r="K29" s="773"/>
    </row>
    <row r="30" spans="1:11" ht="11.25" customHeight="1">
      <c r="A30" s="754"/>
      <c r="B30" s="761">
        <v>4</v>
      </c>
      <c r="C30" s="1178" t="s">
        <v>540</v>
      </c>
      <c r="D30" s="1009"/>
      <c r="E30" s="1009"/>
      <c r="F30" s="1009"/>
      <c r="G30" s="1009"/>
      <c r="H30" s="1010"/>
      <c r="I30" s="1260"/>
      <c r="J30" s="1010"/>
      <c r="K30" s="774"/>
    </row>
    <row r="31" spans="1:11" ht="11.25" customHeight="1">
      <c r="A31" s="754"/>
      <c r="B31" s="761">
        <v>5</v>
      </c>
      <c r="C31" s="1178" t="s">
        <v>541</v>
      </c>
      <c r="D31" s="1009"/>
      <c r="E31" s="1009"/>
      <c r="F31" s="1009"/>
      <c r="G31" s="1009"/>
      <c r="H31" s="1010"/>
      <c r="I31" s="1244" t="str">
        <f>'1-ABA-DE-CARREGAMENTO'!L36</f>
        <v>01 de FEVEREIRO</v>
      </c>
      <c r="J31" s="1010"/>
      <c r="K31" s="775"/>
    </row>
    <row r="32" spans="1:11" ht="12.75" customHeight="1">
      <c r="A32" s="754"/>
      <c r="B32" s="776">
        <v>6</v>
      </c>
      <c r="C32" s="1229" t="s">
        <v>1197</v>
      </c>
      <c r="D32" s="1009"/>
      <c r="E32" s="1009"/>
      <c r="F32" s="1009"/>
      <c r="G32" s="1009"/>
      <c r="H32" s="1010"/>
      <c r="I32" s="1231">
        <f>ROUND(I29/220,2)*0</f>
        <v>0</v>
      </c>
      <c r="J32" s="1010"/>
      <c r="K32" s="777"/>
    </row>
    <row r="33" spans="1:11" ht="24.75" customHeight="1">
      <c r="A33" s="754"/>
      <c r="B33" s="776">
        <v>7</v>
      </c>
      <c r="C33" s="1229" t="s">
        <v>1198</v>
      </c>
      <c r="D33" s="1009"/>
      <c r="E33" s="1009"/>
      <c r="F33" s="1010"/>
      <c r="G33" s="1239"/>
      <c r="H33" s="1010"/>
      <c r="I33" s="1231">
        <f>SUM(J47:J50)/220</f>
        <v>9.9072500000000012</v>
      </c>
      <c r="J33" s="1010"/>
      <c r="K33" s="777"/>
    </row>
    <row r="34" spans="1:11" ht="24.75" customHeight="1">
      <c r="A34" s="754"/>
      <c r="B34" s="776">
        <v>8</v>
      </c>
      <c r="C34" s="1229" t="s">
        <v>1199</v>
      </c>
      <c r="D34" s="1009"/>
      <c r="E34" s="1009"/>
      <c r="F34" s="1010"/>
      <c r="G34" s="1239"/>
      <c r="H34" s="1010"/>
      <c r="I34" s="1231">
        <f>TRUNC(I33*1.5,2)*0</f>
        <v>0</v>
      </c>
      <c r="J34" s="1010"/>
      <c r="K34" s="777"/>
    </row>
    <row r="35" spans="1:11" ht="24.75" customHeight="1">
      <c r="A35" s="754"/>
      <c r="B35" s="776">
        <v>9</v>
      </c>
      <c r="C35" s="1229" t="s">
        <v>1200</v>
      </c>
      <c r="D35" s="1009"/>
      <c r="E35" s="1009"/>
      <c r="F35" s="1010"/>
      <c r="G35" s="1239" t="s">
        <v>546</v>
      </c>
      <c r="H35" s="1010"/>
      <c r="I35" s="1275">
        <f>I33*1.5</f>
        <v>14.860875000000002</v>
      </c>
      <c r="J35" s="1010"/>
      <c r="K35" s="778"/>
    </row>
    <row r="36" spans="1:11" ht="24.75" customHeight="1">
      <c r="A36" s="754"/>
      <c r="B36" s="776">
        <v>10</v>
      </c>
      <c r="C36" s="1229" t="s">
        <v>1201</v>
      </c>
      <c r="D36" s="1009"/>
      <c r="E36" s="1009"/>
      <c r="F36" s="1009"/>
      <c r="G36" s="1009"/>
      <c r="H36" s="1010"/>
      <c r="I36" s="1231">
        <f>TRUNC(1.3*I32*0.2,2)</f>
        <v>0</v>
      </c>
      <c r="J36" s="1010"/>
      <c r="K36" s="777"/>
    </row>
    <row r="37" spans="1:11" ht="24.75" customHeight="1">
      <c r="A37" s="754"/>
      <c r="B37" s="776">
        <v>11</v>
      </c>
      <c r="C37" s="1229" t="s">
        <v>1202</v>
      </c>
      <c r="D37" s="1009"/>
      <c r="E37" s="1009"/>
      <c r="F37" s="1009"/>
      <c r="G37" s="1009"/>
      <c r="H37" s="1010"/>
      <c r="I37" s="1231">
        <f>I33*2</f>
        <v>19.814500000000002</v>
      </c>
      <c r="J37" s="1010"/>
      <c r="K37" s="777"/>
    </row>
    <row r="38" spans="1:11" ht="14.25" customHeight="1">
      <c r="A38" s="754"/>
      <c r="B38" s="776">
        <v>12</v>
      </c>
      <c r="C38" s="1229" t="s">
        <v>1203</v>
      </c>
      <c r="D38" s="1009"/>
      <c r="E38" s="1009"/>
      <c r="F38" s="1009"/>
      <c r="G38" s="1009"/>
      <c r="H38" s="1010"/>
      <c r="I38" s="1231">
        <f>I29*'1-ABA-DE-CARREGAMENTO'!D44</f>
        <v>0</v>
      </c>
      <c r="J38" s="1010"/>
      <c r="K38" s="777"/>
    </row>
    <row r="39" spans="1:11" ht="14.25" customHeight="1">
      <c r="A39" s="754"/>
      <c r="B39" s="776">
        <v>13</v>
      </c>
      <c r="C39" s="1229" t="s">
        <v>550</v>
      </c>
      <c r="D39" s="1009"/>
      <c r="E39" s="1009"/>
      <c r="F39" s="1009"/>
      <c r="G39" s="1009"/>
      <c r="H39" s="1010"/>
      <c r="I39" s="1231">
        <f>ROUND(I32/6,2)*1.3</f>
        <v>0</v>
      </c>
      <c r="J39" s="1010"/>
      <c r="K39" s="777"/>
    </row>
    <row r="40" spans="1:11" ht="11.25" customHeight="1">
      <c r="A40" s="754"/>
      <c r="B40" s="776">
        <v>14</v>
      </c>
      <c r="C40" s="1269" t="s">
        <v>551</v>
      </c>
      <c r="D40" s="1009"/>
      <c r="E40" s="1009"/>
      <c r="F40" s="1009"/>
      <c r="G40" s="1009"/>
      <c r="H40" s="1010"/>
      <c r="I40" s="1274">
        <f>'1-ABA-DE-CARREGAMENTO'!L93</f>
        <v>1</v>
      </c>
      <c r="J40" s="1010"/>
      <c r="K40" s="780"/>
    </row>
    <row r="41" spans="1:11" ht="11.25" customHeight="1">
      <c r="A41" s="754"/>
      <c r="B41" s="776">
        <v>15</v>
      </c>
      <c r="C41" s="1269" t="s">
        <v>907</v>
      </c>
      <c r="D41" s="1009"/>
      <c r="E41" s="1009"/>
      <c r="F41" s="1009"/>
      <c r="G41" s="1009"/>
      <c r="H41" s="1010"/>
      <c r="I41" s="1270">
        <f>'1-ABA-DE-CARREGAMENTO'!E42</f>
        <v>1320</v>
      </c>
      <c r="J41" s="1010"/>
      <c r="K41" s="781"/>
    </row>
    <row r="42" spans="1:11" ht="11.25" customHeight="1">
      <c r="A42" s="754"/>
      <c r="B42" s="1225"/>
      <c r="C42" s="1009"/>
      <c r="D42" s="1009"/>
      <c r="E42" s="1009"/>
      <c r="F42" s="1009"/>
      <c r="G42" s="1009"/>
      <c r="H42" s="1009"/>
      <c r="I42" s="1009"/>
      <c r="J42" s="1010"/>
      <c r="K42" s="376"/>
    </row>
    <row r="43" spans="1:11" ht="24" customHeight="1">
      <c r="A43" s="754"/>
      <c r="B43" s="1214" t="s">
        <v>553</v>
      </c>
      <c r="C43" s="1009"/>
      <c r="D43" s="1009"/>
      <c r="E43" s="1009"/>
      <c r="F43" s="1009"/>
      <c r="G43" s="1009"/>
      <c r="H43" s="1009"/>
      <c r="I43" s="1009"/>
      <c r="J43" s="1010"/>
      <c r="K43" s="782"/>
    </row>
    <row r="44" spans="1:11" ht="14.25" customHeight="1">
      <c r="A44" s="754"/>
      <c r="B44" s="1226"/>
      <c r="C44" s="1009"/>
      <c r="D44" s="1009"/>
      <c r="E44" s="1009"/>
      <c r="F44" s="1009"/>
      <c r="G44" s="1009"/>
      <c r="H44" s="1009"/>
      <c r="I44" s="1009"/>
      <c r="J44" s="1010"/>
      <c r="K44" s="783"/>
    </row>
    <row r="45" spans="1:11" ht="11.25" customHeight="1">
      <c r="A45" s="754"/>
      <c r="B45" s="1227" t="s">
        <v>554</v>
      </c>
      <c r="C45" s="1009"/>
      <c r="D45" s="1009"/>
      <c r="E45" s="1009"/>
      <c r="F45" s="1009"/>
      <c r="G45" s="1009"/>
      <c r="H45" s="1009"/>
      <c r="I45" s="1009"/>
      <c r="J45" s="1010"/>
      <c r="K45" s="784"/>
    </row>
    <row r="46" spans="1:11" ht="11.25" customHeight="1">
      <c r="A46" s="785"/>
      <c r="B46" s="622">
        <v>1</v>
      </c>
      <c r="C46" s="1083" t="s">
        <v>555</v>
      </c>
      <c r="D46" s="1009"/>
      <c r="E46" s="1009"/>
      <c r="F46" s="1009"/>
      <c r="G46" s="1009"/>
      <c r="H46" s="1010"/>
      <c r="I46" s="786" t="s">
        <v>556</v>
      </c>
      <c r="J46" s="622" t="s">
        <v>557</v>
      </c>
      <c r="K46" s="592"/>
    </row>
    <row r="47" spans="1:11" ht="12.75" customHeight="1">
      <c r="A47" s="754"/>
      <c r="B47" s="761" t="s">
        <v>514</v>
      </c>
      <c r="C47" s="1178" t="s">
        <v>558</v>
      </c>
      <c r="D47" s="1009"/>
      <c r="E47" s="1009"/>
      <c r="F47" s="1010"/>
      <c r="G47" s="787" t="s">
        <v>185</v>
      </c>
      <c r="H47" s="788">
        <f>'1-ABA-DE-CARREGAMENTO'!L52</f>
        <v>220</v>
      </c>
      <c r="I47" s="787"/>
      <c r="J47" s="789">
        <f>I29*I40</f>
        <v>1915.595</v>
      </c>
      <c r="K47" s="790"/>
    </row>
    <row r="48" spans="1:11" ht="11.25" customHeight="1">
      <c r="A48" s="754"/>
      <c r="B48" s="761" t="s">
        <v>516</v>
      </c>
      <c r="C48" s="1178" t="s">
        <v>790</v>
      </c>
      <c r="D48" s="1009"/>
      <c r="E48" s="1009"/>
      <c r="F48" s="1228" t="str">
        <f>'1-ABA-DE-CARREGAMENTO'!L38</f>
        <v>SEM ADICIONAL DE FUNÇÃO</v>
      </c>
      <c r="G48" s="1009"/>
      <c r="H48" s="1010"/>
      <c r="I48" s="791">
        <f>'1-ABA-DE-CARREGAMENTO'!L39</f>
        <v>0</v>
      </c>
      <c r="J48" s="789">
        <f>J47*I48</f>
        <v>0</v>
      </c>
      <c r="K48" s="790"/>
    </row>
    <row r="49" spans="1:11" ht="11.25" customHeight="1">
      <c r="A49" s="754"/>
      <c r="B49" s="761" t="s">
        <v>518</v>
      </c>
      <c r="C49" s="1178" t="s">
        <v>1204</v>
      </c>
      <c r="D49" s="1009"/>
      <c r="E49" s="1009"/>
      <c r="F49" s="1009"/>
      <c r="G49" s="1009"/>
      <c r="H49" s="1010"/>
      <c r="I49" s="792">
        <f>'1-ABA-DE-CARREGAMENTO'!L44</f>
        <v>0</v>
      </c>
      <c r="J49" s="789">
        <f>ROUND(J47*I49,2)</f>
        <v>0</v>
      </c>
      <c r="K49" s="790"/>
    </row>
    <row r="50" spans="1:11" ht="11.25" customHeight="1">
      <c r="A50" s="754"/>
      <c r="B50" s="761" t="s">
        <v>520</v>
      </c>
      <c r="C50" s="1178" t="s">
        <v>1205</v>
      </c>
      <c r="D50" s="1009"/>
      <c r="E50" s="1009"/>
      <c r="F50" s="1009"/>
      <c r="G50" s="1228" t="str">
        <f>'1-ABA-DE-CARREGAMENTO'!L40</f>
        <v>INSALUB S/MINIMO</v>
      </c>
      <c r="H50" s="1010"/>
      <c r="I50" s="896">
        <f>'1-ABA-DE-CARREGAMENTO'!L41</f>
        <v>0.2</v>
      </c>
      <c r="J50" s="789">
        <f>ROUND(I50*I41,2)</f>
        <v>264</v>
      </c>
      <c r="K50" s="790"/>
    </row>
    <row r="51" spans="1:11" ht="30.75" customHeight="1">
      <c r="A51" s="754"/>
      <c r="B51" s="761" t="s">
        <v>562</v>
      </c>
      <c r="C51" s="1178" t="s">
        <v>1206</v>
      </c>
      <c r="D51" s="1009"/>
      <c r="E51" s="1009"/>
      <c r="F51" s="1009"/>
      <c r="G51" s="1009"/>
      <c r="H51" s="1009"/>
      <c r="I51" s="1010"/>
      <c r="J51" s="789">
        <f>ROUND(2*8*15*I36,2)*0</f>
        <v>0</v>
      </c>
      <c r="K51" s="790"/>
    </row>
    <row r="52" spans="1:11" ht="39" customHeight="1">
      <c r="A52" s="754"/>
      <c r="B52" s="761" t="s">
        <v>566</v>
      </c>
      <c r="C52" s="1215" t="s">
        <v>1207</v>
      </c>
      <c r="D52" s="1009"/>
      <c r="E52" s="1009"/>
      <c r="F52" s="1009"/>
      <c r="G52" s="1009"/>
      <c r="H52" s="1009"/>
      <c r="I52" s="1010"/>
      <c r="J52" s="789">
        <f>ROUND(I38*(((12*15)+15)-((44/6)*26))*I35,2)*0+ROUND(2*4.33*I35,2)*0</f>
        <v>0</v>
      </c>
      <c r="K52" s="790"/>
    </row>
    <row r="53" spans="1:11" ht="37.5" customHeight="1">
      <c r="A53" s="754"/>
      <c r="B53" s="761" t="s">
        <v>568</v>
      </c>
      <c r="C53" s="1215" t="s">
        <v>1208</v>
      </c>
      <c r="D53" s="1009"/>
      <c r="E53" s="1009"/>
      <c r="F53" s="1009"/>
      <c r="G53" s="1009"/>
      <c r="H53" s="1009"/>
      <c r="I53" s="1010"/>
      <c r="J53" s="789">
        <f>ROUND(I39*I40*15,2)*0</f>
        <v>0</v>
      </c>
      <c r="K53" s="790"/>
    </row>
    <row r="54" spans="1:11" ht="24" customHeight="1">
      <c r="A54" s="754"/>
      <c r="B54" s="761" t="s">
        <v>570</v>
      </c>
      <c r="C54" s="1215" t="s">
        <v>1091</v>
      </c>
      <c r="D54" s="1009"/>
      <c r="E54" s="1009"/>
      <c r="F54" s="1276" t="s">
        <v>1209</v>
      </c>
      <c r="G54" s="1009"/>
      <c r="H54" s="1009"/>
      <c r="I54" s="934">
        <f>'1-ABA-DE-CARREGAMENTO'!L65</f>
        <v>0</v>
      </c>
      <c r="J54" s="789">
        <f>ROUND((((SUM(J47:J50))/220)*1.5)*I54,2)</f>
        <v>0</v>
      </c>
      <c r="K54" s="790"/>
    </row>
    <row r="55" spans="1:11" ht="24" customHeight="1">
      <c r="A55" s="754"/>
      <c r="B55" s="761" t="s">
        <v>574</v>
      </c>
      <c r="C55" s="1215" t="s">
        <v>1093</v>
      </c>
      <c r="D55" s="1009"/>
      <c r="E55" s="1009"/>
      <c r="F55" s="1276" t="s">
        <v>1210</v>
      </c>
      <c r="G55" s="1009"/>
      <c r="H55" s="1009"/>
      <c r="I55" s="934">
        <f>'1-ABA-DE-CARREGAMENTO'!L68</f>
        <v>0</v>
      </c>
      <c r="J55" s="789">
        <f>ROUND((((SUM(J47:J50))/220)*2)*I55,2)</f>
        <v>0</v>
      </c>
      <c r="K55" s="790"/>
    </row>
    <row r="56" spans="1:11" ht="11.25" customHeight="1">
      <c r="A56" s="754"/>
      <c r="B56" s="761" t="s">
        <v>578</v>
      </c>
      <c r="C56" s="1178" t="s">
        <v>1211</v>
      </c>
      <c r="D56" s="1009"/>
      <c r="E56" s="1009"/>
      <c r="F56" s="1009"/>
      <c r="G56" s="1009"/>
      <c r="H56" s="1009"/>
      <c r="I56" s="1010"/>
      <c r="J56" s="789">
        <f>ROUND(((J54+J55)/25)*5,2)</f>
        <v>0</v>
      </c>
      <c r="K56" s="790"/>
    </row>
    <row r="57" spans="1:11" ht="11.25" customHeight="1">
      <c r="A57" s="754"/>
      <c r="B57" s="761" t="s">
        <v>580</v>
      </c>
      <c r="C57" s="1178" t="s">
        <v>581</v>
      </c>
      <c r="D57" s="1009"/>
      <c r="E57" s="1009"/>
      <c r="F57" s="1009"/>
      <c r="G57" s="1009"/>
      <c r="H57" s="1009"/>
      <c r="I57" s="1010"/>
      <c r="J57" s="798" t="s">
        <v>527</v>
      </c>
      <c r="K57" s="799"/>
    </row>
    <row r="58" spans="1:11" ht="11.25" customHeight="1">
      <c r="A58" s="754"/>
      <c r="B58" s="1086" t="s">
        <v>582</v>
      </c>
      <c r="C58" s="1009"/>
      <c r="D58" s="1009"/>
      <c r="E58" s="1009"/>
      <c r="F58" s="1009"/>
      <c r="G58" s="1009"/>
      <c r="H58" s="1009"/>
      <c r="I58" s="1010"/>
      <c r="J58" s="640">
        <f>SUM(J47:J57)</f>
        <v>2179.5950000000003</v>
      </c>
      <c r="K58" s="626"/>
    </row>
    <row r="59" spans="1:11" ht="14.25" customHeight="1">
      <c r="A59" s="754"/>
      <c r="B59" s="800"/>
      <c r="C59" s="1219"/>
      <c r="D59" s="1009"/>
      <c r="E59" s="1009"/>
      <c r="F59" s="1009"/>
      <c r="G59" s="1009"/>
      <c r="H59" s="1009"/>
      <c r="I59" s="1010"/>
      <c r="J59" s="642"/>
      <c r="K59" s="626"/>
    </row>
    <row r="60" spans="1:11" ht="11.25" customHeight="1">
      <c r="A60" s="754"/>
      <c r="B60" s="761" t="s">
        <v>570</v>
      </c>
      <c r="C60" s="1178" t="s">
        <v>1212</v>
      </c>
      <c r="D60" s="1009"/>
      <c r="E60" s="1009"/>
      <c r="F60" s="1009"/>
      <c r="G60" s="1009"/>
      <c r="H60" s="1009"/>
      <c r="I60" s="1010"/>
      <c r="J60" s="789">
        <f>ROUND(I34*15*I40*0.5,2)*0</f>
        <v>0</v>
      </c>
      <c r="K60" s="790"/>
    </row>
    <row r="61" spans="1:11" ht="11.25" customHeight="1">
      <c r="A61" s="754"/>
      <c r="B61" s="1086" t="s">
        <v>1213</v>
      </c>
      <c r="C61" s="1009"/>
      <c r="D61" s="1009"/>
      <c r="E61" s="1009"/>
      <c r="F61" s="1009"/>
      <c r="G61" s="1009"/>
      <c r="H61" s="1009"/>
      <c r="I61" s="1010"/>
      <c r="J61" s="640">
        <f>J60</f>
        <v>0</v>
      </c>
      <c r="K61" s="626"/>
    </row>
    <row r="62" spans="1:11" ht="11.25" customHeight="1">
      <c r="A62" s="754"/>
      <c r="B62" s="1220"/>
      <c r="C62" s="1009"/>
      <c r="D62" s="1009"/>
      <c r="E62" s="1009"/>
      <c r="F62" s="1009"/>
      <c r="G62" s="1009"/>
      <c r="H62" s="1009"/>
      <c r="I62" s="1009"/>
      <c r="J62" s="1010"/>
      <c r="K62" s="763"/>
    </row>
    <row r="63" spans="1:11" ht="11.25" customHeight="1">
      <c r="A63" s="754"/>
      <c r="B63" s="1221" t="s">
        <v>1214</v>
      </c>
      <c r="C63" s="1009"/>
      <c r="D63" s="1009"/>
      <c r="E63" s="1009"/>
      <c r="F63" s="1009"/>
      <c r="G63" s="1009"/>
      <c r="H63" s="1009"/>
      <c r="I63" s="1010"/>
      <c r="J63" s="801">
        <f>J58+J61</f>
        <v>2179.5950000000003</v>
      </c>
      <c r="K63" s="802"/>
    </row>
    <row r="64" spans="1:11" ht="11.25" customHeight="1">
      <c r="A64" s="754"/>
      <c r="B64" s="1219"/>
      <c r="C64" s="1009"/>
      <c r="D64" s="1009"/>
      <c r="E64" s="1009"/>
      <c r="F64" s="1009"/>
      <c r="G64" s="1009"/>
      <c r="H64" s="1009"/>
      <c r="I64" s="1009"/>
      <c r="J64" s="1010"/>
      <c r="K64" s="803"/>
    </row>
    <row r="65" spans="1:11" ht="11.25" customHeight="1">
      <c r="A65" s="754"/>
      <c r="B65" s="1222" t="s">
        <v>586</v>
      </c>
      <c r="C65" s="1009"/>
      <c r="D65" s="1009"/>
      <c r="E65" s="1009"/>
      <c r="F65" s="1009"/>
      <c r="G65" s="1009"/>
      <c r="H65" s="1009"/>
      <c r="I65" s="1009"/>
      <c r="J65" s="1010"/>
      <c r="K65" s="804"/>
    </row>
    <row r="66" spans="1:11" ht="11.25" customHeight="1">
      <c r="A66" s="754"/>
      <c r="B66" s="1219"/>
      <c r="C66" s="1009"/>
      <c r="D66" s="1009"/>
      <c r="E66" s="1009"/>
      <c r="F66" s="1009"/>
      <c r="G66" s="1009"/>
      <c r="H66" s="1009"/>
      <c r="I66" s="1009"/>
      <c r="J66" s="1010"/>
      <c r="K66" s="803"/>
    </row>
    <row r="67" spans="1:11" ht="11.25" customHeight="1">
      <c r="A67" s="754"/>
      <c r="B67" s="1201" t="s">
        <v>587</v>
      </c>
      <c r="C67" s="1009"/>
      <c r="D67" s="1009"/>
      <c r="E67" s="1009"/>
      <c r="F67" s="1009"/>
      <c r="G67" s="1009"/>
      <c r="H67" s="1009"/>
      <c r="I67" s="1009"/>
      <c r="J67" s="1010"/>
      <c r="K67" s="805"/>
    </row>
    <row r="68" spans="1:11" ht="11.25" customHeight="1">
      <c r="A68" s="754"/>
      <c r="B68" s="1112" t="s">
        <v>1215</v>
      </c>
      <c r="C68" s="1009"/>
      <c r="D68" s="1009"/>
      <c r="E68" s="1009"/>
      <c r="F68" s="1009"/>
      <c r="G68" s="1009"/>
      <c r="H68" s="1009"/>
      <c r="I68" s="1009"/>
      <c r="J68" s="1010"/>
      <c r="K68" s="646"/>
    </row>
    <row r="69" spans="1:11" ht="15" customHeight="1">
      <c r="A69" s="754"/>
      <c r="B69" s="647" t="s">
        <v>589</v>
      </c>
      <c r="C69" s="1113" t="s">
        <v>1216</v>
      </c>
      <c r="D69" s="1009"/>
      <c r="E69" s="1009"/>
      <c r="F69" s="1009"/>
      <c r="G69" s="1009"/>
      <c r="H69" s="1009"/>
      <c r="I69" s="1010"/>
      <c r="J69" s="604" t="s">
        <v>591</v>
      </c>
      <c r="K69" s="487"/>
    </row>
    <row r="70" spans="1:11" ht="11.25" customHeight="1">
      <c r="A70" s="754"/>
      <c r="B70" s="647" t="s">
        <v>514</v>
      </c>
      <c r="C70" s="1215" t="s">
        <v>1217</v>
      </c>
      <c r="D70" s="1009"/>
      <c r="E70" s="1009"/>
      <c r="F70" s="1009"/>
      <c r="G70" s="1009"/>
      <c r="H70" s="1010"/>
      <c r="I70" s="648">
        <v>8.3299999999999999E-2</v>
      </c>
      <c r="J70" s="806">
        <f>ROUND(J58*I70,2)</f>
        <v>181.56</v>
      </c>
      <c r="K70" s="807"/>
    </row>
    <row r="71" spans="1:11" ht="14.25" customHeight="1">
      <c r="A71" s="754"/>
      <c r="B71" s="647" t="s">
        <v>516</v>
      </c>
      <c r="C71" s="1216" t="s">
        <v>1218</v>
      </c>
      <c r="D71" s="1009"/>
      <c r="E71" s="1009"/>
      <c r="F71" s="1009"/>
      <c r="G71" s="1009"/>
      <c r="H71" s="1010"/>
      <c r="I71" s="651">
        <v>3.0249999999999999E-2</v>
      </c>
      <c r="J71" s="806">
        <f>ROUND(J58*I71,2)</f>
        <v>65.930000000000007</v>
      </c>
      <c r="K71" s="807"/>
    </row>
    <row r="72" spans="1:11" ht="11.25" customHeight="1">
      <c r="A72" s="754"/>
      <c r="B72" s="1199" t="s">
        <v>594</v>
      </c>
      <c r="C72" s="1009"/>
      <c r="D72" s="1009"/>
      <c r="E72" s="1009"/>
      <c r="F72" s="1009"/>
      <c r="G72" s="1009"/>
      <c r="H72" s="1009"/>
      <c r="I72" s="1010"/>
      <c r="J72" s="808">
        <f>SUM(J70+J71)</f>
        <v>247.49</v>
      </c>
      <c r="K72" s="809"/>
    </row>
    <row r="73" spans="1:11" ht="14.25" customHeight="1">
      <c r="A73" s="754"/>
      <c r="B73" s="1217"/>
      <c r="C73" s="1009"/>
      <c r="D73" s="1009"/>
      <c r="E73" s="1009"/>
      <c r="F73" s="1009"/>
      <c r="G73" s="1009"/>
      <c r="H73" s="1009"/>
      <c r="I73" s="1009"/>
      <c r="J73" s="1010"/>
      <c r="K73" s="810"/>
    </row>
    <row r="74" spans="1:11" ht="11.25" customHeight="1">
      <c r="A74" s="754"/>
      <c r="B74" s="1214" t="s">
        <v>1219</v>
      </c>
      <c r="C74" s="1009"/>
      <c r="D74" s="1009"/>
      <c r="E74" s="1009"/>
      <c r="F74" s="1009"/>
      <c r="G74" s="1009"/>
      <c r="H74" s="1009"/>
      <c r="I74" s="1009"/>
      <c r="J74" s="1010"/>
      <c r="K74" s="782"/>
    </row>
    <row r="75" spans="1:11" ht="14.25" customHeight="1">
      <c r="A75" s="754"/>
      <c r="B75" s="1218"/>
      <c r="C75" s="1009"/>
      <c r="D75" s="1009"/>
      <c r="E75" s="1009"/>
      <c r="F75" s="1009"/>
      <c r="G75" s="1009"/>
      <c r="H75" s="1009"/>
      <c r="I75" s="1009"/>
      <c r="J75" s="1010"/>
      <c r="K75" s="782"/>
    </row>
    <row r="76" spans="1:11" ht="14.25" customHeight="1">
      <c r="A76" s="754"/>
      <c r="B76" s="1108" t="s">
        <v>1220</v>
      </c>
      <c r="C76" s="1009"/>
      <c r="D76" s="1009"/>
      <c r="E76" s="1009"/>
      <c r="F76" s="1009"/>
      <c r="G76" s="1009"/>
      <c r="H76" s="1009"/>
      <c r="I76" s="1009"/>
      <c r="J76" s="1010"/>
      <c r="K76" s="655"/>
    </row>
    <row r="77" spans="1:11" ht="11.25" customHeight="1">
      <c r="A77" s="754"/>
      <c r="B77" s="656" t="s">
        <v>597</v>
      </c>
      <c r="C77" s="1165" t="s">
        <v>598</v>
      </c>
      <c r="D77" s="1009"/>
      <c r="E77" s="1009"/>
      <c r="F77" s="1009"/>
      <c r="G77" s="1009"/>
      <c r="H77" s="1010"/>
      <c r="I77" s="811" t="s">
        <v>556</v>
      </c>
      <c r="J77" s="657" t="s">
        <v>599</v>
      </c>
      <c r="K77" s="487"/>
    </row>
    <row r="78" spans="1:11" ht="11.25" customHeight="1">
      <c r="A78" s="754"/>
      <c r="B78" s="812" t="s">
        <v>514</v>
      </c>
      <c r="C78" s="1178" t="s">
        <v>600</v>
      </c>
      <c r="D78" s="1009"/>
      <c r="E78" s="1009"/>
      <c r="F78" s="1009"/>
      <c r="G78" s="1009"/>
      <c r="H78" s="1010"/>
      <c r="I78" s="813">
        <v>0.2</v>
      </c>
      <c r="J78" s="814">
        <f>ROUND((J58+J72)*I78,2)</f>
        <v>485.42</v>
      </c>
      <c r="K78" s="809"/>
    </row>
    <row r="79" spans="1:11" ht="11.25" customHeight="1">
      <c r="A79" s="754"/>
      <c r="B79" s="812" t="s">
        <v>516</v>
      </c>
      <c r="C79" s="1178" t="s">
        <v>601</v>
      </c>
      <c r="D79" s="1009"/>
      <c r="E79" s="1009"/>
      <c r="F79" s="1009"/>
      <c r="G79" s="1009"/>
      <c r="H79" s="1010"/>
      <c r="I79" s="813">
        <v>2.5000000000000001E-2</v>
      </c>
      <c r="J79" s="814">
        <f>ROUND((J58+J72)*I79,2)</f>
        <v>60.68</v>
      </c>
      <c r="K79" s="809"/>
    </row>
    <row r="80" spans="1:11" ht="11.25" customHeight="1">
      <c r="A80" s="754"/>
      <c r="B80" s="812" t="s">
        <v>518</v>
      </c>
      <c r="C80" s="1178" t="s">
        <v>1221</v>
      </c>
      <c r="D80" s="1010"/>
      <c r="E80" s="815" t="s">
        <v>603</v>
      </c>
      <c r="F80" s="816">
        <f>'1-ABA-DE-CARREGAMENTO'!L57</f>
        <v>0.03</v>
      </c>
      <c r="G80" s="815" t="s">
        <v>604</v>
      </c>
      <c r="H80" s="817">
        <f>'1-ABA-DE-CARREGAMENTO'!L58</f>
        <v>1</v>
      </c>
      <c r="I80" s="818">
        <f>ROUND((F80*H80),6)</f>
        <v>0.03</v>
      </c>
      <c r="J80" s="814">
        <f>ROUND((J58+J72)*I80,2)</f>
        <v>72.81</v>
      </c>
      <c r="K80" s="809"/>
    </row>
    <row r="81" spans="1:11" ht="16.5" customHeight="1">
      <c r="A81" s="754"/>
      <c r="B81" s="812" t="s">
        <v>520</v>
      </c>
      <c r="C81" s="1178" t="s">
        <v>605</v>
      </c>
      <c r="D81" s="1009"/>
      <c r="E81" s="1009"/>
      <c r="F81" s="1009"/>
      <c r="G81" s="1009"/>
      <c r="H81" s="1010"/>
      <c r="I81" s="813">
        <v>1.4999999999999999E-2</v>
      </c>
      <c r="J81" s="814">
        <f>ROUND((J58+J72)*I81,2)</f>
        <v>36.409999999999997</v>
      </c>
      <c r="K81" s="809"/>
    </row>
    <row r="82" spans="1:11" ht="16.5" customHeight="1">
      <c r="A82" s="754"/>
      <c r="B82" s="812" t="s">
        <v>562</v>
      </c>
      <c r="C82" s="1178" t="s">
        <v>606</v>
      </c>
      <c r="D82" s="1009"/>
      <c r="E82" s="1009"/>
      <c r="F82" s="1009"/>
      <c r="G82" s="1009"/>
      <c r="H82" s="1010"/>
      <c r="I82" s="813">
        <v>0.01</v>
      </c>
      <c r="J82" s="814">
        <f>ROUND((J58+J72)*I82,2)</f>
        <v>24.27</v>
      </c>
      <c r="K82" s="809"/>
    </row>
    <row r="83" spans="1:11" ht="16.5" customHeight="1">
      <c r="A83" s="754"/>
      <c r="B83" s="812" t="s">
        <v>566</v>
      </c>
      <c r="C83" s="1178" t="s">
        <v>607</v>
      </c>
      <c r="D83" s="1009"/>
      <c r="E83" s="1009"/>
      <c r="F83" s="1009"/>
      <c r="G83" s="1009"/>
      <c r="H83" s="1010"/>
      <c r="I83" s="813">
        <v>6.0000000000000001E-3</v>
      </c>
      <c r="J83" s="814">
        <f>ROUND((J58+J72)*I83,2)</f>
        <v>14.56</v>
      </c>
      <c r="K83" s="809"/>
    </row>
    <row r="84" spans="1:11" ht="16.5" customHeight="1">
      <c r="A84" s="754"/>
      <c r="B84" s="812" t="s">
        <v>568</v>
      </c>
      <c r="C84" s="1178" t="s">
        <v>608</v>
      </c>
      <c r="D84" s="1009"/>
      <c r="E84" s="1009"/>
      <c r="F84" s="1009"/>
      <c r="G84" s="1009"/>
      <c r="H84" s="1010"/>
      <c r="I84" s="813">
        <v>2E-3</v>
      </c>
      <c r="J84" s="814">
        <f>ROUND((J58+J72)*I84,2)</f>
        <v>4.8499999999999996</v>
      </c>
      <c r="K84" s="809"/>
    </row>
    <row r="85" spans="1:11" ht="28.5" customHeight="1">
      <c r="A85" s="754"/>
      <c r="B85" s="812" t="s">
        <v>570</v>
      </c>
      <c r="C85" s="1178" t="s">
        <v>609</v>
      </c>
      <c r="D85" s="1009"/>
      <c r="E85" s="1009"/>
      <c r="F85" s="1009"/>
      <c r="G85" s="1009"/>
      <c r="H85" s="1010"/>
      <c r="I85" s="813">
        <v>0.08</v>
      </c>
      <c r="J85" s="814">
        <f>ROUND((J58+J72)*I85,2)</f>
        <v>194.17</v>
      </c>
      <c r="K85" s="809"/>
    </row>
    <row r="86" spans="1:11" ht="12" customHeight="1">
      <c r="A86" s="754"/>
      <c r="B86" s="1204" t="s">
        <v>594</v>
      </c>
      <c r="C86" s="1009"/>
      <c r="D86" s="1009"/>
      <c r="E86" s="1009"/>
      <c r="F86" s="1009"/>
      <c r="G86" s="1009"/>
      <c r="H86" s="1010"/>
      <c r="I86" s="819">
        <f t="shared" ref="I86:J86" si="0">SUM(I78:I85)</f>
        <v>0.36800000000000005</v>
      </c>
      <c r="J86" s="808">
        <f t="shared" si="0"/>
        <v>893.17</v>
      </c>
      <c r="K86" s="809"/>
    </row>
    <row r="87" spans="1:11" ht="12" customHeight="1">
      <c r="A87" s="754"/>
      <c r="B87" s="820"/>
      <c r="C87" s="666"/>
      <c r="D87" s="666"/>
      <c r="E87" s="666"/>
      <c r="F87" s="666"/>
      <c r="G87" s="666"/>
      <c r="H87" s="666"/>
      <c r="I87" s="821"/>
      <c r="J87" s="822"/>
      <c r="K87" s="809"/>
    </row>
    <row r="88" spans="1:11" ht="32.25" customHeight="1">
      <c r="A88" s="754"/>
      <c r="B88" s="1214" t="s">
        <v>610</v>
      </c>
      <c r="C88" s="1009"/>
      <c r="D88" s="1009"/>
      <c r="E88" s="1009"/>
      <c r="F88" s="1009"/>
      <c r="G88" s="1009"/>
      <c r="H88" s="1009"/>
      <c r="I88" s="1009"/>
      <c r="J88" s="1010"/>
      <c r="K88" s="782"/>
    </row>
    <row r="89" spans="1:11" ht="18.75" customHeight="1">
      <c r="A89" s="754"/>
      <c r="B89" s="1225"/>
      <c r="C89" s="1009"/>
      <c r="D89" s="1009"/>
      <c r="E89" s="1009"/>
      <c r="F89" s="1009"/>
      <c r="G89" s="1009"/>
      <c r="H89" s="1009"/>
      <c r="I89" s="1009"/>
      <c r="J89" s="1010"/>
      <c r="K89" s="376"/>
    </row>
    <row r="90" spans="1:11" ht="15" customHeight="1">
      <c r="A90" s="754"/>
      <c r="B90" s="1096" t="s">
        <v>611</v>
      </c>
      <c r="C90" s="1009"/>
      <c r="D90" s="1009"/>
      <c r="E90" s="1009"/>
      <c r="F90" s="1009"/>
      <c r="G90" s="1009"/>
      <c r="H90" s="1009"/>
      <c r="I90" s="1009"/>
      <c r="J90" s="1010"/>
      <c r="K90" s="646"/>
    </row>
    <row r="91" spans="1:11" ht="15" customHeight="1">
      <c r="A91" s="754"/>
      <c r="B91" s="669" t="s">
        <v>612</v>
      </c>
      <c r="C91" s="1083" t="s">
        <v>613</v>
      </c>
      <c r="D91" s="1009"/>
      <c r="E91" s="1009"/>
      <c r="F91" s="1009"/>
      <c r="G91" s="1009"/>
      <c r="H91" s="1009"/>
      <c r="I91" s="1010"/>
      <c r="J91" s="670" t="s">
        <v>591</v>
      </c>
      <c r="K91" s="592"/>
    </row>
    <row r="92" spans="1:11" ht="15" customHeight="1">
      <c r="A92" s="754"/>
      <c r="B92" s="823" t="s">
        <v>514</v>
      </c>
      <c r="C92" s="1178" t="s">
        <v>1222</v>
      </c>
      <c r="D92" s="1009"/>
      <c r="E92" s="1009"/>
      <c r="F92" s="1009"/>
      <c r="G92" s="1009"/>
      <c r="H92" s="1010"/>
      <c r="I92" s="794">
        <f>J47</f>
        <v>1915.595</v>
      </c>
      <c r="J92" s="824">
        <f>IF(ROUND((I93*I95*I94)-(J47*I96),2)&lt;0,0,ROUND((I93*I95*I94)-(J47*I96),2))</f>
        <v>45.06</v>
      </c>
      <c r="K92" s="809"/>
    </row>
    <row r="93" spans="1:11" ht="28.5" customHeight="1">
      <c r="A93" s="754"/>
      <c r="B93" s="823" t="s">
        <v>516</v>
      </c>
      <c r="C93" s="1178" t="s">
        <v>1223</v>
      </c>
      <c r="D93" s="1009"/>
      <c r="E93" s="1009"/>
      <c r="F93" s="1009"/>
      <c r="G93" s="1009"/>
      <c r="H93" s="1009"/>
      <c r="I93" s="825">
        <f>'1-ABA-DE-CARREGAMENTO'!L72</f>
        <v>3.2</v>
      </c>
      <c r="J93" s="826" t="s">
        <v>527</v>
      </c>
      <c r="K93" s="799"/>
    </row>
    <row r="94" spans="1:11" ht="25.5" customHeight="1">
      <c r="A94" s="754"/>
      <c r="B94" s="823" t="s">
        <v>518</v>
      </c>
      <c r="C94" s="1178" t="s">
        <v>1224</v>
      </c>
      <c r="D94" s="1009"/>
      <c r="E94" s="1009"/>
      <c r="F94" s="1009"/>
      <c r="G94" s="1009"/>
      <c r="H94" s="1010"/>
      <c r="I94" s="827">
        <f>'1-ABA-DE-CARREGAMENTO'!L73</f>
        <v>2</v>
      </c>
      <c r="J94" s="826" t="s">
        <v>527</v>
      </c>
      <c r="K94" s="799"/>
    </row>
    <row r="95" spans="1:11" ht="19.5" customHeight="1">
      <c r="A95" s="754"/>
      <c r="B95" s="823" t="s">
        <v>520</v>
      </c>
      <c r="C95" s="1229" t="s">
        <v>617</v>
      </c>
      <c r="D95" s="1009"/>
      <c r="E95" s="1009"/>
      <c r="F95" s="1009"/>
      <c r="G95" s="1009"/>
      <c r="H95" s="1010"/>
      <c r="I95" s="827">
        <f>'1-ABA-DE-CARREGAMENTO'!L74</f>
        <v>25</v>
      </c>
      <c r="J95" s="826" t="s">
        <v>527</v>
      </c>
      <c r="K95" s="799"/>
    </row>
    <row r="96" spans="1:11" ht="25.5" customHeight="1">
      <c r="A96" s="754"/>
      <c r="B96" s="823" t="s">
        <v>562</v>
      </c>
      <c r="C96" s="1229" t="s">
        <v>1225</v>
      </c>
      <c r="D96" s="1009"/>
      <c r="E96" s="1009"/>
      <c r="F96" s="1009"/>
      <c r="G96" s="1009"/>
      <c r="H96" s="1010"/>
      <c r="I96" s="832">
        <f>'1-ABA-DE-CARREGAMENTO'!L75</f>
        <v>0.06</v>
      </c>
      <c r="J96" s="830" t="s">
        <v>527</v>
      </c>
      <c r="K96" s="799"/>
    </row>
    <row r="97" spans="1:11" ht="15" customHeight="1">
      <c r="A97" s="754"/>
      <c r="B97" s="823" t="s">
        <v>566</v>
      </c>
      <c r="C97" s="1178" t="s">
        <v>1226</v>
      </c>
      <c r="D97" s="1009"/>
      <c r="E97" s="1009"/>
      <c r="F97" s="1009"/>
      <c r="G97" s="1009"/>
      <c r="H97" s="1009"/>
      <c r="I97" s="1009"/>
      <c r="J97" s="824">
        <f>ROUND(I98*I99,2)-ROUND((I98*I99)*I100,2)</f>
        <v>0</v>
      </c>
      <c r="K97" s="809"/>
    </row>
    <row r="98" spans="1:11" ht="15" customHeight="1">
      <c r="A98" s="754"/>
      <c r="B98" s="823" t="s">
        <v>568</v>
      </c>
      <c r="C98" s="1178" t="s">
        <v>1227</v>
      </c>
      <c r="D98" s="1009"/>
      <c r="E98" s="1009"/>
      <c r="F98" s="1009"/>
      <c r="G98" s="1009"/>
      <c r="H98" s="1009"/>
      <c r="I98" s="825">
        <f>IF('1-ABA-DE-CARREGAMENTO'!L60&gt;0,'1-ABA-DE-CARREGAMENTO'!L60,'1-ABA-DE-CARREGAMENTO'!L63)</f>
        <v>0</v>
      </c>
      <c r="J98" s="831"/>
      <c r="K98" s="799"/>
    </row>
    <row r="99" spans="1:11" ht="15" customHeight="1">
      <c r="A99" s="754"/>
      <c r="B99" s="823" t="s">
        <v>570</v>
      </c>
      <c r="C99" s="1178" t="s">
        <v>1228</v>
      </c>
      <c r="D99" s="1009"/>
      <c r="E99" s="1009"/>
      <c r="F99" s="1009"/>
      <c r="G99" s="1009"/>
      <c r="H99" s="1009"/>
      <c r="I99" s="827">
        <f>'1-ABA-DE-CARREGAMENTO'!L62</f>
        <v>22</v>
      </c>
      <c r="J99" s="831"/>
      <c r="K99" s="799"/>
    </row>
    <row r="100" spans="1:11" ht="28.5" customHeight="1">
      <c r="A100" s="754"/>
      <c r="B100" s="823" t="s">
        <v>574</v>
      </c>
      <c r="C100" s="1266" t="s">
        <v>1229</v>
      </c>
      <c r="D100" s="1009"/>
      <c r="E100" s="1009"/>
      <c r="F100" s="1009"/>
      <c r="G100" s="1009"/>
      <c r="H100" s="1010"/>
      <c r="I100" s="832">
        <f>'1-ABA-DE-CARREGAMENTO'!L61</f>
        <v>0</v>
      </c>
      <c r="J100" s="833"/>
      <c r="K100" s="799"/>
    </row>
    <row r="101" spans="1:11" ht="15" customHeight="1">
      <c r="A101" s="754"/>
      <c r="B101" s="823" t="s">
        <v>578</v>
      </c>
      <c r="C101" s="1178" t="s">
        <v>1114</v>
      </c>
      <c r="D101" s="1009"/>
      <c r="E101" s="1009"/>
      <c r="F101" s="1009"/>
      <c r="G101" s="1009"/>
      <c r="H101" s="1009"/>
      <c r="I101" s="1009"/>
      <c r="J101" s="814">
        <v>0</v>
      </c>
      <c r="K101" s="809"/>
    </row>
    <row r="102" spans="1:11" ht="36.75" customHeight="1">
      <c r="A102" s="754"/>
      <c r="B102" s="823" t="s">
        <v>580</v>
      </c>
      <c r="C102" s="1178" t="s">
        <v>1230</v>
      </c>
      <c r="D102" s="1009"/>
      <c r="E102" s="1009"/>
      <c r="F102" s="1009"/>
      <c r="G102" s="1009"/>
      <c r="H102" s="1009"/>
      <c r="I102" s="1009"/>
      <c r="J102" s="814">
        <f>'1-ABA-DE-CARREGAMENTO'!L77</f>
        <v>0</v>
      </c>
      <c r="K102" s="809"/>
    </row>
    <row r="103" spans="1:11" ht="36.75" customHeight="1">
      <c r="A103" s="754"/>
      <c r="B103" s="823" t="s">
        <v>625</v>
      </c>
      <c r="C103" s="1178" t="s">
        <v>1231</v>
      </c>
      <c r="D103" s="1009"/>
      <c r="E103" s="1009"/>
      <c r="F103" s="1009"/>
      <c r="G103" s="1009"/>
      <c r="H103" s="1009"/>
      <c r="I103" s="1010"/>
      <c r="J103" s="814">
        <f>'1-ABA-DE-CARREGAMENTO'!L78</f>
        <v>0</v>
      </c>
      <c r="K103" s="809"/>
    </row>
    <row r="104" spans="1:11" ht="16.5" customHeight="1">
      <c r="A104" s="754"/>
      <c r="B104" s="823" t="s">
        <v>627</v>
      </c>
      <c r="C104" s="1178" t="s">
        <v>818</v>
      </c>
      <c r="D104" s="1009"/>
      <c r="E104" s="1009"/>
      <c r="F104" s="1009"/>
      <c r="G104" s="1009"/>
      <c r="H104" s="1009"/>
      <c r="I104" s="1010"/>
      <c r="J104" s="814">
        <f>'1-ABA-DE-CARREGAMENTO'!L76</f>
        <v>0</v>
      </c>
      <c r="K104" s="809"/>
    </row>
    <row r="105" spans="1:11" ht="17.25" customHeight="1">
      <c r="A105" s="754"/>
      <c r="B105" s="823" t="s">
        <v>129</v>
      </c>
      <c r="C105" s="1212" t="s">
        <v>668</v>
      </c>
      <c r="D105" s="1009"/>
      <c r="E105" s="1009"/>
      <c r="F105" s="1009"/>
      <c r="G105" s="1009"/>
      <c r="H105" s="1009"/>
      <c r="I105" s="1009"/>
      <c r="J105" s="834">
        <v>0</v>
      </c>
      <c r="K105" s="835"/>
    </row>
    <row r="106" spans="1:11" ht="33.75" customHeight="1">
      <c r="A106" s="754"/>
      <c r="B106" s="836"/>
      <c r="C106" s="1204" t="s">
        <v>594</v>
      </c>
      <c r="D106" s="1009"/>
      <c r="E106" s="1009"/>
      <c r="F106" s="1009"/>
      <c r="G106" s="1009"/>
      <c r="H106" s="1009"/>
      <c r="I106" s="1030"/>
      <c r="J106" s="808">
        <f>SUM(J92:J105)</f>
        <v>45.06</v>
      </c>
      <c r="K106" s="809"/>
    </row>
    <row r="107" spans="1:11" ht="17.25" customHeight="1">
      <c r="A107" s="754"/>
      <c r="B107" s="1225"/>
      <c r="C107" s="1009"/>
      <c r="D107" s="1009"/>
      <c r="E107" s="1009"/>
      <c r="F107" s="1009"/>
      <c r="G107" s="1009"/>
      <c r="H107" s="1009"/>
      <c r="I107" s="1009"/>
      <c r="J107" s="1010"/>
      <c r="K107" s="376"/>
    </row>
    <row r="108" spans="1:11" ht="33" customHeight="1">
      <c r="A108" s="754"/>
      <c r="B108" s="1214" t="s">
        <v>630</v>
      </c>
      <c r="C108" s="1009"/>
      <c r="D108" s="1009"/>
      <c r="E108" s="1009"/>
      <c r="F108" s="1009"/>
      <c r="G108" s="1009"/>
      <c r="H108" s="1009"/>
      <c r="I108" s="1009"/>
      <c r="J108" s="1010"/>
      <c r="K108" s="782"/>
    </row>
    <row r="109" spans="1:11" ht="19.5" customHeight="1">
      <c r="A109" s="754"/>
      <c r="B109" s="1220"/>
      <c r="C109" s="1009"/>
      <c r="D109" s="1009"/>
      <c r="E109" s="1009"/>
      <c r="F109" s="1009"/>
      <c r="G109" s="1009"/>
      <c r="H109" s="1009"/>
      <c r="I109" s="1009"/>
      <c r="J109" s="1010"/>
      <c r="K109" s="763"/>
    </row>
    <row r="110" spans="1:11" ht="19.5" customHeight="1">
      <c r="A110" s="754"/>
      <c r="B110" s="1265" t="s">
        <v>631</v>
      </c>
      <c r="C110" s="1009"/>
      <c r="D110" s="1009"/>
      <c r="E110" s="1009"/>
      <c r="F110" s="1009"/>
      <c r="G110" s="1009"/>
      <c r="H110" s="1009"/>
      <c r="I110" s="1009"/>
      <c r="J110" s="1010"/>
      <c r="K110" s="837"/>
    </row>
    <row r="111" spans="1:11" ht="19.5" customHeight="1">
      <c r="A111" s="754"/>
      <c r="B111" s="657">
        <v>2</v>
      </c>
      <c r="C111" s="1165" t="s">
        <v>632</v>
      </c>
      <c r="D111" s="1009"/>
      <c r="E111" s="1009"/>
      <c r="F111" s="1009"/>
      <c r="G111" s="1009"/>
      <c r="H111" s="1009"/>
      <c r="I111" s="1010"/>
      <c r="J111" s="657" t="s">
        <v>591</v>
      </c>
      <c r="K111" s="487"/>
    </row>
    <row r="112" spans="1:11" ht="19.5" customHeight="1">
      <c r="A112" s="754"/>
      <c r="B112" s="769" t="s">
        <v>589</v>
      </c>
      <c r="C112" s="1215" t="s">
        <v>1232</v>
      </c>
      <c r="D112" s="1009"/>
      <c r="E112" s="1009"/>
      <c r="F112" s="1009"/>
      <c r="G112" s="1009"/>
      <c r="H112" s="1009"/>
      <c r="I112" s="1010"/>
      <c r="J112" s="838">
        <f>J72</f>
        <v>247.49</v>
      </c>
      <c r="K112" s="839"/>
    </row>
    <row r="113" spans="1:11" ht="19.5" customHeight="1">
      <c r="A113" s="754"/>
      <c r="B113" s="769" t="s">
        <v>597</v>
      </c>
      <c r="C113" s="1215" t="s">
        <v>598</v>
      </c>
      <c r="D113" s="1009"/>
      <c r="E113" s="1009"/>
      <c r="F113" s="1009"/>
      <c r="G113" s="1009"/>
      <c r="H113" s="1009"/>
      <c r="I113" s="1010"/>
      <c r="J113" s="838">
        <f>J86</f>
        <v>893.17</v>
      </c>
      <c r="K113" s="839"/>
    </row>
    <row r="114" spans="1:11" ht="19.5" customHeight="1">
      <c r="A114" s="754"/>
      <c r="B114" s="769" t="s">
        <v>612</v>
      </c>
      <c r="C114" s="1215" t="s">
        <v>613</v>
      </c>
      <c r="D114" s="1009"/>
      <c r="E114" s="1009"/>
      <c r="F114" s="1009"/>
      <c r="G114" s="1009"/>
      <c r="H114" s="1009"/>
      <c r="I114" s="1010"/>
      <c r="J114" s="838">
        <f>J106</f>
        <v>45.06</v>
      </c>
      <c r="K114" s="839"/>
    </row>
    <row r="115" spans="1:11" ht="14.25" customHeight="1">
      <c r="A115" s="754"/>
      <c r="B115" s="1261" t="s">
        <v>594</v>
      </c>
      <c r="C115" s="1009"/>
      <c r="D115" s="1009"/>
      <c r="E115" s="1009"/>
      <c r="F115" s="1009"/>
      <c r="G115" s="1009"/>
      <c r="H115" s="1009"/>
      <c r="I115" s="1010"/>
      <c r="J115" s="840">
        <f>SUM(J112+J113+J114)</f>
        <v>1185.7199999999998</v>
      </c>
      <c r="K115" s="839"/>
    </row>
    <row r="116" spans="1:11" ht="14.25" customHeight="1">
      <c r="A116" s="754"/>
      <c r="B116" s="1262"/>
      <c r="C116" s="1009"/>
      <c r="D116" s="1009"/>
      <c r="E116" s="1009"/>
      <c r="F116" s="1009"/>
      <c r="G116" s="1009"/>
      <c r="H116" s="1009"/>
      <c r="I116" s="1009"/>
      <c r="J116" s="1010"/>
      <c r="K116" s="841"/>
    </row>
    <row r="117" spans="1:11" ht="18.75" customHeight="1">
      <c r="A117" s="754"/>
      <c r="B117" s="1252" t="s">
        <v>634</v>
      </c>
      <c r="C117" s="1009"/>
      <c r="D117" s="1009"/>
      <c r="E117" s="1009"/>
      <c r="F117" s="1009"/>
      <c r="G117" s="1009"/>
      <c r="H117" s="1009"/>
      <c r="I117" s="1009"/>
      <c r="J117" s="1010"/>
      <c r="K117" s="842"/>
    </row>
    <row r="118" spans="1:11" ht="15.75" customHeight="1">
      <c r="A118" s="754"/>
      <c r="B118" s="669">
        <v>3</v>
      </c>
      <c r="C118" s="1162" t="s">
        <v>635</v>
      </c>
      <c r="D118" s="1009"/>
      <c r="E118" s="1009"/>
      <c r="F118" s="1009"/>
      <c r="G118" s="1009"/>
      <c r="H118" s="1009"/>
      <c r="I118" s="1010"/>
      <c r="J118" s="669" t="s">
        <v>591</v>
      </c>
      <c r="K118" s="601"/>
    </row>
    <row r="119" spans="1:11" ht="43.5" customHeight="1">
      <c r="A119" s="754"/>
      <c r="B119" s="823" t="s">
        <v>514</v>
      </c>
      <c r="C119" s="1178" t="s">
        <v>1233</v>
      </c>
      <c r="D119" s="1009"/>
      <c r="E119" s="1009"/>
      <c r="F119" s="1009"/>
      <c r="G119" s="1009"/>
      <c r="H119" s="1009"/>
      <c r="I119" s="1010"/>
      <c r="J119" s="814">
        <f>ROUND((($J$58/12)+($J$70/12)+(J58/12/12)+($J$71/12))*(30/30)*0.05,2)</f>
        <v>10.87</v>
      </c>
      <c r="K119" s="809"/>
    </row>
    <row r="120" spans="1:11" ht="21" customHeight="1">
      <c r="A120" s="754"/>
      <c r="B120" s="823" t="s">
        <v>516</v>
      </c>
      <c r="C120" s="1212" t="s">
        <v>637</v>
      </c>
      <c r="D120" s="1009"/>
      <c r="E120" s="1009"/>
      <c r="F120" s="1009"/>
      <c r="G120" s="1009"/>
      <c r="H120" s="1009"/>
      <c r="I120" s="1010"/>
      <c r="J120" s="814">
        <f>ROUND($I$85*J119,2)</f>
        <v>0.87</v>
      </c>
      <c r="K120" s="809"/>
    </row>
    <row r="121" spans="1:11" ht="26.25" customHeight="1">
      <c r="A121" s="754"/>
      <c r="B121" s="823" t="s">
        <v>518</v>
      </c>
      <c r="C121" s="1178" t="s">
        <v>1234</v>
      </c>
      <c r="D121" s="1009"/>
      <c r="E121" s="1009"/>
      <c r="F121" s="1009"/>
      <c r="G121" s="1009"/>
      <c r="H121" s="1009"/>
      <c r="I121" s="1010"/>
      <c r="J121" s="814">
        <f>ROUND(((7/30)/$I$11)*$J$58*1,2)</f>
        <v>16.95</v>
      </c>
      <c r="K121" s="809"/>
    </row>
    <row r="122" spans="1:11" ht="18" customHeight="1">
      <c r="A122" s="754"/>
      <c r="B122" s="823" t="s">
        <v>520</v>
      </c>
      <c r="C122" s="1212" t="s">
        <v>639</v>
      </c>
      <c r="D122" s="1009"/>
      <c r="E122" s="1009"/>
      <c r="F122" s="1009"/>
      <c r="G122" s="1009"/>
      <c r="H122" s="1009"/>
      <c r="I122" s="1010"/>
      <c r="J122" s="814">
        <f>ROUND($I$86*J121,2)</f>
        <v>6.24</v>
      </c>
      <c r="K122" s="809"/>
    </row>
    <row r="123" spans="1:11" ht="40.5" customHeight="1">
      <c r="A123" s="754"/>
      <c r="B123" s="823" t="s">
        <v>562</v>
      </c>
      <c r="C123" s="1178" t="s">
        <v>1235</v>
      </c>
      <c r="D123" s="1009"/>
      <c r="E123" s="1009"/>
      <c r="F123" s="1009"/>
      <c r="G123" s="1009"/>
      <c r="H123" s="1010"/>
      <c r="I123" s="843">
        <v>0.04</v>
      </c>
      <c r="J123" s="814">
        <f>ROUND(J58*I123,2)</f>
        <v>87.18</v>
      </c>
      <c r="K123" s="809"/>
    </row>
    <row r="124" spans="1:11" ht="19.5" customHeight="1">
      <c r="A124" s="754"/>
      <c r="B124" s="1204" t="s">
        <v>641</v>
      </c>
      <c r="C124" s="1009"/>
      <c r="D124" s="1009"/>
      <c r="E124" s="1009"/>
      <c r="F124" s="1009"/>
      <c r="G124" s="1009"/>
      <c r="H124" s="1009"/>
      <c r="I124" s="1010"/>
      <c r="J124" s="808">
        <f>SUM(J119:J123)</f>
        <v>122.11000000000001</v>
      </c>
      <c r="K124" s="809"/>
    </row>
    <row r="125" spans="1:11" ht="15.75" customHeight="1">
      <c r="A125" s="754"/>
      <c r="B125" s="1186"/>
      <c r="C125" s="1009"/>
      <c r="D125" s="1009"/>
      <c r="E125" s="1009"/>
      <c r="F125" s="1009"/>
      <c r="G125" s="1009"/>
      <c r="H125" s="1009"/>
      <c r="I125" s="1009"/>
      <c r="J125" s="1010"/>
      <c r="K125" s="844"/>
    </row>
    <row r="126" spans="1:11" ht="17.25" customHeight="1">
      <c r="A126" s="754"/>
      <c r="B126" s="1187" t="s">
        <v>642</v>
      </c>
      <c r="C126" s="1009"/>
      <c r="D126" s="1009"/>
      <c r="E126" s="1009"/>
      <c r="F126" s="1009"/>
      <c r="G126" s="1009"/>
      <c r="H126" s="1009"/>
      <c r="I126" s="1009"/>
      <c r="J126" s="1010"/>
      <c r="K126" s="845"/>
    </row>
    <row r="127" spans="1:11" ht="24" customHeight="1">
      <c r="A127" s="754"/>
      <c r="B127" s="1214" t="s">
        <v>643</v>
      </c>
      <c r="C127" s="1009"/>
      <c r="D127" s="1009"/>
      <c r="E127" s="1009"/>
      <c r="F127" s="1009"/>
      <c r="G127" s="1009"/>
      <c r="H127" s="1009"/>
      <c r="I127" s="1009"/>
      <c r="J127" s="1010"/>
      <c r="K127" s="782"/>
    </row>
    <row r="128" spans="1:11" ht="54.75" customHeight="1">
      <c r="A128" s="754"/>
      <c r="B128" s="1108" t="s">
        <v>1236</v>
      </c>
      <c r="C128" s="1009"/>
      <c r="D128" s="1009"/>
      <c r="E128" s="1009"/>
      <c r="F128" s="1009"/>
      <c r="G128" s="1009"/>
      <c r="H128" s="1009"/>
      <c r="I128" s="1009"/>
      <c r="J128" s="1010"/>
      <c r="K128" s="655"/>
    </row>
    <row r="129" spans="1:11" ht="26.25" customHeight="1">
      <c r="A129" s="754"/>
      <c r="B129" s="694" t="s">
        <v>645</v>
      </c>
      <c r="C129" s="695">
        <f>J58</f>
        <v>2179.5950000000003</v>
      </c>
      <c r="D129" s="846" t="s">
        <v>646</v>
      </c>
      <c r="E129" s="694" t="s">
        <v>1237</v>
      </c>
      <c r="F129" s="695">
        <f>J115-J92-J97</f>
        <v>1140.6599999999999</v>
      </c>
      <c r="G129" s="846" t="s">
        <v>646</v>
      </c>
      <c r="H129" s="694" t="s">
        <v>648</v>
      </c>
      <c r="I129" s="695">
        <f>J124</f>
        <v>122.11000000000001</v>
      </c>
      <c r="J129" s="847">
        <f>C129+F129+I129</f>
        <v>3442.3650000000002</v>
      </c>
      <c r="K129" s="848"/>
    </row>
    <row r="130" spans="1:11" ht="30.75" customHeight="1">
      <c r="A130" s="754"/>
      <c r="B130" s="1263"/>
      <c r="C130" s="1009"/>
      <c r="D130" s="1009"/>
      <c r="E130" s="1009"/>
      <c r="F130" s="1009"/>
      <c r="G130" s="1009"/>
      <c r="H130" s="1009"/>
      <c r="I130" s="1009"/>
      <c r="J130" s="1010"/>
      <c r="K130" s="849"/>
    </row>
    <row r="131" spans="1:11" ht="15.75" customHeight="1">
      <c r="A131" s="754"/>
      <c r="B131" s="1069" t="s">
        <v>649</v>
      </c>
      <c r="C131" s="1009"/>
      <c r="D131" s="1009"/>
      <c r="E131" s="1009"/>
      <c r="F131" s="1009"/>
      <c r="G131" s="1009"/>
      <c r="H131" s="1009"/>
      <c r="I131" s="1009"/>
      <c r="J131" s="1010"/>
      <c r="K131" s="698"/>
    </row>
    <row r="132" spans="1:11" ht="17.25" customHeight="1">
      <c r="A132" s="754"/>
      <c r="B132" s="699" t="s">
        <v>650</v>
      </c>
      <c r="C132" s="1162" t="s">
        <v>651</v>
      </c>
      <c r="D132" s="1009"/>
      <c r="E132" s="1009"/>
      <c r="F132" s="1009"/>
      <c r="G132" s="1009"/>
      <c r="H132" s="1009"/>
      <c r="I132" s="1010"/>
      <c r="J132" s="699" t="s">
        <v>591</v>
      </c>
      <c r="K132" s="700"/>
    </row>
    <row r="133" spans="1:11" ht="50.25" customHeight="1">
      <c r="A133" s="754"/>
      <c r="B133" s="823" t="s">
        <v>514</v>
      </c>
      <c r="C133" s="1215" t="s">
        <v>1238</v>
      </c>
      <c r="D133" s="1009"/>
      <c r="E133" s="1009"/>
      <c r="F133" s="1009"/>
      <c r="G133" s="1009"/>
      <c r="H133" s="701">
        <v>9.0749999999999997E-2</v>
      </c>
      <c r="I133" s="702">
        <f>I86</f>
        <v>0.36800000000000005</v>
      </c>
      <c r="J133" s="814">
        <f>ROUND(H133*J58,2)*(1+I133)</f>
        <v>270.59040000000005</v>
      </c>
      <c r="K133" s="809"/>
    </row>
    <row r="134" spans="1:11" ht="17.25" customHeight="1">
      <c r="A134" s="754"/>
      <c r="B134" s="823" t="s">
        <v>516</v>
      </c>
      <c r="C134" s="1178" t="s">
        <v>1239</v>
      </c>
      <c r="D134" s="1009"/>
      <c r="E134" s="1009"/>
      <c r="F134" s="1009"/>
      <c r="G134" s="1009"/>
      <c r="H134" s="1009"/>
      <c r="I134" s="1010"/>
      <c r="J134" s="814">
        <f>ROUND((1/30)/12*(J129),2)</f>
        <v>9.56</v>
      </c>
      <c r="K134" s="809"/>
    </row>
    <row r="135" spans="1:11" ht="28.5" customHeight="1">
      <c r="A135" s="754"/>
      <c r="B135" s="823" t="s">
        <v>518</v>
      </c>
      <c r="C135" s="1178" t="s">
        <v>1240</v>
      </c>
      <c r="D135" s="1009"/>
      <c r="E135" s="1009"/>
      <c r="F135" s="1009"/>
      <c r="G135" s="1009"/>
      <c r="H135" s="1009"/>
      <c r="I135" s="1010"/>
      <c r="J135" s="814">
        <f>ROUND((5/30)/12*0.015*(J129),2)</f>
        <v>0.72</v>
      </c>
      <c r="K135" s="809"/>
    </row>
    <row r="136" spans="1:11" ht="27.75" customHeight="1">
      <c r="A136" s="754"/>
      <c r="B136" s="823" t="s">
        <v>520</v>
      </c>
      <c r="C136" s="1178" t="s">
        <v>1241</v>
      </c>
      <c r="D136" s="1009"/>
      <c r="E136" s="1009"/>
      <c r="F136" s="1009"/>
      <c r="G136" s="1009"/>
      <c r="H136" s="1009"/>
      <c r="I136" s="1010"/>
      <c r="J136" s="814">
        <f>ROUND(((15/30)/12)*0.0078*(J129),2)</f>
        <v>1.1200000000000001</v>
      </c>
      <c r="K136" s="809"/>
    </row>
    <row r="137" spans="1:11" ht="30.75" customHeight="1">
      <c r="A137" s="754"/>
      <c r="B137" s="850" t="s">
        <v>562</v>
      </c>
      <c r="C137" s="1264" t="s">
        <v>1242</v>
      </c>
      <c r="D137" s="1009"/>
      <c r="E137" s="1009"/>
      <c r="F137" s="1009"/>
      <c r="G137" s="1009"/>
      <c r="H137" s="1009"/>
      <c r="I137" s="1010"/>
      <c r="J137" s="704">
        <f>ROUND(((((C129+C129/3)+(I86)*(C129+C129/3))*(4/12))/12)*0.02,2) + ((J106 -J92-J97+ J124)*4/12)*0.02</f>
        <v>3.0240666666666667</v>
      </c>
      <c r="K137" s="653"/>
    </row>
    <row r="138" spans="1:11" ht="39" customHeight="1">
      <c r="A138" s="754"/>
      <c r="B138" s="823" t="s">
        <v>566</v>
      </c>
      <c r="C138" s="1178" t="s">
        <v>1243</v>
      </c>
      <c r="D138" s="1009"/>
      <c r="E138" s="1009"/>
      <c r="F138" s="1009"/>
      <c r="G138" s="1009"/>
      <c r="H138" s="1009"/>
      <c r="I138" s="1010"/>
      <c r="J138" s="814">
        <f>ROUND(((3/30)/12)*(J129),2)</f>
        <v>28.69</v>
      </c>
      <c r="K138" s="809"/>
    </row>
    <row r="139" spans="1:11" ht="19.5" customHeight="1">
      <c r="A139" s="754"/>
      <c r="B139" s="1204" t="s">
        <v>594</v>
      </c>
      <c r="C139" s="1009"/>
      <c r="D139" s="1009"/>
      <c r="E139" s="1009"/>
      <c r="F139" s="1009"/>
      <c r="G139" s="1009"/>
      <c r="H139" s="1009"/>
      <c r="I139" s="1010"/>
      <c r="J139" s="808">
        <f>SUM(J133:J138)</f>
        <v>313.70446666666675</v>
      </c>
      <c r="K139" s="809"/>
    </row>
    <row r="140" spans="1:11" ht="9.75" customHeight="1">
      <c r="A140" s="754"/>
      <c r="B140" s="1186"/>
      <c r="C140" s="1009"/>
      <c r="D140" s="1009"/>
      <c r="E140" s="1009"/>
      <c r="F140" s="1009"/>
      <c r="G140" s="1009"/>
      <c r="H140" s="1009"/>
      <c r="I140" s="1009"/>
      <c r="J140" s="1010"/>
      <c r="K140" s="844"/>
    </row>
    <row r="141" spans="1:11" ht="19.5" customHeight="1">
      <c r="A141" s="754"/>
      <c r="B141" s="1096" t="s">
        <v>658</v>
      </c>
      <c r="C141" s="1009"/>
      <c r="D141" s="1009"/>
      <c r="E141" s="1009"/>
      <c r="F141" s="1009"/>
      <c r="G141" s="1009"/>
      <c r="H141" s="1009"/>
      <c r="I141" s="1009"/>
      <c r="J141" s="1010"/>
      <c r="K141" s="646"/>
    </row>
    <row r="142" spans="1:11" ht="19.5" customHeight="1">
      <c r="A142" s="754"/>
      <c r="B142" s="705" t="s">
        <v>659</v>
      </c>
      <c r="C142" s="1097" t="s">
        <v>660</v>
      </c>
      <c r="D142" s="1009"/>
      <c r="E142" s="1009"/>
      <c r="F142" s="1009"/>
      <c r="G142" s="1009"/>
      <c r="H142" s="1009"/>
      <c r="I142" s="1010"/>
      <c r="J142" s="706" t="s">
        <v>591</v>
      </c>
      <c r="K142" s="707"/>
    </row>
    <row r="143" spans="1:11" ht="19.5" customHeight="1">
      <c r="A143" s="754"/>
      <c r="B143" s="851" t="s">
        <v>514</v>
      </c>
      <c r="C143" s="1202" t="s">
        <v>661</v>
      </c>
      <c r="D143" s="1009"/>
      <c r="E143" s="1009"/>
      <c r="F143" s="1009"/>
      <c r="G143" s="1009"/>
      <c r="H143" s="1009"/>
      <c r="I143" s="1010"/>
      <c r="J143" s="852">
        <v>0</v>
      </c>
      <c r="K143" s="853"/>
    </row>
    <row r="144" spans="1:11" ht="19.5" customHeight="1">
      <c r="A144" s="754"/>
      <c r="B144" s="1199" t="s">
        <v>594</v>
      </c>
      <c r="C144" s="1009"/>
      <c r="D144" s="1009"/>
      <c r="E144" s="1009"/>
      <c r="F144" s="1009"/>
      <c r="G144" s="1009"/>
      <c r="H144" s="1009"/>
      <c r="I144" s="1010"/>
      <c r="J144" s="854">
        <v>0</v>
      </c>
      <c r="K144" s="853"/>
    </row>
    <row r="145" spans="1:11" ht="12" customHeight="1">
      <c r="A145" s="754"/>
      <c r="B145" s="1200"/>
      <c r="C145" s="1009"/>
      <c r="D145" s="1009"/>
      <c r="E145" s="1009"/>
      <c r="F145" s="1009"/>
      <c r="G145" s="1009"/>
      <c r="H145" s="1009"/>
      <c r="I145" s="1009"/>
      <c r="J145" s="1010"/>
      <c r="K145" s="855"/>
    </row>
    <row r="146" spans="1:11" ht="19.5" customHeight="1">
      <c r="A146" s="754"/>
      <c r="B146" s="1201" t="s">
        <v>662</v>
      </c>
      <c r="C146" s="1009"/>
      <c r="D146" s="1009"/>
      <c r="E146" s="1009"/>
      <c r="F146" s="1009"/>
      <c r="G146" s="1009"/>
      <c r="H146" s="1009"/>
      <c r="I146" s="1009"/>
      <c r="J146" s="1010"/>
      <c r="K146" s="805"/>
    </row>
    <row r="147" spans="1:11" ht="19.5" customHeight="1">
      <c r="A147" s="754"/>
      <c r="B147" s="657">
        <v>4</v>
      </c>
      <c r="C147" s="1097" t="s">
        <v>663</v>
      </c>
      <c r="D147" s="1009"/>
      <c r="E147" s="1009"/>
      <c r="F147" s="1009"/>
      <c r="G147" s="1009"/>
      <c r="H147" s="1009"/>
      <c r="I147" s="1010"/>
      <c r="J147" s="706" t="s">
        <v>591</v>
      </c>
      <c r="K147" s="707"/>
    </row>
    <row r="148" spans="1:11" ht="28.5" customHeight="1">
      <c r="A148" s="754"/>
      <c r="B148" s="769" t="s">
        <v>650</v>
      </c>
      <c r="C148" s="1202" t="s">
        <v>651</v>
      </c>
      <c r="D148" s="1009"/>
      <c r="E148" s="1009"/>
      <c r="F148" s="1009"/>
      <c r="G148" s="1009"/>
      <c r="H148" s="1009"/>
      <c r="I148" s="1010"/>
      <c r="J148" s="852">
        <f>J139</f>
        <v>313.70446666666675</v>
      </c>
      <c r="K148" s="853"/>
    </row>
    <row r="149" spans="1:11" ht="24" customHeight="1">
      <c r="A149" s="754"/>
      <c r="B149" s="769" t="s">
        <v>664</v>
      </c>
      <c r="C149" s="1202" t="s">
        <v>660</v>
      </c>
      <c r="D149" s="1009"/>
      <c r="E149" s="1009"/>
      <c r="F149" s="1009"/>
      <c r="G149" s="1009"/>
      <c r="H149" s="1009"/>
      <c r="I149" s="1010"/>
      <c r="J149" s="852">
        <f>J144</f>
        <v>0</v>
      </c>
      <c r="K149" s="853"/>
    </row>
    <row r="150" spans="1:11" ht="24" customHeight="1">
      <c r="A150" s="754"/>
      <c r="B150" s="1261" t="s">
        <v>594</v>
      </c>
      <c r="C150" s="1009"/>
      <c r="D150" s="1009"/>
      <c r="E150" s="1009"/>
      <c r="F150" s="1009"/>
      <c r="G150" s="1009"/>
      <c r="H150" s="1009"/>
      <c r="I150" s="1010"/>
      <c r="J150" s="854">
        <f>SUM(J148+J149)</f>
        <v>313.70446666666675</v>
      </c>
      <c r="K150" s="853"/>
    </row>
    <row r="151" spans="1:11" ht="10.5" customHeight="1">
      <c r="A151" s="754"/>
      <c r="B151" s="1200"/>
      <c r="C151" s="1009"/>
      <c r="D151" s="1009"/>
      <c r="E151" s="1009"/>
      <c r="F151" s="1009"/>
      <c r="G151" s="1009"/>
      <c r="H151" s="1009"/>
      <c r="I151" s="1009"/>
      <c r="J151" s="1010"/>
      <c r="K151" s="855"/>
    </row>
    <row r="152" spans="1:11" ht="15.75" customHeight="1">
      <c r="A152" s="754"/>
      <c r="B152" s="1187" t="s">
        <v>665</v>
      </c>
      <c r="C152" s="1009"/>
      <c r="D152" s="1009"/>
      <c r="E152" s="1009"/>
      <c r="F152" s="1009"/>
      <c r="G152" s="1009"/>
      <c r="H152" s="1009"/>
      <c r="I152" s="1009"/>
      <c r="J152" s="1010"/>
      <c r="K152" s="845"/>
    </row>
    <row r="153" spans="1:11" ht="15.75" customHeight="1">
      <c r="A153" s="754"/>
      <c r="B153" s="669">
        <v>3</v>
      </c>
      <c r="C153" s="1083" t="s">
        <v>666</v>
      </c>
      <c r="D153" s="1009"/>
      <c r="E153" s="1009"/>
      <c r="F153" s="1009"/>
      <c r="G153" s="1009"/>
      <c r="H153" s="1009"/>
      <c r="I153" s="1010"/>
      <c r="J153" s="669" t="s">
        <v>591</v>
      </c>
      <c r="K153" s="601"/>
    </row>
    <row r="154" spans="1:11" ht="18" customHeight="1">
      <c r="A154" s="754"/>
      <c r="B154" s="823" t="s">
        <v>514</v>
      </c>
      <c r="C154" s="1178" t="s">
        <v>769</v>
      </c>
      <c r="D154" s="1009"/>
      <c r="E154" s="1009"/>
      <c r="F154" s="1009"/>
      <c r="G154" s="1009"/>
      <c r="H154" s="1009"/>
      <c r="I154" s="1010"/>
      <c r="J154" s="814">
        <v>0</v>
      </c>
      <c r="K154" s="809"/>
    </row>
    <row r="155" spans="1:11" ht="15.75" customHeight="1">
      <c r="A155" s="754"/>
      <c r="B155" s="823" t="s">
        <v>516</v>
      </c>
      <c r="C155" s="1178" t="s">
        <v>770</v>
      </c>
      <c r="D155" s="1009"/>
      <c r="E155" s="1009"/>
      <c r="F155" s="1009"/>
      <c r="G155" s="1009"/>
      <c r="H155" s="1009"/>
      <c r="I155" s="1010"/>
      <c r="J155" s="834">
        <v>0</v>
      </c>
      <c r="K155" s="835"/>
    </row>
    <row r="156" spans="1:11" ht="15.75" customHeight="1">
      <c r="A156" s="754"/>
      <c r="B156" s="823" t="s">
        <v>518</v>
      </c>
      <c r="C156" s="1178" t="s">
        <v>668</v>
      </c>
      <c r="D156" s="1009"/>
      <c r="E156" s="1009"/>
      <c r="F156" s="1009"/>
      <c r="G156" s="1009"/>
      <c r="H156" s="1009"/>
      <c r="I156" s="1010"/>
      <c r="J156" s="834" t="s">
        <v>669</v>
      </c>
      <c r="K156" s="835"/>
    </row>
    <row r="157" spans="1:11" ht="19.5" customHeight="1">
      <c r="A157" s="754"/>
      <c r="B157" s="1204" t="s">
        <v>670</v>
      </c>
      <c r="C157" s="1009"/>
      <c r="D157" s="1009"/>
      <c r="E157" s="1009"/>
      <c r="F157" s="1009"/>
      <c r="G157" s="1009"/>
      <c r="H157" s="1009"/>
      <c r="I157" s="1010"/>
      <c r="J157" s="857">
        <f>ROUND(SUM(J154:J156),2)</f>
        <v>0</v>
      </c>
      <c r="K157" s="835"/>
    </row>
    <row r="158" spans="1:11" ht="15.75" customHeight="1">
      <c r="A158" s="754"/>
      <c r="B158" s="1267"/>
      <c r="C158" s="1009"/>
      <c r="D158" s="1009"/>
      <c r="E158" s="1009"/>
      <c r="F158" s="1009"/>
      <c r="G158" s="1009"/>
      <c r="H158" s="1009"/>
      <c r="I158" s="1009"/>
      <c r="J158" s="1010"/>
      <c r="K158" s="858"/>
    </row>
    <row r="159" spans="1:11" ht="27.75" customHeight="1">
      <c r="A159" s="754"/>
      <c r="B159" s="1268" t="s">
        <v>671</v>
      </c>
      <c r="C159" s="1009"/>
      <c r="D159" s="1009"/>
      <c r="E159" s="1009"/>
      <c r="F159" s="1009"/>
      <c r="G159" s="1009"/>
      <c r="H159" s="1009"/>
      <c r="I159" s="1009"/>
      <c r="J159" s="1010"/>
      <c r="K159" s="859"/>
    </row>
    <row r="160" spans="1:11" ht="19.5" customHeight="1">
      <c r="A160" s="754"/>
      <c r="B160" s="860"/>
      <c r="C160" s="714"/>
      <c r="D160" s="714"/>
      <c r="E160" s="714"/>
      <c r="F160" s="714"/>
      <c r="G160" s="714"/>
      <c r="H160" s="714"/>
      <c r="I160" s="714"/>
      <c r="J160" s="715"/>
      <c r="K160" s="329"/>
    </row>
    <row r="161" spans="1:11" ht="24" customHeight="1">
      <c r="A161" s="754"/>
      <c r="B161" s="1252" t="s">
        <v>672</v>
      </c>
      <c r="C161" s="1009"/>
      <c r="D161" s="1009"/>
      <c r="E161" s="1009"/>
      <c r="F161" s="1009"/>
      <c r="G161" s="1009"/>
      <c r="H161" s="1009"/>
      <c r="I161" s="1009"/>
      <c r="J161" s="1010"/>
      <c r="K161" s="842"/>
    </row>
    <row r="162" spans="1:11" ht="18.75" customHeight="1">
      <c r="A162" s="754"/>
      <c r="B162" s="669">
        <v>6</v>
      </c>
      <c r="C162" s="1162" t="s">
        <v>673</v>
      </c>
      <c r="D162" s="1009"/>
      <c r="E162" s="1009"/>
      <c r="F162" s="1009"/>
      <c r="G162" s="1009"/>
      <c r="H162" s="1010"/>
      <c r="I162" s="861" t="s">
        <v>556</v>
      </c>
      <c r="J162" s="716" t="s">
        <v>599</v>
      </c>
      <c r="K162" s="717"/>
    </row>
    <row r="163" spans="1:11" ht="57" customHeight="1">
      <c r="A163" s="754"/>
      <c r="B163" s="1229" t="s">
        <v>674</v>
      </c>
      <c r="C163" s="1009"/>
      <c r="D163" s="1009"/>
      <c r="E163" s="1009"/>
      <c r="F163" s="1009"/>
      <c r="G163" s="1009"/>
      <c r="H163" s="1010"/>
      <c r="I163" s="355" t="s">
        <v>527</v>
      </c>
      <c r="J163" s="862">
        <f>SUM(J63+J115+J124+J150+J157)</f>
        <v>3801.1294666666668</v>
      </c>
      <c r="K163" s="863"/>
    </row>
    <row r="164" spans="1:11" ht="27" customHeight="1">
      <c r="A164" s="754"/>
      <c r="B164" s="823" t="s">
        <v>514</v>
      </c>
      <c r="C164" s="1109" t="s">
        <v>675</v>
      </c>
      <c r="D164" s="1009"/>
      <c r="E164" s="1009"/>
      <c r="F164" s="1009"/>
      <c r="G164" s="1009"/>
      <c r="H164" s="1010"/>
      <c r="I164" s="813">
        <f>'1-ABA-DE-CARREGAMENTO'!L85</f>
        <v>0.06</v>
      </c>
      <c r="J164" s="814">
        <f>ROUND(I164*J163,2)</f>
        <v>228.07</v>
      </c>
      <c r="K164" s="809"/>
    </row>
    <row r="165" spans="1:11" ht="51" customHeight="1">
      <c r="A165" s="754"/>
      <c r="B165" s="1229" t="s">
        <v>676</v>
      </c>
      <c r="C165" s="1009"/>
      <c r="D165" s="1009"/>
      <c r="E165" s="1009"/>
      <c r="F165" s="1009"/>
      <c r="G165" s="1009"/>
      <c r="H165" s="1010"/>
      <c r="I165" s="864" t="s">
        <v>527</v>
      </c>
      <c r="J165" s="862">
        <f>SUM(J63+J115+J124+J150+J157+J164)</f>
        <v>4029.1994666666669</v>
      </c>
      <c r="K165" s="863"/>
    </row>
    <row r="166" spans="1:11" ht="19.5" customHeight="1">
      <c r="A166" s="754"/>
      <c r="B166" s="823" t="s">
        <v>516</v>
      </c>
      <c r="C166" s="1109" t="s">
        <v>312</v>
      </c>
      <c r="D166" s="1009"/>
      <c r="E166" s="1009"/>
      <c r="F166" s="1009"/>
      <c r="G166" s="1009"/>
      <c r="H166" s="1010"/>
      <c r="I166" s="813">
        <f>'1-ABA-DE-CARREGAMENTO'!L86</f>
        <v>0.06</v>
      </c>
      <c r="J166" s="814">
        <f>ROUND(I166*J165,2)</f>
        <v>241.75</v>
      </c>
      <c r="K166" s="809"/>
    </row>
    <row r="167" spans="1:11" ht="57" customHeight="1">
      <c r="A167" s="754"/>
      <c r="B167" s="1229" t="s">
        <v>677</v>
      </c>
      <c r="C167" s="1009"/>
      <c r="D167" s="1009"/>
      <c r="E167" s="1009"/>
      <c r="F167" s="1009"/>
      <c r="G167" s="1009"/>
      <c r="H167" s="1010"/>
      <c r="I167" s="864" t="s">
        <v>527</v>
      </c>
      <c r="J167" s="862">
        <f>SUM(J163+J164+J166)</f>
        <v>4270.9494666666669</v>
      </c>
      <c r="K167" s="863"/>
    </row>
    <row r="168" spans="1:11" ht="18.75" customHeight="1">
      <c r="A168" s="754"/>
      <c r="B168" s="865" t="s">
        <v>518</v>
      </c>
      <c r="C168" s="1252" t="s">
        <v>678</v>
      </c>
      <c r="D168" s="1009"/>
      <c r="E168" s="1009"/>
      <c r="F168" s="1009"/>
      <c r="G168" s="1009"/>
      <c r="H168" s="1010"/>
      <c r="I168" s="792" t="s">
        <v>527</v>
      </c>
      <c r="J168" s="798" t="s">
        <v>527</v>
      </c>
      <c r="K168" s="799"/>
    </row>
    <row r="169" spans="1:11" ht="12" customHeight="1">
      <c r="A169" s="754"/>
      <c r="B169" s="823"/>
      <c r="C169" s="1212" t="s">
        <v>679</v>
      </c>
      <c r="D169" s="1009"/>
      <c r="E169" s="1009"/>
      <c r="F169" s="1009"/>
      <c r="G169" s="1009"/>
      <c r="H169" s="1010"/>
      <c r="I169" s="792" t="s">
        <v>527</v>
      </c>
      <c r="J169" s="798" t="s">
        <v>527</v>
      </c>
      <c r="K169" s="799"/>
    </row>
    <row r="170" spans="1:11" ht="24" customHeight="1">
      <c r="A170" s="754"/>
      <c r="B170" s="823"/>
      <c r="C170" s="1099" t="s">
        <v>1244</v>
      </c>
      <c r="D170" s="1009"/>
      <c r="E170" s="1009"/>
      <c r="F170" s="1009"/>
      <c r="G170" s="1009"/>
      <c r="H170" s="1010"/>
      <c r="I170" s="866">
        <f>'1-ABA-DE-CARREGAMENTO'!E28</f>
        <v>1.6500000000000001E-2</v>
      </c>
      <c r="J170" s="867">
        <f t="shared" ref="J170:J171" si="1">ROUND(($J$167/(1-$I$179))*I170,2)</f>
        <v>81.23</v>
      </c>
      <c r="K170" s="868"/>
    </row>
    <row r="171" spans="1:11" ht="24" customHeight="1">
      <c r="A171" s="754"/>
      <c r="B171" s="823"/>
      <c r="C171" s="1099" t="s">
        <v>1245</v>
      </c>
      <c r="D171" s="1009"/>
      <c r="E171" s="1009"/>
      <c r="F171" s="1009"/>
      <c r="G171" s="1009"/>
      <c r="H171" s="1010"/>
      <c r="I171" s="866">
        <f>'1-ABA-DE-CARREGAMENTO'!F28</f>
        <v>7.5999999999999998E-2</v>
      </c>
      <c r="J171" s="867">
        <f t="shared" si="1"/>
        <v>374.17</v>
      </c>
      <c r="K171" s="868"/>
    </row>
    <row r="172" spans="1:11" ht="28.5" customHeight="1">
      <c r="A172" s="754"/>
      <c r="B172" s="823"/>
      <c r="C172" s="1178" t="s">
        <v>1246</v>
      </c>
      <c r="D172" s="1009"/>
      <c r="E172" s="1009"/>
      <c r="F172" s="1009"/>
      <c r="G172" s="1009"/>
      <c r="H172" s="1010"/>
      <c r="I172" s="869" t="s">
        <v>527</v>
      </c>
      <c r="J172" s="798" t="s">
        <v>527</v>
      </c>
      <c r="K172" s="799"/>
    </row>
    <row r="173" spans="1:11" ht="28.5" customHeight="1">
      <c r="A173" s="754"/>
      <c r="B173" s="823"/>
      <c r="C173" s="1178" t="s">
        <v>1247</v>
      </c>
      <c r="D173" s="1009"/>
      <c r="E173" s="1009"/>
      <c r="F173" s="1009"/>
      <c r="G173" s="1009"/>
      <c r="H173" s="1010"/>
      <c r="I173" s="869" t="s">
        <v>527</v>
      </c>
      <c r="J173" s="798" t="s">
        <v>527</v>
      </c>
      <c r="K173" s="799"/>
    </row>
    <row r="174" spans="1:11" ht="15.75" customHeight="1">
      <c r="A174" s="754"/>
      <c r="B174" s="823"/>
      <c r="C174" s="1178" t="s">
        <v>684</v>
      </c>
      <c r="D174" s="1009"/>
      <c r="E174" s="1009"/>
      <c r="F174" s="1009"/>
      <c r="G174" s="1009"/>
      <c r="H174" s="1009"/>
      <c r="I174" s="870" t="s">
        <v>527</v>
      </c>
      <c r="J174" s="871" t="s">
        <v>527</v>
      </c>
      <c r="K174" s="872"/>
    </row>
    <row r="175" spans="1:11" ht="15.75" customHeight="1">
      <c r="A175" s="754"/>
      <c r="B175" s="823"/>
      <c r="C175" s="1178" t="s">
        <v>685</v>
      </c>
      <c r="D175" s="1009"/>
      <c r="E175" s="1009"/>
      <c r="F175" s="1009"/>
      <c r="G175" s="1009"/>
      <c r="H175" s="1009"/>
      <c r="I175" s="870" t="s">
        <v>527</v>
      </c>
      <c r="J175" s="871" t="s">
        <v>527</v>
      </c>
      <c r="K175" s="872"/>
    </row>
    <row r="176" spans="1:11" ht="15.75" customHeight="1">
      <c r="A176" s="754"/>
      <c r="B176" s="823"/>
      <c r="C176" s="1178" t="s">
        <v>1248</v>
      </c>
      <c r="D176" s="1009"/>
      <c r="E176" s="1009"/>
      <c r="F176" s="1009"/>
      <c r="G176" s="1009"/>
      <c r="H176" s="1010"/>
      <c r="I176" s="873">
        <f>'1-ABA-DE-CARREGAMENTO'!D87</f>
        <v>0.04</v>
      </c>
      <c r="J176" s="867">
        <f>ROUND(($J$167/(1-$I$179))*I176,2)</f>
        <v>196.93</v>
      </c>
      <c r="K176" s="868"/>
    </row>
    <row r="177" spans="1:11" ht="15.75" customHeight="1">
      <c r="A177" s="754"/>
      <c r="B177" s="1204" t="s">
        <v>641</v>
      </c>
      <c r="C177" s="1009"/>
      <c r="D177" s="1009"/>
      <c r="E177" s="1009"/>
      <c r="F177" s="1009"/>
      <c r="G177" s="1009"/>
      <c r="H177" s="1009"/>
      <c r="I177" s="1010"/>
      <c r="J177" s="808">
        <f>SUM(J164+J166+J170+J171+J176)</f>
        <v>1122.1500000000001</v>
      </c>
      <c r="K177" s="809"/>
    </row>
    <row r="178" spans="1:11" ht="15.75" customHeight="1">
      <c r="A178" s="754"/>
      <c r="B178" s="1186"/>
      <c r="C178" s="1009"/>
      <c r="D178" s="1009"/>
      <c r="E178" s="1009"/>
      <c r="F178" s="1009"/>
      <c r="G178" s="1009"/>
      <c r="H178" s="1009"/>
      <c r="I178" s="1009"/>
      <c r="J178" s="1010"/>
      <c r="K178" s="844"/>
    </row>
    <row r="179" spans="1:11" ht="15.75" customHeight="1">
      <c r="A179" s="754"/>
      <c r="B179" s="1205" t="s">
        <v>687</v>
      </c>
      <c r="C179" s="1009"/>
      <c r="D179" s="1009"/>
      <c r="E179" s="1009"/>
      <c r="F179" s="1009"/>
      <c r="G179" s="1009"/>
      <c r="H179" s="1010"/>
      <c r="I179" s="874">
        <f t="shared" ref="I179:J179" si="2">SUM(I170:I176)</f>
        <v>0.13250000000000001</v>
      </c>
      <c r="J179" s="862">
        <f t="shared" si="2"/>
        <v>652.33000000000004</v>
      </c>
      <c r="K179" s="863"/>
    </row>
    <row r="180" spans="1:11" ht="15.75" customHeight="1">
      <c r="A180" s="754"/>
      <c r="B180" s="1206" t="s">
        <v>688</v>
      </c>
      <c r="C180" s="1023"/>
      <c r="D180" s="1207" t="s">
        <v>689</v>
      </c>
      <c r="E180" s="1023"/>
      <c r="F180" s="1023"/>
      <c r="G180" s="1023"/>
      <c r="H180" s="1023"/>
      <c r="I180" s="1023"/>
      <c r="J180" s="1040"/>
      <c r="K180" s="875"/>
    </row>
    <row r="181" spans="1:11" ht="15.75" customHeight="1">
      <c r="A181" s="754"/>
      <c r="B181" s="1102"/>
      <c r="C181" s="1023"/>
      <c r="D181" s="1208" t="s">
        <v>690</v>
      </c>
      <c r="E181" s="1023"/>
      <c r="F181" s="1023"/>
      <c r="G181" s="1023"/>
      <c r="H181" s="1023"/>
      <c r="I181" s="1023"/>
      <c r="J181" s="1040"/>
      <c r="K181" s="876"/>
    </row>
    <row r="182" spans="1:11" ht="15.75" customHeight="1">
      <c r="A182" s="754"/>
      <c r="B182" s="1103"/>
      <c r="C182" s="1060"/>
      <c r="D182" s="1209" t="s">
        <v>691</v>
      </c>
      <c r="E182" s="1060"/>
      <c r="F182" s="1060"/>
      <c r="G182" s="1060"/>
      <c r="H182" s="1060"/>
      <c r="I182" s="1060"/>
      <c r="J182" s="1062"/>
      <c r="K182" s="875"/>
    </row>
    <row r="183" spans="1:11" ht="7.5" customHeight="1">
      <c r="A183" s="754"/>
      <c r="B183" s="1210"/>
      <c r="C183" s="1009"/>
      <c r="D183" s="1009"/>
      <c r="E183" s="1009"/>
      <c r="F183" s="1009"/>
      <c r="G183" s="1009"/>
      <c r="H183" s="1009"/>
      <c r="I183" s="1009"/>
      <c r="J183" s="1010"/>
      <c r="K183" s="877"/>
    </row>
    <row r="184" spans="1:11" ht="22.5" customHeight="1">
      <c r="A184" s="754"/>
      <c r="B184" s="1211" t="s">
        <v>692</v>
      </c>
      <c r="C184" s="1009"/>
      <c r="D184" s="1009"/>
      <c r="E184" s="1009"/>
      <c r="F184" s="1009"/>
      <c r="G184" s="1009"/>
      <c r="H184" s="1009"/>
      <c r="I184" s="1009"/>
      <c r="J184" s="1010"/>
      <c r="K184" s="766"/>
    </row>
    <row r="185" spans="1:11" ht="10.5" customHeight="1">
      <c r="A185" s="754"/>
      <c r="B185" s="1186"/>
      <c r="C185" s="1009"/>
      <c r="D185" s="1009"/>
      <c r="E185" s="1009"/>
      <c r="F185" s="1009"/>
      <c r="G185" s="1009"/>
      <c r="H185" s="1009"/>
      <c r="I185" s="1009"/>
      <c r="J185" s="1010"/>
      <c r="K185" s="844"/>
    </row>
    <row r="186" spans="1:11" ht="15.75" customHeight="1">
      <c r="A186" s="754"/>
      <c r="B186" s="1187" t="s">
        <v>1249</v>
      </c>
      <c r="C186" s="1009"/>
      <c r="D186" s="1009"/>
      <c r="E186" s="1009"/>
      <c r="F186" s="1009"/>
      <c r="G186" s="1009"/>
      <c r="H186" s="1009"/>
      <c r="I186" s="1009"/>
      <c r="J186" s="1010"/>
      <c r="K186" s="845"/>
    </row>
    <row r="187" spans="1:11" ht="15.75" customHeight="1">
      <c r="A187" s="754"/>
      <c r="B187" s="1086" t="s">
        <v>694</v>
      </c>
      <c r="C187" s="1009"/>
      <c r="D187" s="1009"/>
      <c r="E187" s="1009"/>
      <c r="F187" s="1009"/>
      <c r="G187" s="1009"/>
      <c r="H187" s="1009"/>
      <c r="I187" s="1010"/>
      <c r="J187" s="861" t="s">
        <v>591</v>
      </c>
      <c r="K187" s="763"/>
    </row>
    <row r="188" spans="1:11" ht="15.75" customHeight="1">
      <c r="A188" s="754"/>
      <c r="B188" s="878" t="s">
        <v>514</v>
      </c>
      <c r="C188" s="1181" t="s">
        <v>695</v>
      </c>
      <c r="D188" s="1009"/>
      <c r="E188" s="1009"/>
      <c r="F188" s="1009"/>
      <c r="G188" s="1009"/>
      <c r="H188" s="1009"/>
      <c r="I188" s="1009"/>
      <c r="J188" s="834">
        <f>J63</f>
        <v>2179.5950000000003</v>
      </c>
      <c r="K188" s="835"/>
    </row>
    <row r="189" spans="1:11" ht="15.75" customHeight="1">
      <c r="A189" s="754"/>
      <c r="B189" s="878" t="s">
        <v>516</v>
      </c>
      <c r="C189" s="1181" t="s">
        <v>696</v>
      </c>
      <c r="D189" s="1009"/>
      <c r="E189" s="1009"/>
      <c r="F189" s="1009"/>
      <c r="G189" s="1009"/>
      <c r="H189" s="1009"/>
      <c r="I189" s="1009"/>
      <c r="J189" s="834">
        <f>J115</f>
        <v>1185.7199999999998</v>
      </c>
      <c r="K189" s="835"/>
    </row>
    <row r="190" spans="1:11" ht="15.75" customHeight="1">
      <c r="A190" s="754"/>
      <c r="B190" s="878" t="s">
        <v>518</v>
      </c>
      <c r="C190" s="1181" t="s">
        <v>697</v>
      </c>
      <c r="D190" s="1009"/>
      <c r="E190" s="1009"/>
      <c r="F190" s="1009"/>
      <c r="G190" s="1009"/>
      <c r="H190" s="1009"/>
      <c r="I190" s="1009"/>
      <c r="J190" s="834">
        <f>J124</f>
        <v>122.11000000000001</v>
      </c>
      <c r="K190" s="835"/>
    </row>
    <row r="191" spans="1:11" ht="15.75" customHeight="1">
      <c r="A191" s="754"/>
      <c r="B191" s="878" t="s">
        <v>520</v>
      </c>
      <c r="C191" s="1181" t="s">
        <v>698</v>
      </c>
      <c r="D191" s="1009"/>
      <c r="E191" s="1009"/>
      <c r="F191" s="1009"/>
      <c r="G191" s="1009"/>
      <c r="H191" s="1009"/>
      <c r="I191" s="1009"/>
      <c r="J191" s="834">
        <f>J150</f>
        <v>313.70446666666675</v>
      </c>
      <c r="K191" s="835"/>
    </row>
    <row r="192" spans="1:11" ht="15.75" customHeight="1">
      <c r="A192" s="754"/>
      <c r="B192" s="878" t="s">
        <v>562</v>
      </c>
      <c r="C192" s="1181" t="s">
        <v>699</v>
      </c>
      <c r="D192" s="1009"/>
      <c r="E192" s="1009"/>
      <c r="F192" s="1009"/>
      <c r="G192" s="1009"/>
      <c r="H192" s="1009"/>
      <c r="I192" s="1009"/>
      <c r="J192" s="834">
        <f>J157</f>
        <v>0</v>
      </c>
      <c r="K192" s="835"/>
    </row>
    <row r="193" spans="1:11" ht="15.75" customHeight="1">
      <c r="A193" s="754"/>
      <c r="B193" s="1182" t="s">
        <v>700</v>
      </c>
      <c r="C193" s="1009"/>
      <c r="D193" s="1009"/>
      <c r="E193" s="1009"/>
      <c r="F193" s="1009"/>
      <c r="G193" s="1009"/>
      <c r="H193" s="1009"/>
      <c r="I193" s="1030"/>
      <c r="J193" s="857">
        <f>ROUND(SUM(J188:J192),2)</f>
        <v>3801.13</v>
      </c>
      <c r="K193" s="835"/>
    </row>
    <row r="194" spans="1:11" ht="15.75" customHeight="1">
      <c r="A194" s="754"/>
      <c r="B194" s="879" t="s">
        <v>566</v>
      </c>
      <c r="C194" s="1181" t="s">
        <v>672</v>
      </c>
      <c r="D194" s="1009"/>
      <c r="E194" s="1009"/>
      <c r="F194" s="1009"/>
      <c r="G194" s="1009"/>
      <c r="H194" s="1009"/>
      <c r="I194" s="1009"/>
      <c r="J194" s="834">
        <f>J177</f>
        <v>1122.1500000000001</v>
      </c>
      <c r="K194" s="835"/>
    </row>
    <row r="195" spans="1:11" ht="15.75" customHeight="1">
      <c r="A195" s="754"/>
      <c r="B195" s="1182" t="s">
        <v>777</v>
      </c>
      <c r="C195" s="1009"/>
      <c r="D195" s="1009"/>
      <c r="E195" s="1009"/>
      <c r="F195" s="1009"/>
      <c r="G195" s="1009"/>
      <c r="H195" s="1009"/>
      <c r="I195" s="1030"/>
      <c r="J195" s="857">
        <f>J193+J194</f>
        <v>4923.2800000000007</v>
      </c>
      <c r="K195" s="835"/>
    </row>
    <row r="196" spans="1:11" ht="35.25" customHeight="1">
      <c r="A196" s="754"/>
      <c r="B196" s="1183" t="s">
        <v>702</v>
      </c>
      <c r="C196" s="1009"/>
      <c r="D196" s="1009"/>
      <c r="E196" s="1009"/>
      <c r="F196" s="1009"/>
      <c r="G196" s="1009"/>
      <c r="H196" s="1009"/>
      <c r="I196" s="1009"/>
      <c r="J196" s="1010"/>
      <c r="K196" s="880"/>
    </row>
    <row r="197" spans="1:11" ht="10.5" customHeight="1">
      <c r="A197" s="754"/>
      <c r="B197" s="1184"/>
      <c r="C197" s="1009"/>
      <c r="D197" s="1009"/>
      <c r="E197" s="1009"/>
      <c r="F197" s="1009"/>
      <c r="G197" s="1009"/>
      <c r="H197" s="1009"/>
      <c r="I197" s="1009"/>
      <c r="J197" s="1010"/>
      <c r="K197" s="881"/>
    </row>
    <row r="198" spans="1:11" ht="15.75" customHeight="1">
      <c r="A198" s="754"/>
      <c r="B198" s="882"/>
      <c r="C198" s="760"/>
      <c r="D198" s="760"/>
      <c r="E198" s="760"/>
      <c r="F198" s="760"/>
      <c r="G198" s="760"/>
      <c r="H198" s="760"/>
      <c r="I198" s="883"/>
      <c r="J198" s="884"/>
      <c r="K198" s="883"/>
    </row>
    <row r="199" spans="1:11" ht="15.75" customHeight="1">
      <c r="A199" s="754"/>
      <c r="B199" s="1082" t="s">
        <v>1135</v>
      </c>
      <c r="C199" s="1023"/>
      <c r="D199" s="1023"/>
      <c r="E199" s="1023"/>
      <c r="F199" s="1023"/>
      <c r="G199" s="1023"/>
      <c r="H199" s="1023"/>
      <c r="I199" s="1023"/>
      <c r="J199" s="1040"/>
      <c r="K199" s="594"/>
    </row>
    <row r="200" spans="1:11" ht="42" customHeight="1">
      <c r="A200" s="754"/>
      <c r="B200" s="1185" t="s">
        <v>704</v>
      </c>
      <c r="C200" s="1009"/>
      <c r="D200" s="1009"/>
      <c r="E200" s="1010"/>
      <c r="F200" s="1185" t="s">
        <v>778</v>
      </c>
      <c r="G200" s="1010"/>
      <c r="H200" s="861" t="s">
        <v>707</v>
      </c>
      <c r="I200" s="1185" t="s">
        <v>708</v>
      </c>
      <c r="J200" s="1010"/>
      <c r="K200" s="763"/>
    </row>
    <row r="201" spans="1:11" ht="39" hidden="1" customHeight="1" outlineLevel="1">
      <c r="A201" s="754"/>
      <c r="B201" s="1178" t="s">
        <v>709</v>
      </c>
      <c r="C201" s="1009"/>
      <c r="D201" s="1009"/>
      <c r="E201" s="1010"/>
      <c r="F201" s="1176">
        <v>0</v>
      </c>
      <c r="G201" s="1010"/>
      <c r="H201" s="885">
        <f t="shared" ref="H201:H202" si="3">E201*F201</f>
        <v>0</v>
      </c>
      <c r="I201" s="1176">
        <f t="shared" ref="I201:I203" si="4">F201*H201</f>
        <v>0</v>
      </c>
      <c r="J201" s="1010"/>
      <c r="K201" s="886"/>
    </row>
    <row r="202" spans="1:11" ht="39" hidden="1" customHeight="1" outlineLevel="1">
      <c r="A202" s="754"/>
      <c r="B202" s="1178" t="s">
        <v>710</v>
      </c>
      <c r="C202" s="1009"/>
      <c r="D202" s="1009"/>
      <c r="E202" s="1010"/>
      <c r="F202" s="1176">
        <v>0</v>
      </c>
      <c r="G202" s="1010"/>
      <c r="H202" s="885">
        <f t="shared" si="3"/>
        <v>0</v>
      </c>
      <c r="I202" s="1176">
        <f t="shared" si="4"/>
        <v>0</v>
      </c>
      <c r="J202" s="1010"/>
      <c r="K202" s="886"/>
    </row>
    <row r="203" spans="1:11" ht="39" customHeight="1" collapsed="1">
      <c r="A203" s="754"/>
      <c r="B203" s="1179" t="str">
        <f>B3</f>
        <v>A NÃO TEM MAIS POSTOS-77</v>
      </c>
      <c r="C203" s="1009"/>
      <c r="D203" s="1009"/>
      <c r="E203" s="1010"/>
      <c r="F203" s="1180">
        <f>J195</f>
        <v>4923.2800000000007</v>
      </c>
      <c r="G203" s="1010"/>
      <c r="H203" s="885">
        <f>I17</f>
        <v>0</v>
      </c>
      <c r="I203" s="1176">
        <f t="shared" si="4"/>
        <v>0</v>
      </c>
      <c r="J203" s="1010"/>
      <c r="K203" s="886"/>
    </row>
    <row r="204" spans="1:11" ht="39" hidden="1" customHeight="1" outlineLevel="1">
      <c r="A204" s="754"/>
      <c r="B204" s="1178" t="s">
        <v>711</v>
      </c>
      <c r="C204" s="1009"/>
      <c r="D204" s="1009"/>
      <c r="E204" s="1010"/>
      <c r="F204" s="1180">
        <v>0</v>
      </c>
      <c r="G204" s="1010"/>
      <c r="H204" s="885">
        <f t="shared" ref="H204:I204" si="5">E204*G204</f>
        <v>0</v>
      </c>
      <c r="I204" s="1176">
        <f t="shared" si="5"/>
        <v>0</v>
      </c>
      <c r="J204" s="1010"/>
      <c r="K204" s="886"/>
    </row>
    <row r="205" spans="1:11" ht="39" hidden="1" customHeight="1" outlineLevel="1">
      <c r="A205" s="754"/>
      <c r="B205" s="1178" t="s">
        <v>712</v>
      </c>
      <c r="C205" s="1009"/>
      <c r="D205" s="1009"/>
      <c r="E205" s="1010"/>
      <c r="F205" s="1180">
        <v>0</v>
      </c>
      <c r="G205" s="1010"/>
      <c r="H205" s="885">
        <f t="shared" ref="H205:I205" si="6">E205*G205</f>
        <v>0</v>
      </c>
      <c r="I205" s="1176">
        <f t="shared" si="6"/>
        <v>0</v>
      </c>
      <c r="J205" s="1010"/>
      <c r="K205" s="886"/>
    </row>
    <row r="206" spans="1:11" ht="39" hidden="1" customHeight="1" outlineLevel="1">
      <c r="A206" s="754"/>
      <c r="B206" s="1203" t="s">
        <v>1250</v>
      </c>
      <c r="C206" s="1009"/>
      <c r="D206" s="1009"/>
      <c r="E206" s="1010"/>
      <c r="F206" s="1176">
        <v>0</v>
      </c>
      <c r="G206" s="1010"/>
      <c r="H206" s="885">
        <f t="shared" ref="H206:I206" si="7">E206*G206</f>
        <v>0</v>
      </c>
      <c r="I206" s="1176">
        <f t="shared" si="7"/>
        <v>0</v>
      </c>
      <c r="J206" s="1010"/>
      <c r="K206" s="886"/>
    </row>
    <row r="207" spans="1:11" ht="15.75" customHeight="1" collapsed="1">
      <c r="A207" s="754"/>
      <c r="B207" s="1188" t="s">
        <v>714</v>
      </c>
      <c r="C207" s="1009"/>
      <c r="D207" s="1009"/>
      <c r="E207" s="1009"/>
      <c r="F207" s="1009"/>
      <c r="G207" s="1010"/>
      <c r="H207" s="887">
        <f>SUM(H201:H206)</f>
        <v>0</v>
      </c>
      <c r="I207" s="1177">
        <f>SUM(I201:J206)</f>
        <v>0</v>
      </c>
      <c r="J207" s="1010"/>
      <c r="K207" s="888"/>
    </row>
    <row r="208" spans="1:11" ht="9" customHeight="1">
      <c r="A208" s="754"/>
      <c r="B208" s="1189"/>
      <c r="C208" s="1092"/>
      <c r="D208" s="1092"/>
      <c r="E208" s="1092"/>
      <c r="F208" s="1092"/>
      <c r="G208" s="1092"/>
      <c r="H208" s="1092"/>
      <c r="I208" s="1092"/>
      <c r="J208" s="1093"/>
      <c r="K208" s="844"/>
    </row>
    <row r="209" spans="1:11" ht="15.75" customHeight="1">
      <c r="A209" s="754"/>
      <c r="B209" s="1190" t="s">
        <v>715</v>
      </c>
      <c r="C209" s="1060"/>
      <c r="D209" s="1060"/>
      <c r="E209" s="1060"/>
      <c r="F209" s="1060"/>
      <c r="G209" s="1060"/>
      <c r="H209" s="1060"/>
      <c r="I209" s="1060"/>
      <c r="J209" s="1062"/>
      <c r="K209" s="766"/>
    </row>
    <row r="210" spans="1:11" ht="9" customHeight="1">
      <c r="A210" s="754"/>
      <c r="B210" s="1194"/>
      <c r="C210" s="1009"/>
      <c r="D210" s="1009"/>
      <c r="E210" s="1009"/>
      <c r="F210" s="1009"/>
      <c r="G210" s="1009"/>
      <c r="H210" s="1009"/>
      <c r="I210" s="1009"/>
      <c r="J210" s="1010"/>
      <c r="K210" s="889"/>
    </row>
    <row r="211" spans="1:11" ht="15.75" customHeight="1">
      <c r="A211" s="754"/>
      <c r="B211" s="1191" t="s">
        <v>716</v>
      </c>
      <c r="C211" s="1009"/>
      <c r="D211" s="1009"/>
      <c r="E211" s="1009"/>
      <c r="F211" s="1009"/>
      <c r="G211" s="1010"/>
      <c r="H211" s="1195">
        <f>$I$207</f>
        <v>0</v>
      </c>
      <c r="I211" s="1009"/>
      <c r="J211" s="1010"/>
      <c r="K211" s="890"/>
    </row>
    <row r="212" spans="1:11" ht="9" customHeight="1">
      <c r="A212" s="754"/>
      <c r="B212" s="1196"/>
      <c r="C212" s="1015"/>
      <c r="D212" s="1015"/>
      <c r="E212" s="1015"/>
      <c r="F212" s="1015"/>
      <c r="G212" s="1015"/>
      <c r="H212" s="1015"/>
      <c r="I212" s="1015"/>
      <c r="J212" s="1075"/>
      <c r="K212" s="891"/>
    </row>
    <row r="213" spans="1:11" ht="15.75" customHeight="1">
      <c r="A213" s="754"/>
      <c r="B213" s="1191" t="s">
        <v>717</v>
      </c>
      <c r="C213" s="1009"/>
      <c r="D213" s="1009"/>
      <c r="E213" s="1009"/>
      <c r="F213" s="1009"/>
      <c r="G213" s="1010"/>
      <c r="H213" s="1197">
        <f>$I$11</f>
        <v>30</v>
      </c>
      <c r="I213" s="1009"/>
      <c r="J213" s="1010"/>
      <c r="K213" s="892"/>
    </row>
    <row r="214" spans="1:11" ht="9" customHeight="1">
      <c r="A214" s="754"/>
      <c r="B214" s="1198"/>
      <c r="C214" s="1009"/>
      <c r="D214" s="1009"/>
      <c r="E214" s="1009"/>
      <c r="F214" s="1009"/>
      <c r="G214" s="1009"/>
      <c r="H214" s="1009"/>
      <c r="I214" s="1009"/>
      <c r="J214" s="1010"/>
      <c r="K214" s="893"/>
    </row>
    <row r="215" spans="1:11" ht="15.75" customHeight="1">
      <c r="A215" s="754"/>
      <c r="B215" s="1191" t="s">
        <v>1251</v>
      </c>
      <c r="C215" s="1009"/>
      <c r="D215" s="1009"/>
      <c r="E215" s="1009"/>
      <c r="F215" s="1009"/>
      <c r="G215" s="1010"/>
      <c r="H215" s="1192">
        <f>ROUND(H211*H213,2)</f>
        <v>0</v>
      </c>
      <c r="I215" s="1009"/>
      <c r="J215" s="1010"/>
      <c r="K215" s="894"/>
    </row>
    <row r="216" spans="1:11" ht="9" customHeight="1">
      <c r="A216" s="754"/>
      <c r="B216" s="1193"/>
      <c r="C216" s="1009"/>
      <c r="D216" s="1009"/>
      <c r="E216" s="1009"/>
      <c r="F216" s="1009"/>
      <c r="G216" s="1009"/>
      <c r="H216" s="1009"/>
      <c r="I216" s="1009"/>
      <c r="J216" s="1010"/>
      <c r="K216" s="760"/>
    </row>
    <row r="217" spans="1:11" ht="15.75" customHeight="1">
      <c r="A217" s="754"/>
      <c r="B217" s="754"/>
      <c r="C217" s="754"/>
      <c r="D217" s="754"/>
      <c r="E217" s="754"/>
      <c r="F217" s="754"/>
      <c r="G217" s="754"/>
      <c r="H217" s="754"/>
      <c r="I217" s="754"/>
      <c r="J217" s="754"/>
      <c r="K217" s="754"/>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47:I147"/>
    <mergeCell ref="C148:I148"/>
    <mergeCell ref="C149:I149"/>
    <mergeCell ref="B150:I150"/>
    <mergeCell ref="B151:J151"/>
    <mergeCell ref="B152:J152"/>
    <mergeCell ref="C153:I153"/>
    <mergeCell ref="C154:I154"/>
    <mergeCell ref="C155:I155"/>
    <mergeCell ref="C156:I156"/>
    <mergeCell ref="B157:I157"/>
    <mergeCell ref="B158:J158"/>
    <mergeCell ref="B159:J159"/>
    <mergeCell ref="B161:J161"/>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C104:I104"/>
    <mergeCell ref="C105:I105"/>
    <mergeCell ref="C106:I106"/>
    <mergeCell ref="B107:J107"/>
    <mergeCell ref="B108:J108"/>
    <mergeCell ref="B109:J109"/>
    <mergeCell ref="B110:J110"/>
    <mergeCell ref="C111:I111"/>
    <mergeCell ref="C112:I112"/>
    <mergeCell ref="C113:I113"/>
    <mergeCell ref="C114:I114"/>
    <mergeCell ref="B115:I115"/>
    <mergeCell ref="B116:J116"/>
    <mergeCell ref="B117:J117"/>
    <mergeCell ref="C118:I118"/>
    <mergeCell ref="C119:I119"/>
    <mergeCell ref="C120:I120"/>
    <mergeCell ref="C121:I121"/>
    <mergeCell ref="C122:I122"/>
    <mergeCell ref="C123:H123"/>
    <mergeCell ref="B124:I124"/>
    <mergeCell ref="B125:J125"/>
    <mergeCell ref="B126:J126"/>
    <mergeCell ref="B127:J12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36:H36"/>
    <mergeCell ref="I36:J36"/>
    <mergeCell ref="C37:H37"/>
    <mergeCell ref="I37:J37"/>
    <mergeCell ref="C38:H38"/>
    <mergeCell ref="I38:J38"/>
    <mergeCell ref="I39:J39"/>
    <mergeCell ref="C39:H39"/>
    <mergeCell ref="C40:H40"/>
    <mergeCell ref="I40:J40"/>
    <mergeCell ref="C57:I57"/>
    <mergeCell ref="B58:I58"/>
    <mergeCell ref="C59:I59"/>
    <mergeCell ref="C60:I60"/>
    <mergeCell ref="B61:I61"/>
    <mergeCell ref="B62:J62"/>
    <mergeCell ref="B63:I63"/>
    <mergeCell ref="B64:J64"/>
    <mergeCell ref="B65:J65"/>
    <mergeCell ref="B66:J66"/>
    <mergeCell ref="B67:J67"/>
    <mergeCell ref="C97:I97"/>
    <mergeCell ref="C98:H98"/>
    <mergeCell ref="C99:H99"/>
    <mergeCell ref="C100:H100"/>
    <mergeCell ref="C101:I101"/>
    <mergeCell ref="C102:I102"/>
    <mergeCell ref="C103:I103"/>
    <mergeCell ref="B89:J89"/>
    <mergeCell ref="B90:J90"/>
    <mergeCell ref="C91:I91"/>
    <mergeCell ref="C92:H92"/>
    <mergeCell ref="C93:H93"/>
    <mergeCell ref="C94:H94"/>
    <mergeCell ref="C95:H95"/>
    <mergeCell ref="C96:H96"/>
    <mergeCell ref="C82:H82"/>
    <mergeCell ref="C83:H83"/>
    <mergeCell ref="C84:H84"/>
    <mergeCell ref="C85:H85"/>
    <mergeCell ref="B86:H86"/>
    <mergeCell ref="B88:J88"/>
  </mergeCells>
  <conditionalFormatting sqref="I49:I50">
    <cfRule type="cellIs" dxfId="5" priority="1" operator="equal">
      <formula>0</formula>
    </cfRule>
  </conditionalFormatting>
  <conditionalFormatting sqref="I48">
    <cfRule type="cellIs" dxfId="4" priority="2" operator="equal">
      <formula>0</formula>
    </cfRule>
  </conditionalFormatting>
  <pageMargins left="0.511811024" right="0.511811024" top="0.78740157499999996" bottom="0.78740157499999996"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5.140625" customWidth="1"/>
    <col min="8" max="8" width="14.42578125" customWidth="1"/>
    <col min="9" max="9" width="11.28515625" customWidth="1"/>
    <col min="10" max="10" width="14.5703125" customWidth="1"/>
    <col min="11" max="11" width="1.42578125" customWidth="1"/>
  </cols>
  <sheetData>
    <row r="1" spans="1:11" ht="11.25" customHeight="1">
      <c r="A1" s="754"/>
      <c r="B1" s="754"/>
      <c r="C1" s="754"/>
      <c r="D1" s="754"/>
      <c r="E1" s="754"/>
      <c r="F1" s="754"/>
      <c r="G1" s="754"/>
      <c r="H1" s="754"/>
      <c r="I1" s="754"/>
      <c r="J1" s="755"/>
      <c r="K1" s="754"/>
    </row>
    <row r="2" spans="1:11" ht="11.25" customHeight="1">
      <c r="A2" s="754"/>
      <c r="B2" s="1245" t="str">
        <f>'1-ABA-DE-CARREGAMENTO'!C11</f>
        <v xml:space="preserve"> S E R V I Ç O S     -   REFEITORIO_×_JARDINAGEM</v>
      </c>
      <c r="C2" s="1130"/>
      <c r="D2" s="1130"/>
      <c r="E2" s="1130"/>
      <c r="F2" s="1130"/>
      <c r="G2" s="1130"/>
      <c r="H2" s="1130"/>
      <c r="I2" s="1130"/>
      <c r="J2" s="1128"/>
      <c r="K2" s="756"/>
    </row>
    <row r="3" spans="1:11" ht="11.25" customHeight="1">
      <c r="A3" s="754"/>
      <c r="B3" s="1246" t="str">
        <f>'1-ABA-DE-CARREGAMENTO'!M33</f>
        <v>A NÃO TEM MAIS POSTOS-88</v>
      </c>
      <c r="C3" s="1060"/>
      <c r="D3" s="1060"/>
      <c r="E3" s="1060"/>
      <c r="F3" s="1060"/>
      <c r="G3" s="1060"/>
      <c r="H3" s="1060"/>
      <c r="I3" s="1060"/>
      <c r="J3" s="1062"/>
      <c r="K3" s="757"/>
    </row>
    <row r="4" spans="1:11" ht="11.25" customHeight="1">
      <c r="A4" s="754"/>
      <c r="B4" s="1247" t="s">
        <v>511</v>
      </c>
      <c r="C4" s="1060"/>
      <c r="D4" s="1060"/>
      <c r="E4" s="1060"/>
      <c r="F4" s="1062"/>
      <c r="G4" s="1248">
        <f>'1-ABA-DE-CARREGAMENTO'!C12</f>
        <v>0</v>
      </c>
      <c r="H4" s="1060"/>
      <c r="I4" s="1060"/>
      <c r="J4" s="1062"/>
      <c r="K4" s="758"/>
    </row>
    <row r="5" spans="1:11" ht="11.25" customHeight="1">
      <c r="A5" s="754"/>
      <c r="B5" s="1178" t="s">
        <v>512</v>
      </c>
      <c r="C5" s="1009"/>
      <c r="D5" s="1009"/>
      <c r="E5" s="1009"/>
      <c r="F5" s="1010"/>
      <c r="G5" s="1249">
        <f>'1-ABA-DE-CARREGAMENTO'!C13</f>
        <v>0</v>
      </c>
      <c r="H5" s="1009"/>
      <c r="I5" s="1009"/>
      <c r="J5" s="1010"/>
      <c r="K5" s="758"/>
    </row>
    <row r="6" spans="1:11" ht="11.25" customHeight="1">
      <c r="A6" s="754"/>
      <c r="B6" s="1250">
        <f>'1-ABA-DE-CARREGAMENTO'!C16</f>
        <v>0</v>
      </c>
      <c r="C6" s="1009"/>
      <c r="D6" s="1009"/>
      <c r="E6" s="1009"/>
      <c r="F6" s="1009"/>
      <c r="G6" s="1009"/>
      <c r="H6" s="1009"/>
      <c r="I6" s="1009"/>
      <c r="J6" s="1010"/>
      <c r="K6" s="760"/>
    </row>
    <row r="7" spans="1:11" ht="11.25" customHeight="1">
      <c r="A7" s="754"/>
      <c r="B7" s="1086" t="s">
        <v>513</v>
      </c>
      <c r="C7" s="1009"/>
      <c r="D7" s="1009"/>
      <c r="E7" s="1009"/>
      <c r="F7" s="1009"/>
      <c r="G7" s="1009"/>
      <c r="H7" s="1009"/>
      <c r="I7" s="1009"/>
      <c r="J7" s="1010"/>
      <c r="K7" s="594"/>
    </row>
    <row r="8" spans="1:11" ht="11.25" customHeight="1">
      <c r="A8" s="754"/>
      <c r="B8" s="761" t="s">
        <v>514</v>
      </c>
      <c r="C8" s="1178" t="s">
        <v>515</v>
      </c>
      <c r="D8" s="1009"/>
      <c r="E8" s="1009"/>
      <c r="F8" s="1009"/>
      <c r="G8" s="1009"/>
      <c r="H8" s="1010"/>
      <c r="I8" s="1251">
        <f>'1-ABA-DE-CARREGAMENTO'!C16</f>
        <v>0</v>
      </c>
      <c r="J8" s="1010"/>
      <c r="K8" s="762"/>
    </row>
    <row r="9" spans="1:11" ht="11.25" customHeight="1">
      <c r="A9" s="754"/>
      <c r="B9" s="761" t="s">
        <v>516</v>
      </c>
      <c r="C9" s="1178" t="s">
        <v>517</v>
      </c>
      <c r="D9" s="1009"/>
      <c r="E9" s="1009"/>
      <c r="F9" s="1009"/>
      <c r="G9" s="1009"/>
      <c r="H9" s="1010"/>
      <c r="I9" s="1249" t="str">
        <f>'1-ABA-DE-CARREGAMENTO'!C14</f>
        <v xml:space="preserve">JULIO-DE-CASTILHOS </v>
      </c>
      <c r="J9" s="1010"/>
      <c r="K9" s="758"/>
    </row>
    <row r="10" spans="1:11" ht="11.25" customHeight="1">
      <c r="A10" s="754"/>
      <c r="B10" s="761" t="s">
        <v>518</v>
      </c>
      <c r="C10" s="1178" t="s">
        <v>519</v>
      </c>
      <c r="D10" s="1009"/>
      <c r="E10" s="1009"/>
      <c r="F10" s="1009"/>
      <c r="G10" s="1009"/>
      <c r="H10" s="1010"/>
      <c r="I10" s="1249" t="str">
        <f>VLOOKUP('1-ABA-DE-CARREGAMENTO'!M35,'DADOS-CADASTRAIS'!C6:O102,1,0)</f>
        <v>RS000947/2019-</v>
      </c>
      <c r="J10" s="1010"/>
      <c r="K10" s="758"/>
    </row>
    <row r="11" spans="1:11" ht="11.25" customHeight="1">
      <c r="A11" s="754"/>
      <c r="B11" s="761" t="s">
        <v>520</v>
      </c>
      <c r="C11" s="1178" t="s">
        <v>521</v>
      </c>
      <c r="D11" s="1009"/>
      <c r="E11" s="1009"/>
      <c r="F11" s="1009"/>
      <c r="G11" s="1009"/>
      <c r="H11" s="1010"/>
      <c r="I11" s="1240">
        <f>'1-ABA-DE-CARREGAMENTO'!M94</f>
        <v>30</v>
      </c>
      <c r="J11" s="1010"/>
      <c r="K11" s="758"/>
    </row>
    <row r="12" spans="1:11" ht="11.25" customHeight="1">
      <c r="A12" s="754"/>
      <c r="B12" s="1140" t="s">
        <v>522</v>
      </c>
      <c r="C12" s="1009"/>
      <c r="D12" s="1009"/>
      <c r="E12" s="1009"/>
      <c r="F12" s="1009"/>
      <c r="G12" s="1009"/>
      <c r="H12" s="1009"/>
      <c r="I12" s="1009"/>
      <c r="J12" s="1010"/>
      <c r="K12" s="592"/>
    </row>
    <row r="13" spans="1:11" ht="40.5" customHeight="1">
      <c r="A13" s="754"/>
      <c r="B13" s="1185" t="str">
        <f>'1-ABA-DE-CARREGAMENTO'!C11</f>
        <v xml:space="preserve"> S E R V I Ç O S     -   REFEITORIO_×_JARDINAGEM</v>
      </c>
      <c r="C13" s="1009"/>
      <c r="D13" s="1009"/>
      <c r="E13" s="1009"/>
      <c r="F13" s="1030"/>
      <c r="G13" s="1185" t="s">
        <v>523</v>
      </c>
      <c r="H13" s="1010"/>
      <c r="I13" s="1185" t="s">
        <v>524</v>
      </c>
      <c r="J13" s="1010"/>
      <c r="K13" s="763"/>
    </row>
    <row r="14" spans="1:11" ht="11.25" hidden="1" customHeight="1" outlineLevel="1">
      <c r="A14" s="754"/>
      <c r="B14" s="1241" t="s">
        <v>525</v>
      </c>
      <c r="C14" s="1009"/>
      <c r="D14" s="1009"/>
      <c r="E14" s="1009"/>
      <c r="F14" s="1010"/>
      <c r="G14" s="1242" t="s">
        <v>526</v>
      </c>
      <c r="H14" s="1010"/>
      <c r="I14" s="1243" t="s">
        <v>527</v>
      </c>
      <c r="J14" s="1010"/>
      <c r="K14" s="764"/>
    </row>
    <row r="15" spans="1:11" ht="11.25" hidden="1" customHeight="1" outlineLevel="1">
      <c r="A15" s="754"/>
      <c r="B15" s="1241" t="s">
        <v>528</v>
      </c>
      <c r="C15" s="1009"/>
      <c r="D15" s="1009"/>
      <c r="E15" s="1009"/>
      <c r="F15" s="1010"/>
      <c r="G15" s="1242" t="s">
        <v>526</v>
      </c>
      <c r="H15" s="1010"/>
      <c r="I15" s="1243" t="s">
        <v>527</v>
      </c>
      <c r="J15" s="1010"/>
      <c r="K15" s="764"/>
    </row>
    <row r="16" spans="1:11" ht="11.25" hidden="1" customHeight="1" outlineLevel="1">
      <c r="A16" s="754"/>
      <c r="B16" s="1241" t="s">
        <v>529</v>
      </c>
      <c r="C16" s="1009"/>
      <c r="D16" s="1009"/>
      <c r="E16" s="1009"/>
      <c r="F16" s="1010"/>
      <c r="G16" s="1242" t="s">
        <v>526</v>
      </c>
      <c r="H16" s="1010"/>
      <c r="I16" s="1243" t="s">
        <v>527</v>
      </c>
      <c r="J16" s="1010"/>
      <c r="K16" s="764"/>
    </row>
    <row r="17" spans="1:11" ht="11.25" customHeight="1" collapsed="1">
      <c r="A17" s="754"/>
      <c r="B17" s="1241" t="str">
        <f>B3</f>
        <v>A NÃO TEM MAIS POSTOS-88</v>
      </c>
      <c r="C17" s="1009"/>
      <c r="D17" s="1009"/>
      <c r="E17" s="1009"/>
      <c r="F17" s="1010"/>
      <c r="G17" s="1242" t="s">
        <v>526</v>
      </c>
      <c r="H17" s="1010"/>
      <c r="I17" s="1243">
        <f>'1-ABA-DE-CARREGAMENTO'!M92</f>
        <v>0</v>
      </c>
      <c r="J17" s="1010"/>
      <c r="K17" s="764"/>
    </row>
    <row r="18" spans="1:11" ht="11.25" hidden="1" customHeight="1" outlineLevel="1">
      <c r="A18" s="754"/>
      <c r="B18" s="1241" t="s">
        <v>530</v>
      </c>
      <c r="C18" s="1009"/>
      <c r="D18" s="1009"/>
      <c r="E18" s="1009"/>
      <c r="F18" s="1010"/>
      <c r="G18" s="1242" t="s">
        <v>526</v>
      </c>
      <c r="H18" s="1010"/>
      <c r="I18" s="1243" t="s">
        <v>527</v>
      </c>
      <c r="J18" s="1010"/>
      <c r="K18" s="764"/>
    </row>
    <row r="19" spans="1:11" ht="11.25" hidden="1" customHeight="1" outlineLevel="1">
      <c r="A19" s="754"/>
      <c r="B19" s="1241" t="s">
        <v>1252</v>
      </c>
      <c r="C19" s="1009"/>
      <c r="D19" s="1009"/>
      <c r="E19" s="1009"/>
      <c r="F19" s="1010"/>
      <c r="G19" s="1242" t="s">
        <v>526</v>
      </c>
      <c r="H19" s="1010"/>
      <c r="I19" s="1243" t="s">
        <v>527</v>
      </c>
      <c r="J19" s="1010"/>
      <c r="K19" s="764"/>
    </row>
    <row r="20" spans="1:11" ht="11.25" customHeight="1" collapsed="1">
      <c r="A20" s="754"/>
      <c r="B20" s="1254" t="s">
        <v>532</v>
      </c>
      <c r="C20" s="1009"/>
      <c r="D20" s="1009"/>
      <c r="E20" s="1009"/>
      <c r="F20" s="1009"/>
      <c r="G20" s="1009"/>
      <c r="H20" s="1010"/>
      <c r="I20" s="1253">
        <f>SUM(I14:I19)</f>
        <v>0</v>
      </c>
      <c r="J20" s="1010"/>
      <c r="K20" s="765"/>
    </row>
    <row r="21" spans="1:11" ht="11.25" customHeight="1">
      <c r="A21" s="754"/>
      <c r="B21" s="1220"/>
      <c r="C21" s="1009"/>
      <c r="D21" s="1009"/>
      <c r="E21" s="1009"/>
      <c r="F21" s="1009"/>
      <c r="G21" s="1009"/>
      <c r="H21" s="1009"/>
      <c r="I21" s="1009"/>
      <c r="J21" s="1010"/>
      <c r="K21" s="763"/>
    </row>
    <row r="22" spans="1:11" ht="11.25" customHeight="1">
      <c r="A22" s="754"/>
      <c r="B22" s="1211" t="s">
        <v>533</v>
      </c>
      <c r="C22" s="1009"/>
      <c r="D22" s="1009"/>
      <c r="E22" s="1009"/>
      <c r="F22" s="1009"/>
      <c r="G22" s="1009"/>
      <c r="H22" s="1009"/>
      <c r="I22" s="1009"/>
      <c r="J22" s="1010"/>
      <c r="K22" s="766"/>
    </row>
    <row r="23" spans="1:11" ht="11.25" customHeight="1">
      <c r="A23" s="754"/>
      <c r="B23" s="1225"/>
      <c r="C23" s="1009"/>
      <c r="D23" s="1009"/>
      <c r="E23" s="1009"/>
      <c r="F23" s="1009"/>
      <c r="G23" s="1009"/>
      <c r="H23" s="1009"/>
      <c r="I23" s="1009"/>
      <c r="J23" s="1010"/>
      <c r="K23" s="376"/>
    </row>
    <row r="24" spans="1:11" ht="15" customHeight="1">
      <c r="A24" s="754"/>
      <c r="B24" s="1255" t="s">
        <v>1253</v>
      </c>
      <c r="C24" s="1009"/>
      <c r="D24" s="1009"/>
      <c r="E24" s="1009"/>
      <c r="F24" s="1009"/>
      <c r="G24" s="1009"/>
      <c r="H24" s="1009"/>
      <c r="I24" s="1009"/>
      <c r="J24" s="1010"/>
      <c r="K24" s="767"/>
    </row>
    <row r="25" spans="1:11" ht="15" customHeight="1">
      <c r="A25" s="754"/>
      <c r="B25" s="1123"/>
      <c r="C25" s="1009"/>
      <c r="D25" s="1009"/>
      <c r="E25" s="1009"/>
      <c r="F25" s="1009"/>
      <c r="G25" s="1009"/>
      <c r="H25" s="1009"/>
      <c r="I25" s="1009"/>
      <c r="J25" s="1010"/>
      <c r="K25" s="602"/>
    </row>
    <row r="26" spans="1:11" ht="11.25" customHeight="1">
      <c r="A26" s="763"/>
      <c r="B26" s="1086" t="s">
        <v>535</v>
      </c>
      <c r="C26" s="1009"/>
      <c r="D26" s="1009"/>
      <c r="E26" s="1009"/>
      <c r="F26" s="1009"/>
      <c r="G26" s="1009"/>
      <c r="H26" s="1009"/>
      <c r="I26" s="1009"/>
      <c r="J26" s="1010"/>
      <c r="K26" s="594"/>
    </row>
    <row r="27" spans="1:11" ht="31.5" customHeight="1">
      <c r="A27" s="754"/>
      <c r="B27" s="761">
        <v>1</v>
      </c>
      <c r="C27" s="1178" t="s">
        <v>536</v>
      </c>
      <c r="D27" s="1009"/>
      <c r="E27" s="1009"/>
      <c r="F27" s="1009"/>
      <c r="G27" s="1009"/>
      <c r="H27" s="1010"/>
      <c r="I27" s="1256" t="str">
        <f>'1-ABA-DE-CARREGAMENTO'!M33</f>
        <v>A NÃO TEM MAIS POSTOS-88</v>
      </c>
      <c r="J27" s="1010"/>
      <c r="K27" s="768"/>
    </row>
    <row r="28" spans="1:11" ht="11.25" customHeight="1">
      <c r="A28" s="754"/>
      <c r="B28" s="769">
        <v>2</v>
      </c>
      <c r="C28" s="1215" t="s">
        <v>537</v>
      </c>
      <c r="D28" s="1009"/>
      <c r="E28" s="1009"/>
      <c r="F28" s="1009"/>
      <c r="G28" s="1009"/>
      <c r="H28" s="1010"/>
      <c r="I28" s="1257"/>
      <c r="J28" s="1010"/>
      <c r="K28" s="770"/>
    </row>
    <row r="29" spans="1:11" ht="30" customHeight="1">
      <c r="A29" s="754"/>
      <c r="B29" s="761">
        <v>3</v>
      </c>
      <c r="C29" s="1258" t="s">
        <v>538</v>
      </c>
      <c r="D29" s="948"/>
      <c r="E29" s="748">
        <v>220</v>
      </c>
      <c r="F29" s="606">
        <f>'1-ABA-DE-CARREGAMENTO'!M37</f>
        <v>0</v>
      </c>
      <c r="G29" s="759" t="s">
        <v>539</v>
      </c>
      <c r="H29" s="895">
        <f>'1-ABA-DE-CARREGAMENTO'!M52</f>
        <v>220</v>
      </c>
      <c r="I29" s="1259">
        <f>F29/E29*H29</f>
        <v>0</v>
      </c>
      <c r="J29" s="1010"/>
      <c r="K29" s="773"/>
    </row>
    <row r="30" spans="1:11" ht="11.25" customHeight="1">
      <c r="A30" s="754"/>
      <c r="B30" s="761">
        <v>4</v>
      </c>
      <c r="C30" s="1178" t="s">
        <v>540</v>
      </c>
      <c r="D30" s="1009"/>
      <c r="E30" s="1009"/>
      <c r="F30" s="1009"/>
      <c r="G30" s="1009"/>
      <c r="H30" s="1010"/>
      <c r="I30" s="1260"/>
      <c r="J30" s="1010"/>
      <c r="K30" s="774"/>
    </row>
    <row r="31" spans="1:11" ht="11.25" customHeight="1">
      <c r="A31" s="754"/>
      <c r="B31" s="761">
        <v>5</v>
      </c>
      <c r="C31" s="1178" t="s">
        <v>541</v>
      </c>
      <c r="D31" s="1009"/>
      <c r="E31" s="1009"/>
      <c r="F31" s="1009"/>
      <c r="G31" s="1009"/>
      <c r="H31" s="1010"/>
      <c r="I31" s="1244" t="str">
        <f>'1-ABA-DE-CARREGAMENTO'!M36</f>
        <v>01 de FEVEREIRO</v>
      </c>
      <c r="J31" s="1010"/>
      <c r="K31" s="775"/>
    </row>
    <row r="32" spans="1:11" ht="12.75" customHeight="1">
      <c r="A32" s="754"/>
      <c r="B32" s="776">
        <v>6</v>
      </c>
      <c r="C32" s="1229" t="s">
        <v>1254</v>
      </c>
      <c r="D32" s="1009"/>
      <c r="E32" s="1009"/>
      <c r="F32" s="1009"/>
      <c r="G32" s="1009"/>
      <c r="H32" s="1010"/>
      <c r="I32" s="1231">
        <f>ROUND(I29/220,2)*0</f>
        <v>0</v>
      </c>
      <c r="J32" s="1010"/>
      <c r="K32" s="777"/>
    </row>
    <row r="33" spans="1:11" ht="24.75" customHeight="1">
      <c r="A33" s="754"/>
      <c r="B33" s="776">
        <v>7</v>
      </c>
      <c r="C33" s="1229" t="s">
        <v>1255</v>
      </c>
      <c r="D33" s="1009"/>
      <c r="E33" s="1009"/>
      <c r="F33" s="1010"/>
      <c r="G33" s="1239"/>
      <c r="H33" s="1010"/>
      <c r="I33" s="1231">
        <f>SUM(J47:J50)/220</f>
        <v>0</v>
      </c>
      <c r="J33" s="1010"/>
      <c r="K33" s="777"/>
    </row>
    <row r="34" spans="1:11" ht="24.75" customHeight="1">
      <c r="A34" s="754"/>
      <c r="B34" s="776">
        <v>8</v>
      </c>
      <c r="C34" s="1229" t="s">
        <v>1256</v>
      </c>
      <c r="D34" s="1009"/>
      <c r="E34" s="1009"/>
      <c r="F34" s="1010"/>
      <c r="G34" s="1239"/>
      <c r="H34" s="1010"/>
      <c r="I34" s="1231">
        <f>TRUNC(I33*1.5,2)*0</f>
        <v>0</v>
      </c>
      <c r="J34" s="1010"/>
      <c r="K34" s="777"/>
    </row>
    <row r="35" spans="1:11" ht="24.75" customHeight="1">
      <c r="A35" s="754"/>
      <c r="B35" s="776">
        <v>9</v>
      </c>
      <c r="C35" s="1229" t="s">
        <v>1257</v>
      </c>
      <c r="D35" s="1009"/>
      <c r="E35" s="1009"/>
      <c r="F35" s="1010"/>
      <c r="G35" s="1239" t="s">
        <v>546</v>
      </c>
      <c r="H35" s="1010"/>
      <c r="I35" s="1275">
        <f>I33*1.5</f>
        <v>0</v>
      </c>
      <c r="J35" s="1010"/>
      <c r="K35" s="778"/>
    </row>
    <row r="36" spans="1:11" ht="24.75" customHeight="1">
      <c r="A36" s="754"/>
      <c r="B36" s="776">
        <v>10</v>
      </c>
      <c r="C36" s="1229" t="s">
        <v>1258</v>
      </c>
      <c r="D36" s="1009"/>
      <c r="E36" s="1009"/>
      <c r="F36" s="1009"/>
      <c r="G36" s="1009"/>
      <c r="H36" s="1010"/>
      <c r="I36" s="1231">
        <f>TRUNC(1.3*I32*0.2,2)</f>
        <v>0</v>
      </c>
      <c r="J36" s="1010"/>
      <c r="K36" s="777"/>
    </row>
    <row r="37" spans="1:11" ht="24.75" customHeight="1">
      <c r="A37" s="754"/>
      <c r="B37" s="776">
        <v>11</v>
      </c>
      <c r="C37" s="1229" t="s">
        <v>1259</v>
      </c>
      <c r="D37" s="1009"/>
      <c r="E37" s="1009"/>
      <c r="F37" s="1009"/>
      <c r="G37" s="1009"/>
      <c r="H37" s="1010"/>
      <c r="I37" s="1231">
        <f>I33*2</f>
        <v>0</v>
      </c>
      <c r="J37" s="1010"/>
      <c r="K37" s="777"/>
    </row>
    <row r="38" spans="1:11" ht="14.25" customHeight="1">
      <c r="A38" s="754"/>
      <c r="B38" s="776">
        <v>12</v>
      </c>
      <c r="C38" s="1229" t="s">
        <v>1260</v>
      </c>
      <c r="D38" s="1009"/>
      <c r="E38" s="1009"/>
      <c r="F38" s="1009"/>
      <c r="G38" s="1009"/>
      <c r="H38" s="1010"/>
      <c r="I38" s="1231">
        <f>I29*'1-ABA-DE-CARREGAMENTO'!D44</f>
        <v>0</v>
      </c>
      <c r="J38" s="1010"/>
      <c r="K38" s="777"/>
    </row>
    <row r="39" spans="1:11" ht="14.25" customHeight="1">
      <c r="A39" s="754"/>
      <c r="B39" s="776">
        <v>13</v>
      </c>
      <c r="C39" s="1229" t="s">
        <v>550</v>
      </c>
      <c r="D39" s="1009"/>
      <c r="E39" s="1009"/>
      <c r="F39" s="1009"/>
      <c r="G39" s="1009"/>
      <c r="H39" s="1010"/>
      <c r="I39" s="1231">
        <f>ROUND(I32/6,2)*1.3</f>
        <v>0</v>
      </c>
      <c r="J39" s="1010"/>
      <c r="K39" s="777"/>
    </row>
    <row r="40" spans="1:11" ht="11.25" customHeight="1">
      <c r="A40" s="754"/>
      <c r="B40" s="776">
        <v>14</v>
      </c>
      <c r="C40" s="1269" t="s">
        <v>551</v>
      </c>
      <c r="D40" s="1009"/>
      <c r="E40" s="1009"/>
      <c r="F40" s="1009"/>
      <c r="G40" s="1009"/>
      <c r="H40" s="1010"/>
      <c r="I40" s="1274">
        <f>'1-ABA-DE-CARREGAMENTO'!M93</f>
        <v>1</v>
      </c>
      <c r="J40" s="1010"/>
      <c r="K40" s="780"/>
    </row>
    <row r="41" spans="1:11" ht="11.25" customHeight="1">
      <c r="A41" s="754"/>
      <c r="B41" s="776">
        <v>15</v>
      </c>
      <c r="C41" s="1269" t="s">
        <v>907</v>
      </c>
      <c r="D41" s="1009"/>
      <c r="E41" s="1009"/>
      <c r="F41" s="1009"/>
      <c r="G41" s="1009"/>
      <c r="H41" s="1010"/>
      <c r="I41" s="1270">
        <f>'1-ABA-DE-CARREGAMENTO'!E42</f>
        <v>1320</v>
      </c>
      <c r="J41" s="1010"/>
      <c r="K41" s="781"/>
    </row>
    <row r="42" spans="1:11" ht="11.25" customHeight="1">
      <c r="A42" s="754"/>
      <c r="B42" s="1225"/>
      <c r="C42" s="1009"/>
      <c r="D42" s="1009"/>
      <c r="E42" s="1009"/>
      <c r="F42" s="1009"/>
      <c r="G42" s="1009"/>
      <c r="H42" s="1009"/>
      <c r="I42" s="1009"/>
      <c r="J42" s="1010"/>
      <c r="K42" s="376"/>
    </row>
    <row r="43" spans="1:11" ht="25.5" customHeight="1">
      <c r="A43" s="754"/>
      <c r="B43" s="1214" t="s">
        <v>553</v>
      </c>
      <c r="C43" s="1009"/>
      <c r="D43" s="1009"/>
      <c r="E43" s="1009"/>
      <c r="F43" s="1009"/>
      <c r="G43" s="1009"/>
      <c r="H43" s="1009"/>
      <c r="I43" s="1009"/>
      <c r="J43" s="1010"/>
      <c r="K43" s="782"/>
    </row>
    <row r="44" spans="1:11" ht="14.25" customHeight="1">
      <c r="A44" s="754"/>
      <c r="B44" s="1226"/>
      <c r="C44" s="1009"/>
      <c r="D44" s="1009"/>
      <c r="E44" s="1009"/>
      <c r="F44" s="1009"/>
      <c r="G44" s="1009"/>
      <c r="H44" s="1009"/>
      <c r="I44" s="1009"/>
      <c r="J44" s="1010"/>
      <c r="K44" s="783"/>
    </row>
    <row r="45" spans="1:11" ht="11.25" customHeight="1">
      <c r="A45" s="754"/>
      <c r="B45" s="1227" t="s">
        <v>554</v>
      </c>
      <c r="C45" s="1009"/>
      <c r="D45" s="1009"/>
      <c r="E45" s="1009"/>
      <c r="F45" s="1009"/>
      <c r="G45" s="1009"/>
      <c r="H45" s="1009"/>
      <c r="I45" s="1009"/>
      <c r="J45" s="1010"/>
      <c r="K45" s="784"/>
    </row>
    <row r="46" spans="1:11" ht="11.25" customHeight="1">
      <c r="A46" s="785"/>
      <c r="B46" s="622">
        <v>1</v>
      </c>
      <c r="C46" s="1083" t="s">
        <v>555</v>
      </c>
      <c r="D46" s="1009"/>
      <c r="E46" s="1009"/>
      <c r="F46" s="1009"/>
      <c r="G46" s="1009"/>
      <c r="H46" s="1010"/>
      <c r="I46" s="786" t="s">
        <v>556</v>
      </c>
      <c r="J46" s="622" t="s">
        <v>557</v>
      </c>
      <c r="K46" s="592"/>
    </row>
    <row r="47" spans="1:11" ht="12.75" customHeight="1">
      <c r="A47" s="754"/>
      <c r="B47" s="761" t="s">
        <v>514</v>
      </c>
      <c r="C47" s="1178" t="s">
        <v>558</v>
      </c>
      <c r="D47" s="1009"/>
      <c r="E47" s="1009"/>
      <c r="F47" s="1010"/>
      <c r="G47" s="787" t="s">
        <v>185</v>
      </c>
      <c r="H47" s="788">
        <f>'1-ABA-DE-CARREGAMENTO'!M52</f>
        <v>220</v>
      </c>
      <c r="I47" s="787"/>
      <c r="J47" s="789">
        <f>I29*I40</f>
        <v>0</v>
      </c>
      <c r="K47" s="790"/>
    </row>
    <row r="48" spans="1:11" ht="11.25" customHeight="1">
      <c r="A48" s="754"/>
      <c r="B48" s="761" t="s">
        <v>516</v>
      </c>
      <c r="C48" s="1178" t="s">
        <v>790</v>
      </c>
      <c r="D48" s="1009"/>
      <c r="E48" s="1009"/>
      <c r="F48" s="1228" t="str">
        <f>'1-ABA-DE-CARREGAMENTO'!M38</f>
        <v>SEM ADICIONAL DE FUNÇÃO</v>
      </c>
      <c r="G48" s="1009"/>
      <c r="H48" s="1010"/>
      <c r="I48" s="791">
        <f>'1-ABA-DE-CARREGAMENTO'!M39</f>
        <v>0</v>
      </c>
      <c r="J48" s="789">
        <f>J47*I48</f>
        <v>0</v>
      </c>
      <c r="K48" s="790"/>
    </row>
    <row r="49" spans="1:11" ht="11.25" customHeight="1">
      <c r="A49" s="754"/>
      <c r="B49" s="761" t="s">
        <v>518</v>
      </c>
      <c r="C49" s="1178" t="s">
        <v>1261</v>
      </c>
      <c r="D49" s="1009"/>
      <c r="E49" s="1009"/>
      <c r="F49" s="1009"/>
      <c r="G49" s="1009"/>
      <c r="H49" s="1010"/>
      <c r="I49" s="792">
        <f>'1-ABA-DE-CARREGAMENTO'!M44</f>
        <v>0</v>
      </c>
      <c r="J49" s="789">
        <f>ROUND(J47*I49,2)</f>
        <v>0</v>
      </c>
      <c r="K49" s="790"/>
    </row>
    <row r="50" spans="1:11" ht="11.25" customHeight="1">
      <c r="A50" s="754"/>
      <c r="B50" s="761" t="s">
        <v>520</v>
      </c>
      <c r="C50" s="1178" t="s">
        <v>1262</v>
      </c>
      <c r="D50" s="1009"/>
      <c r="E50" s="1009"/>
      <c r="F50" s="1009"/>
      <c r="G50" s="1228" t="str">
        <f>'1-ABA-DE-CARREGAMENTO'!M40</f>
        <v>SEM ADICIONAL DE RISCO</v>
      </c>
      <c r="H50" s="1010"/>
      <c r="I50" s="896">
        <f>'1-ABA-DE-CARREGAMENTO'!M41</f>
        <v>0</v>
      </c>
      <c r="J50" s="789">
        <f>ROUND(I50*I41,2)</f>
        <v>0</v>
      </c>
      <c r="K50" s="790"/>
    </row>
    <row r="51" spans="1:11" ht="39" customHeight="1">
      <c r="A51" s="754"/>
      <c r="B51" s="761" t="s">
        <v>562</v>
      </c>
      <c r="C51" s="1178" t="s">
        <v>1263</v>
      </c>
      <c r="D51" s="1009"/>
      <c r="E51" s="1009"/>
      <c r="F51" s="1009"/>
      <c r="G51" s="1009"/>
      <c r="H51" s="1009"/>
      <c r="I51" s="1010"/>
      <c r="J51" s="789">
        <f>ROUND(2*8*15*I36,2)*0</f>
        <v>0</v>
      </c>
      <c r="K51" s="790"/>
    </row>
    <row r="52" spans="1:11" ht="39" customHeight="1">
      <c r="A52" s="754"/>
      <c r="B52" s="761" t="s">
        <v>566</v>
      </c>
      <c r="C52" s="1215" t="s">
        <v>1264</v>
      </c>
      <c r="D52" s="1009"/>
      <c r="E52" s="1009"/>
      <c r="F52" s="1009"/>
      <c r="G52" s="1009"/>
      <c r="H52" s="1009"/>
      <c r="I52" s="1010"/>
      <c r="J52" s="789">
        <f>ROUND(I38*(((12*15)+15)-((44/6)*26))*I35,2)*0+ROUND(2*4.33*I35,2)*0</f>
        <v>0</v>
      </c>
      <c r="K52" s="790"/>
    </row>
    <row r="53" spans="1:11" ht="39" customHeight="1">
      <c r="A53" s="754"/>
      <c r="B53" s="761" t="s">
        <v>568</v>
      </c>
      <c r="C53" s="1215" t="s">
        <v>1265</v>
      </c>
      <c r="D53" s="1009"/>
      <c r="E53" s="1009"/>
      <c r="F53" s="1009"/>
      <c r="G53" s="1009"/>
      <c r="H53" s="1009"/>
      <c r="I53" s="1010"/>
      <c r="J53" s="789">
        <f>ROUND(I39*I40*15,2)*0</f>
        <v>0</v>
      </c>
      <c r="K53" s="790"/>
    </row>
    <row r="54" spans="1:11" ht="26.25" customHeight="1">
      <c r="A54" s="754"/>
      <c r="B54" s="761" t="s">
        <v>570</v>
      </c>
      <c r="C54" s="1215" t="s">
        <v>1091</v>
      </c>
      <c r="D54" s="1009"/>
      <c r="E54" s="1009"/>
      <c r="F54" s="1276" t="s">
        <v>1266</v>
      </c>
      <c r="G54" s="1009"/>
      <c r="H54" s="1009"/>
      <c r="I54" s="934">
        <f>'1-ABA-DE-CARREGAMENTO'!M65</f>
        <v>0</v>
      </c>
      <c r="J54" s="789">
        <f>ROUND((((SUM(J47:J50))/220)*1.5)*I54,2)</f>
        <v>0</v>
      </c>
      <c r="K54" s="790"/>
    </row>
    <row r="55" spans="1:11" ht="26.25" customHeight="1">
      <c r="A55" s="754"/>
      <c r="B55" s="761" t="s">
        <v>574</v>
      </c>
      <c r="C55" s="1215" t="s">
        <v>1093</v>
      </c>
      <c r="D55" s="1009"/>
      <c r="E55" s="1009"/>
      <c r="F55" s="1276" t="s">
        <v>1267</v>
      </c>
      <c r="G55" s="1009"/>
      <c r="H55" s="1009"/>
      <c r="I55" s="934">
        <f>'1-ABA-DE-CARREGAMENTO'!M68</f>
        <v>0</v>
      </c>
      <c r="J55" s="789">
        <f>ROUND((((SUM(J47:J50))/220)*2)*I55,2)</f>
        <v>0</v>
      </c>
      <c r="K55" s="790"/>
    </row>
    <row r="56" spans="1:11" ht="39" customHeight="1">
      <c r="A56" s="754"/>
      <c r="B56" s="761" t="s">
        <v>578</v>
      </c>
      <c r="C56" s="1178" t="s">
        <v>1268</v>
      </c>
      <c r="D56" s="1009"/>
      <c r="E56" s="1009"/>
      <c r="F56" s="1009"/>
      <c r="G56" s="1009"/>
      <c r="H56" s="1009"/>
      <c r="I56" s="1010"/>
      <c r="J56" s="789">
        <f>ROUND(((J54+J55)/25)*5,2)</f>
        <v>0</v>
      </c>
      <c r="K56" s="790"/>
    </row>
    <row r="57" spans="1:11" ht="11.25" customHeight="1">
      <c r="A57" s="754"/>
      <c r="B57" s="761" t="s">
        <v>580</v>
      </c>
      <c r="C57" s="1178" t="s">
        <v>581</v>
      </c>
      <c r="D57" s="1009"/>
      <c r="E57" s="1009"/>
      <c r="F57" s="1009"/>
      <c r="G57" s="1009"/>
      <c r="H57" s="1009"/>
      <c r="I57" s="1010"/>
      <c r="J57" s="798" t="s">
        <v>527</v>
      </c>
      <c r="K57" s="799"/>
    </row>
    <row r="58" spans="1:11" ht="11.25" customHeight="1">
      <c r="A58" s="754"/>
      <c r="B58" s="1086" t="s">
        <v>582</v>
      </c>
      <c r="C58" s="1009"/>
      <c r="D58" s="1009"/>
      <c r="E58" s="1009"/>
      <c r="F58" s="1009"/>
      <c r="G58" s="1009"/>
      <c r="H58" s="1009"/>
      <c r="I58" s="1010"/>
      <c r="J58" s="640">
        <f>SUM(J47:J57)</f>
        <v>0</v>
      </c>
      <c r="K58" s="626"/>
    </row>
    <row r="59" spans="1:11" ht="14.25" customHeight="1">
      <c r="A59" s="754"/>
      <c r="B59" s="800"/>
      <c r="C59" s="1219"/>
      <c r="D59" s="1009"/>
      <c r="E59" s="1009"/>
      <c r="F59" s="1009"/>
      <c r="G59" s="1009"/>
      <c r="H59" s="1009"/>
      <c r="I59" s="1010"/>
      <c r="J59" s="642"/>
      <c r="K59" s="626"/>
    </row>
    <row r="60" spans="1:11" ht="11.25" customHeight="1">
      <c r="A60" s="754"/>
      <c r="B60" s="761" t="s">
        <v>570</v>
      </c>
      <c r="C60" s="1178" t="s">
        <v>1269</v>
      </c>
      <c r="D60" s="1009"/>
      <c r="E60" s="1009"/>
      <c r="F60" s="1009"/>
      <c r="G60" s="1009"/>
      <c r="H60" s="1009"/>
      <c r="I60" s="1010"/>
      <c r="J60" s="789">
        <f>ROUND(I34*15*I40*0.5,2)*0</f>
        <v>0</v>
      </c>
      <c r="K60" s="790"/>
    </row>
    <row r="61" spans="1:11" ht="11.25" customHeight="1">
      <c r="A61" s="754"/>
      <c r="B61" s="1086" t="s">
        <v>1270</v>
      </c>
      <c r="C61" s="1009"/>
      <c r="D61" s="1009"/>
      <c r="E61" s="1009"/>
      <c r="F61" s="1009"/>
      <c r="G61" s="1009"/>
      <c r="H61" s="1009"/>
      <c r="I61" s="1010"/>
      <c r="J61" s="640">
        <f>J60</f>
        <v>0</v>
      </c>
      <c r="K61" s="626"/>
    </row>
    <row r="62" spans="1:11" ht="11.25" customHeight="1">
      <c r="A62" s="754"/>
      <c r="B62" s="1220"/>
      <c r="C62" s="1009"/>
      <c r="D62" s="1009"/>
      <c r="E62" s="1009"/>
      <c r="F62" s="1009"/>
      <c r="G62" s="1009"/>
      <c r="H62" s="1009"/>
      <c r="I62" s="1009"/>
      <c r="J62" s="1010"/>
      <c r="K62" s="763"/>
    </row>
    <row r="63" spans="1:11" ht="11.25" customHeight="1">
      <c r="A63" s="754"/>
      <c r="B63" s="1221" t="s">
        <v>1271</v>
      </c>
      <c r="C63" s="1009"/>
      <c r="D63" s="1009"/>
      <c r="E63" s="1009"/>
      <c r="F63" s="1009"/>
      <c r="G63" s="1009"/>
      <c r="H63" s="1009"/>
      <c r="I63" s="1010"/>
      <c r="J63" s="801">
        <f>J58+J61</f>
        <v>0</v>
      </c>
      <c r="K63" s="802"/>
    </row>
    <row r="64" spans="1:11" ht="11.25" customHeight="1">
      <c r="A64" s="754"/>
      <c r="B64" s="1219"/>
      <c r="C64" s="1009"/>
      <c r="D64" s="1009"/>
      <c r="E64" s="1009"/>
      <c r="F64" s="1009"/>
      <c r="G64" s="1009"/>
      <c r="H64" s="1009"/>
      <c r="I64" s="1009"/>
      <c r="J64" s="1010"/>
      <c r="K64" s="803"/>
    </row>
    <row r="65" spans="1:11" ht="11.25" customHeight="1">
      <c r="A65" s="754"/>
      <c r="B65" s="1222" t="s">
        <v>586</v>
      </c>
      <c r="C65" s="1009"/>
      <c r="D65" s="1009"/>
      <c r="E65" s="1009"/>
      <c r="F65" s="1009"/>
      <c r="G65" s="1009"/>
      <c r="H65" s="1009"/>
      <c r="I65" s="1009"/>
      <c r="J65" s="1010"/>
      <c r="K65" s="804"/>
    </row>
    <row r="66" spans="1:11" ht="11.25" customHeight="1">
      <c r="A66" s="754"/>
      <c r="B66" s="1219"/>
      <c r="C66" s="1009"/>
      <c r="D66" s="1009"/>
      <c r="E66" s="1009"/>
      <c r="F66" s="1009"/>
      <c r="G66" s="1009"/>
      <c r="H66" s="1009"/>
      <c r="I66" s="1009"/>
      <c r="J66" s="1010"/>
      <c r="K66" s="803"/>
    </row>
    <row r="67" spans="1:11" ht="11.25" customHeight="1">
      <c r="A67" s="754"/>
      <c r="B67" s="1201" t="s">
        <v>587</v>
      </c>
      <c r="C67" s="1009"/>
      <c r="D67" s="1009"/>
      <c r="E67" s="1009"/>
      <c r="F67" s="1009"/>
      <c r="G67" s="1009"/>
      <c r="H67" s="1009"/>
      <c r="I67" s="1009"/>
      <c r="J67" s="1010"/>
      <c r="K67" s="805"/>
    </row>
    <row r="68" spans="1:11" ht="11.25" customHeight="1">
      <c r="A68" s="754"/>
      <c r="B68" s="1112" t="s">
        <v>1272</v>
      </c>
      <c r="C68" s="1009"/>
      <c r="D68" s="1009"/>
      <c r="E68" s="1009"/>
      <c r="F68" s="1009"/>
      <c r="G68" s="1009"/>
      <c r="H68" s="1009"/>
      <c r="I68" s="1009"/>
      <c r="J68" s="1010"/>
      <c r="K68" s="646"/>
    </row>
    <row r="69" spans="1:11" ht="15" customHeight="1">
      <c r="A69" s="754"/>
      <c r="B69" s="647" t="s">
        <v>589</v>
      </c>
      <c r="C69" s="1113" t="s">
        <v>1273</v>
      </c>
      <c r="D69" s="1009"/>
      <c r="E69" s="1009"/>
      <c r="F69" s="1009"/>
      <c r="G69" s="1009"/>
      <c r="H69" s="1009"/>
      <c r="I69" s="1010"/>
      <c r="J69" s="604" t="s">
        <v>591</v>
      </c>
      <c r="K69" s="487"/>
    </row>
    <row r="70" spans="1:11" ht="11.25" customHeight="1">
      <c r="A70" s="754"/>
      <c r="B70" s="647" t="s">
        <v>514</v>
      </c>
      <c r="C70" s="1215" t="s">
        <v>1274</v>
      </c>
      <c r="D70" s="1009"/>
      <c r="E70" s="1009"/>
      <c r="F70" s="1009"/>
      <c r="G70" s="1009"/>
      <c r="H70" s="1010"/>
      <c r="I70" s="648">
        <v>8.3299999999999999E-2</v>
      </c>
      <c r="J70" s="806">
        <f>ROUND(J58*I70,2)</f>
        <v>0</v>
      </c>
      <c r="K70" s="807"/>
    </row>
    <row r="71" spans="1:11" ht="14.25" customHeight="1">
      <c r="A71" s="754"/>
      <c r="B71" s="647" t="s">
        <v>516</v>
      </c>
      <c r="C71" s="1216" t="s">
        <v>1275</v>
      </c>
      <c r="D71" s="1009"/>
      <c r="E71" s="1009"/>
      <c r="F71" s="1009"/>
      <c r="G71" s="1009"/>
      <c r="H71" s="1010"/>
      <c r="I71" s="651">
        <v>3.0249999999999999E-2</v>
      </c>
      <c r="J71" s="806">
        <f>ROUND(J58*I71,2)</f>
        <v>0</v>
      </c>
      <c r="K71" s="807"/>
    </row>
    <row r="72" spans="1:11" ht="11.25" customHeight="1">
      <c r="A72" s="754"/>
      <c r="B72" s="1199" t="s">
        <v>594</v>
      </c>
      <c r="C72" s="1009"/>
      <c r="D72" s="1009"/>
      <c r="E72" s="1009"/>
      <c r="F72" s="1009"/>
      <c r="G72" s="1009"/>
      <c r="H72" s="1009"/>
      <c r="I72" s="1010"/>
      <c r="J72" s="808">
        <f>SUM(J70+J71)</f>
        <v>0</v>
      </c>
      <c r="K72" s="809"/>
    </row>
    <row r="73" spans="1:11" ht="14.25" customHeight="1">
      <c r="A73" s="754"/>
      <c r="B73" s="1217"/>
      <c r="C73" s="1009"/>
      <c r="D73" s="1009"/>
      <c r="E73" s="1009"/>
      <c r="F73" s="1009"/>
      <c r="G73" s="1009"/>
      <c r="H73" s="1009"/>
      <c r="I73" s="1009"/>
      <c r="J73" s="1010"/>
      <c r="K73" s="810"/>
    </row>
    <row r="74" spans="1:11" ht="11.25" customHeight="1">
      <c r="A74" s="754"/>
      <c r="B74" s="1214" t="s">
        <v>1276</v>
      </c>
      <c r="C74" s="1009"/>
      <c r="D74" s="1009"/>
      <c r="E74" s="1009"/>
      <c r="F74" s="1009"/>
      <c r="G74" s="1009"/>
      <c r="H74" s="1009"/>
      <c r="I74" s="1009"/>
      <c r="J74" s="1010"/>
      <c r="K74" s="782"/>
    </row>
    <row r="75" spans="1:11" ht="14.25" customHeight="1">
      <c r="A75" s="754"/>
      <c r="B75" s="1218"/>
      <c r="C75" s="1009"/>
      <c r="D75" s="1009"/>
      <c r="E75" s="1009"/>
      <c r="F75" s="1009"/>
      <c r="G75" s="1009"/>
      <c r="H75" s="1009"/>
      <c r="I75" s="1009"/>
      <c r="J75" s="1010"/>
      <c r="K75" s="782"/>
    </row>
    <row r="76" spans="1:11" ht="14.25" customHeight="1">
      <c r="A76" s="754"/>
      <c r="B76" s="1108" t="s">
        <v>1277</v>
      </c>
      <c r="C76" s="1009"/>
      <c r="D76" s="1009"/>
      <c r="E76" s="1009"/>
      <c r="F76" s="1009"/>
      <c r="G76" s="1009"/>
      <c r="H76" s="1009"/>
      <c r="I76" s="1009"/>
      <c r="J76" s="1010"/>
      <c r="K76" s="655"/>
    </row>
    <row r="77" spans="1:11" ht="11.25" customHeight="1">
      <c r="A77" s="754"/>
      <c r="B77" s="656" t="s">
        <v>597</v>
      </c>
      <c r="C77" s="1165" t="s">
        <v>598</v>
      </c>
      <c r="D77" s="1009"/>
      <c r="E77" s="1009"/>
      <c r="F77" s="1009"/>
      <c r="G77" s="1009"/>
      <c r="H77" s="1010"/>
      <c r="I77" s="811" t="s">
        <v>556</v>
      </c>
      <c r="J77" s="657" t="s">
        <v>599</v>
      </c>
      <c r="K77" s="487"/>
    </row>
    <row r="78" spans="1:11" ht="11.25" customHeight="1">
      <c r="A78" s="754"/>
      <c r="B78" s="812" t="s">
        <v>514</v>
      </c>
      <c r="C78" s="1178" t="s">
        <v>600</v>
      </c>
      <c r="D78" s="1009"/>
      <c r="E78" s="1009"/>
      <c r="F78" s="1009"/>
      <c r="G78" s="1009"/>
      <c r="H78" s="1010"/>
      <c r="I78" s="813">
        <v>0.2</v>
      </c>
      <c r="J78" s="814">
        <f>ROUND((J58+J72)*I78,2)</f>
        <v>0</v>
      </c>
      <c r="K78" s="809"/>
    </row>
    <row r="79" spans="1:11" ht="11.25" customHeight="1">
      <c r="A79" s="754"/>
      <c r="B79" s="812" t="s">
        <v>516</v>
      </c>
      <c r="C79" s="1178" t="s">
        <v>601</v>
      </c>
      <c r="D79" s="1009"/>
      <c r="E79" s="1009"/>
      <c r="F79" s="1009"/>
      <c r="G79" s="1009"/>
      <c r="H79" s="1010"/>
      <c r="I79" s="813">
        <v>2.5000000000000001E-2</v>
      </c>
      <c r="J79" s="814">
        <f>ROUND((J58+J72)*I79,2)</f>
        <v>0</v>
      </c>
      <c r="K79" s="809"/>
    </row>
    <row r="80" spans="1:11" ht="11.25" customHeight="1">
      <c r="A80" s="754"/>
      <c r="B80" s="812" t="s">
        <v>518</v>
      </c>
      <c r="C80" s="1178" t="s">
        <v>1278</v>
      </c>
      <c r="D80" s="1010"/>
      <c r="E80" s="815" t="s">
        <v>603</v>
      </c>
      <c r="F80" s="816">
        <f>'1-ABA-DE-CARREGAMENTO'!M57</f>
        <v>0.03</v>
      </c>
      <c r="G80" s="815" t="s">
        <v>604</v>
      </c>
      <c r="H80" s="817">
        <f>'1-ABA-DE-CARREGAMENTO'!M58</f>
        <v>1</v>
      </c>
      <c r="I80" s="818">
        <f>ROUND((F80*H80),6)</f>
        <v>0.03</v>
      </c>
      <c r="J80" s="814">
        <f>ROUND((J58+J72)*I80,2)</f>
        <v>0</v>
      </c>
      <c r="K80" s="809"/>
    </row>
    <row r="81" spans="1:11" ht="16.5" customHeight="1">
      <c r="A81" s="754"/>
      <c r="B81" s="812" t="s">
        <v>520</v>
      </c>
      <c r="C81" s="1178" t="s">
        <v>605</v>
      </c>
      <c r="D81" s="1009"/>
      <c r="E81" s="1009"/>
      <c r="F81" s="1009"/>
      <c r="G81" s="1009"/>
      <c r="H81" s="1010"/>
      <c r="I81" s="813">
        <v>1.4999999999999999E-2</v>
      </c>
      <c r="J81" s="814">
        <f>ROUND((J58+J72)*I81,2)</f>
        <v>0</v>
      </c>
      <c r="K81" s="809"/>
    </row>
    <row r="82" spans="1:11" ht="16.5" customHeight="1">
      <c r="A82" s="754"/>
      <c r="B82" s="812" t="s">
        <v>562</v>
      </c>
      <c r="C82" s="1178" t="s">
        <v>606</v>
      </c>
      <c r="D82" s="1009"/>
      <c r="E82" s="1009"/>
      <c r="F82" s="1009"/>
      <c r="G82" s="1009"/>
      <c r="H82" s="1010"/>
      <c r="I82" s="813">
        <v>0.01</v>
      </c>
      <c r="J82" s="814">
        <f>ROUND((J58+J72)*I82,2)</f>
        <v>0</v>
      </c>
      <c r="K82" s="809"/>
    </row>
    <row r="83" spans="1:11" ht="16.5" customHeight="1">
      <c r="A83" s="754"/>
      <c r="B83" s="812" t="s">
        <v>566</v>
      </c>
      <c r="C83" s="1178" t="s">
        <v>607</v>
      </c>
      <c r="D83" s="1009"/>
      <c r="E83" s="1009"/>
      <c r="F83" s="1009"/>
      <c r="G83" s="1009"/>
      <c r="H83" s="1010"/>
      <c r="I83" s="813">
        <v>6.0000000000000001E-3</v>
      </c>
      <c r="J83" s="814">
        <f>ROUND((J58+J72)*I83,2)</f>
        <v>0</v>
      </c>
      <c r="K83" s="809"/>
    </row>
    <row r="84" spans="1:11" ht="16.5" customHeight="1">
      <c r="A84" s="754"/>
      <c r="B84" s="812" t="s">
        <v>568</v>
      </c>
      <c r="C84" s="1178" t="s">
        <v>608</v>
      </c>
      <c r="D84" s="1009"/>
      <c r="E84" s="1009"/>
      <c r="F84" s="1009"/>
      <c r="G84" s="1009"/>
      <c r="H84" s="1010"/>
      <c r="I84" s="813">
        <v>2E-3</v>
      </c>
      <c r="J84" s="814">
        <f>ROUND((J58+J72)*I84,2)</f>
        <v>0</v>
      </c>
      <c r="K84" s="809"/>
    </row>
    <row r="85" spans="1:11" ht="28.5" customHeight="1">
      <c r="A85" s="754"/>
      <c r="B85" s="812" t="s">
        <v>570</v>
      </c>
      <c r="C85" s="1178" t="s">
        <v>609</v>
      </c>
      <c r="D85" s="1009"/>
      <c r="E85" s="1009"/>
      <c r="F85" s="1009"/>
      <c r="G85" s="1009"/>
      <c r="H85" s="1010"/>
      <c r="I85" s="813">
        <v>0.08</v>
      </c>
      <c r="J85" s="814">
        <f>ROUND((J58+J72)*I85,2)</f>
        <v>0</v>
      </c>
      <c r="K85" s="809"/>
    </row>
    <row r="86" spans="1:11" ht="12" customHeight="1">
      <c r="A86" s="754"/>
      <c r="B86" s="1204" t="s">
        <v>594</v>
      </c>
      <c r="C86" s="1009"/>
      <c r="D86" s="1009"/>
      <c r="E86" s="1009"/>
      <c r="F86" s="1009"/>
      <c r="G86" s="1009"/>
      <c r="H86" s="1010"/>
      <c r="I86" s="819">
        <f t="shared" ref="I86:J86" si="0">SUM(I78:I85)</f>
        <v>0.36800000000000005</v>
      </c>
      <c r="J86" s="808">
        <f t="shared" si="0"/>
        <v>0</v>
      </c>
      <c r="K86" s="809"/>
    </row>
    <row r="87" spans="1:11" ht="12" customHeight="1">
      <c r="A87" s="754"/>
      <c r="B87" s="820"/>
      <c r="C87" s="666"/>
      <c r="D87" s="666"/>
      <c r="E87" s="666"/>
      <c r="F87" s="666"/>
      <c r="G87" s="666"/>
      <c r="H87" s="666"/>
      <c r="I87" s="821"/>
      <c r="J87" s="822"/>
      <c r="K87" s="809"/>
    </row>
    <row r="88" spans="1:11" ht="39" customHeight="1">
      <c r="A88" s="754"/>
      <c r="B88" s="1214" t="s">
        <v>610</v>
      </c>
      <c r="C88" s="1009"/>
      <c r="D88" s="1009"/>
      <c r="E88" s="1009"/>
      <c r="F88" s="1009"/>
      <c r="G88" s="1009"/>
      <c r="H88" s="1009"/>
      <c r="I88" s="1009"/>
      <c r="J88" s="1010"/>
      <c r="K88" s="782"/>
    </row>
    <row r="89" spans="1:11" ht="18.75" customHeight="1">
      <c r="A89" s="754"/>
      <c r="B89" s="1225"/>
      <c r="C89" s="1009"/>
      <c r="D89" s="1009"/>
      <c r="E89" s="1009"/>
      <c r="F89" s="1009"/>
      <c r="G89" s="1009"/>
      <c r="H89" s="1009"/>
      <c r="I89" s="1009"/>
      <c r="J89" s="1010"/>
      <c r="K89" s="376"/>
    </row>
    <row r="90" spans="1:11" ht="15" customHeight="1">
      <c r="A90" s="754"/>
      <c r="B90" s="1096" t="s">
        <v>611</v>
      </c>
      <c r="C90" s="1009"/>
      <c r="D90" s="1009"/>
      <c r="E90" s="1009"/>
      <c r="F90" s="1009"/>
      <c r="G90" s="1009"/>
      <c r="H90" s="1009"/>
      <c r="I90" s="1009"/>
      <c r="J90" s="1010"/>
      <c r="K90" s="646"/>
    </row>
    <row r="91" spans="1:11" ht="15" customHeight="1">
      <c r="A91" s="754"/>
      <c r="B91" s="669" t="s">
        <v>612</v>
      </c>
      <c r="C91" s="1083" t="s">
        <v>613</v>
      </c>
      <c r="D91" s="1009"/>
      <c r="E91" s="1009"/>
      <c r="F91" s="1009"/>
      <c r="G91" s="1009"/>
      <c r="H91" s="1009"/>
      <c r="I91" s="1010"/>
      <c r="J91" s="670" t="s">
        <v>591</v>
      </c>
      <c r="K91" s="592"/>
    </row>
    <row r="92" spans="1:11" ht="15" customHeight="1">
      <c r="A92" s="754"/>
      <c r="B92" s="823" t="s">
        <v>514</v>
      </c>
      <c r="C92" s="1178" t="s">
        <v>1279</v>
      </c>
      <c r="D92" s="1009"/>
      <c r="E92" s="1009"/>
      <c r="F92" s="1009"/>
      <c r="G92" s="1009"/>
      <c r="H92" s="1010"/>
      <c r="I92" s="794">
        <f>J47</f>
        <v>0</v>
      </c>
      <c r="J92" s="824">
        <f>IF(ROUND((I93*I95*I94)-(J47*I96),2)&lt;0,0,ROUND((I93*I95*I94)-(J47*I96),2))</f>
        <v>0</v>
      </c>
      <c r="K92" s="809"/>
    </row>
    <row r="93" spans="1:11" ht="28.5" customHeight="1">
      <c r="A93" s="754"/>
      <c r="B93" s="823" t="s">
        <v>516</v>
      </c>
      <c r="C93" s="1178" t="s">
        <v>1280</v>
      </c>
      <c r="D93" s="1009"/>
      <c r="E93" s="1009"/>
      <c r="F93" s="1009"/>
      <c r="G93" s="1009"/>
      <c r="H93" s="1009"/>
      <c r="I93" s="825">
        <f>'1-ABA-DE-CARREGAMENTO'!M72</f>
        <v>3.2</v>
      </c>
      <c r="J93" s="826" t="s">
        <v>527</v>
      </c>
      <c r="K93" s="799"/>
    </row>
    <row r="94" spans="1:11" ht="17.25" customHeight="1">
      <c r="A94" s="754"/>
      <c r="B94" s="823" t="s">
        <v>518</v>
      </c>
      <c r="C94" s="1178" t="s">
        <v>1281</v>
      </c>
      <c r="D94" s="1009"/>
      <c r="E94" s="1009"/>
      <c r="F94" s="1009"/>
      <c r="G94" s="1009"/>
      <c r="H94" s="1010"/>
      <c r="I94" s="827">
        <f>'1-ABA-DE-CARREGAMENTO'!M73</f>
        <v>2</v>
      </c>
      <c r="J94" s="826" t="s">
        <v>527</v>
      </c>
      <c r="K94" s="799"/>
    </row>
    <row r="95" spans="1:11" ht="19.5" customHeight="1">
      <c r="A95" s="754"/>
      <c r="B95" s="823" t="s">
        <v>520</v>
      </c>
      <c r="C95" s="1229" t="s">
        <v>617</v>
      </c>
      <c r="D95" s="1009"/>
      <c r="E95" s="1009"/>
      <c r="F95" s="1009"/>
      <c r="G95" s="1009"/>
      <c r="H95" s="1010"/>
      <c r="I95" s="827">
        <f>'1-ABA-DE-CARREGAMENTO'!M74</f>
        <v>0</v>
      </c>
      <c r="J95" s="826" t="s">
        <v>527</v>
      </c>
      <c r="K95" s="799"/>
    </row>
    <row r="96" spans="1:11" ht="27" customHeight="1">
      <c r="A96" s="754"/>
      <c r="B96" s="823" t="s">
        <v>562</v>
      </c>
      <c r="C96" s="1229" t="s">
        <v>1282</v>
      </c>
      <c r="D96" s="1009"/>
      <c r="E96" s="1009"/>
      <c r="F96" s="1009"/>
      <c r="G96" s="1009"/>
      <c r="H96" s="1010"/>
      <c r="I96" s="832">
        <f>'1-ABA-DE-CARREGAMENTO'!M75</f>
        <v>0.06</v>
      </c>
      <c r="J96" s="830" t="s">
        <v>527</v>
      </c>
      <c r="K96" s="799"/>
    </row>
    <row r="97" spans="1:11" ht="15" customHeight="1">
      <c r="A97" s="754"/>
      <c r="B97" s="823" t="s">
        <v>566</v>
      </c>
      <c r="C97" s="1178" t="s">
        <v>1283</v>
      </c>
      <c r="D97" s="1009"/>
      <c r="E97" s="1009"/>
      <c r="F97" s="1009"/>
      <c r="G97" s="1009"/>
      <c r="H97" s="1009"/>
      <c r="I97" s="1009"/>
      <c r="J97" s="824">
        <f>ROUND(I98*I99,2)-ROUND((I98*I99)*I100,2)</f>
        <v>0</v>
      </c>
      <c r="K97" s="809"/>
    </row>
    <row r="98" spans="1:11" ht="15" customHeight="1">
      <c r="A98" s="754"/>
      <c r="B98" s="823" t="s">
        <v>568</v>
      </c>
      <c r="C98" s="1178" t="s">
        <v>1284</v>
      </c>
      <c r="D98" s="1009"/>
      <c r="E98" s="1009"/>
      <c r="F98" s="1009"/>
      <c r="G98" s="1009"/>
      <c r="H98" s="1009"/>
      <c r="I98" s="825">
        <f>IF('1-ABA-DE-CARREGAMENTO'!M60&gt;0,'1-ABA-DE-CARREGAMENTO'!M60,'1-ABA-DE-CARREGAMENTO'!M63)</f>
        <v>0</v>
      </c>
      <c r="J98" s="831"/>
      <c r="K98" s="799"/>
    </row>
    <row r="99" spans="1:11" ht="15" customHeight="1">
      <c r="A99" s="754"/>
      <c r="B99" s="823" t="s">
        <v>570</v>
      </c>
      <c r="C99" s="1178" t="s">
        <v>1285</v>
      </c>
      <c r="D99" s="1009"/>
      <c r="E99" s="1009"/>
      <c r="F99" s="1009"/>
      <c r="G99" s="1009"/>
      <c r="H99" s="1009"/>
      <c r="I99" s="827">
        <f>'1-ABA-DE-CARREGAMENTO'!M62</f>
        <v>22</v>
      </c>
      <c r="J99" s="831"/>
      <c r="K99" s="799"/>
    </row>
    <row r="100" spans="1:11" ht="24" customHeight="1">
      <c r="A100" s="754"/>
      <c r="B100" s="823" t="s">
        <v>574</v>
      </c>
      <c r="C100" s="1266" t="s">
        <v>1286</v>
      </c>
      <c r="D100" s="1009"/>
      <c r="E100" s="1009"/>
      <c r="F100" s="1009"/>
      <c r="G100" s="1009"/>
      <c r="H100" s="1010"/>
      <c r="I100" s="832">
        <f>'1-ABA-DE-CARREGAMENTO'!M61</f>
        <v>0</v>
      </c>
      <c r="J100" s="833"/>
      <c r="K100" s="799"/>
    </row>
    <row r="101" spans="1:11" ht="15" customHeight="1">
      <c r="A101" s="754"/>
      <c r="B101" s="823" t="s">
        <v>578</v>
      </c>
      <c r="C101" s="1178" t="s">
        <v>1114</v>
      </c>
      <c r="D101" s="1009"/>
      <c r="E101" s="1009"/>
      <c r="F101" s="1009"/>
      <c r="G101" s="1009"/>
      <c r="H101" s="1009"/>
      <c r="I101" s="1009"/>
      <c r="J101" s="814">
        <v>0</v>
      </c>
      <c r="K101" s="809"/>
    </row>
    <row r="102" spans="1:11" ht="36.75" customHeight="1">
      <c r="A102" s="754"/>
      <c r="B102" s="823" t="s">
        <v>580</v>
      </c>
      <c r="C102" s="1178" t="s">
        <v>1287</v>
      </c>
      <c r="D102" s="1009"/>
      <c r="E102" s="1009"/>
      <c r="F102" s="1009"/>
      <c r="G102" s="1009"/>
      <c r="H102" s="1009"/>
      <c r="I102" s="1009"/>
      <c r="J102" s="814">
        <f>'1-ABA-DE-CARREGAMENTO'!M77</f>
        <v>0.06</v>
      </c>
      <c r="K102" s="809"/>
    </row>
    <row r="103" spans="1:11" ht="36.75" customHeight="1">
      <c r="A103" s="754"/>
      <c r="B103" s="823" t="s">
        <v>625</v>
      </c>
      <c r="C103" s="1178" t="s">
        <v>1288</v>
      </c>
      <c r="D103" s="1009"/>
      <c r="E103" s="1009"/>
      <c r="F103" s="1009"/>
      <c r="G103" s="1009"/>
      <c r="H103" s="1009"/>
      <c r="I103" s="1010"/>
      <c r="J103" s="814">
        <f>'1-ABA-DE-CARREGAMENTO'!M78</f>
        <v>0.06</v>
      </c>
      <c r="K103" s="809"/>
    </row>
    <row r="104" spans="1:11" ht="16.5" customHeight="1">
      <c r="A104" s="754"/>
      <c r="B104" s="823" t="s">
        <v>627</v>
      </c>
      <c r="C104" s="1178" t="s">
        <v>818</v>
      </c>
      <c r="D104" s="1009"/>
      <c r="E104" s="1009"/>
      <c r="F104" s="1009"/>
      <c r="G104" s="1009"/>
      <c r="H104" s="1009"/>
      <c r="I104" s="1010"/>
      <c r="J104" s="814">
        <f>'1-ABA-DE-CARREGAMENTO'!M76</f>
        <v>0.06</v>
      </c>
      <c r="K104" s="809"/>
    </row>
    <row r="105" spans="1:11" ht="17.25" customHeight="1">
      <c r="A105" s="754"/>
      <c r="B105" s="823" t="s">
        <v>129</v>
      </c>
      <c r="C105" s="1212" t="s">
        <v>668</v>
      </c>
      <c r="D105" s="1009"/>
      <c r="E105" s="1009"/>
      <c r="F105" s="1009"/>
      <c r="G105" s="1009"/>
      <c r="H105" s="1009"/>
      <c r="I105" s="1009"/>
      <c r="J105" s="834">
        <v>0</v>
      </c>
      <c r="K105" s="835"/>
    </row>
    <row r="106" spans="1:11" ht="33.75" customHeight="1">
      <c r="A106" s="754"/>
      <c r="B106" s="836"/>
      <c r="C106" s="1204" t="s">
        <v>594</v>
      </c>
      <c r="D106" s="1009"/>
      <c r="E106" s="1009"/>
      <c r="F106" s="1009"/>
      <c r="G106" s="1009"/>
      <c r="H106" s="1009"/>
      <c r="I106" s="1030"/>
      <c r="J106" s="808">
        <f>SUM(J92:J105)</f>
        <v>0.18</v>
      </c>
      <c r="K106" s="809"/>
    </row>
    <row r="107" spans="1:11" ht="17.25" customHeight="1">
      <c r="A107" s="754"/>
      <c r="B107" s="1225"/>
      <c r="C107" s="1009"/>
      <c r="D107" s="1009"/>
      <c r="E107" s="1009"/>
      <c r="F107" s="1009"/>
      <c r="G107" s="1009"/>
      <c r="H107" s="1009"/>
      <c r="I107" s="1009"/>
      <c r="J107" s="1010"/>
      <c r="K107" s="376"/>
    </row>
    <row r="108" spans="1:11" ht="34.5" customHeight="1">
      <c r="A108" s="754"/>
      <c r="B108" s="1214" t="s">
        <v>630</v>
      </c>
      <c r="C108" s="1009"/>
      <c r="D108" s="1009"/>
      <c r="E108" s="1009"/>
      <c r="F108" s="1009"/>
      <c r="G108" s="1009"/>
      <c r="H108" s="1009"/>
      <c r="I108" s="1009"/>
      <c r="J108" s="1010"/>
      <c r="K108" s="782"/>
    </row>
    <row r="109" spans="1:11" ht="19.5" customHeight="1">
      <c r="A109" s="754"/>
      <c r="B109" s="1220"/>
      <c r="C109" s="1009"/>
      <c r="D109" s="1009"/>
      <c r="E109" s="1009"/>
      <c r="F109" s="1009"/>
      <c r="G109" s="1009"/>
      <c r="H109" s="1009"/>
      <c r="I109" s="1009"/>
      <c r="J109" s="1010"/>
      <c r="K109" s="763"/>
    </row>
    <row r="110" spans="1:11" ht="19.5" customHeight="1">
      <c r="A110" s="754"/>
      <c r="B110" s="1265" t="s">
        <v>631</v>
      </c>
      <c r="C110" s="1009"/>
      <c r="D110" s="1009"/>
      <c r="E110" s="1009"/>
      <c r="F110" s="1009"/>
      <c r="G110" s="1009"/>
      <c r="H110" s="1009"/>
      <c r="I110" s="1009"/>
      <c r="J110" s="1010"/>
      <c r="K110" s="837"/>
    </row>
    <row r="111" spans="1:11" ht="19.5" customHeight="1">
      <c r="A111" s="754"/>
      <c r="B111" s="657">
        <v>2</v>
      </c>
      <c r="C111" s="1165" t="s">
        <v>632</v>
      </c>
      <c r="D111" s="1009"/>
      <c r="E111" s="1009"/>
      <c r="F111" s="1009"/>
      <c r="G111" s="1009"/>
      <c r="H111" s="1009"/>
      <c r="I111" s="1010"/>
      <c r="J111" s="657" t="s">
        <v>591</v>
      </c>
      <c r="K111" s="487"/>
    </row>
    <row r="112" spans="1:11" ht="19.5" customHeight="1">
      <c r="A112" s="754"/>
      <c r="B112" s="769" t="s">
        <v>589</v>
      </c>
      <c r="C112" s="1215" t="s">
        <v>1289</v>
      </c>
      <c r="D112" s="1009"/>
      <c r="E112" s="1009"/>
      <c r="F112" s="1009"/>
      <c r="G112" s="1009"/>
      <c r="H112" s="1009"/>
      <c r="I112" s="1010"/>
      <c r="J112" s="838">
        <f>J72</f>
        <v>0</v>
      </c>
      <c r="K112" s="839"/>
    </row>
    <row r="113" spans="1:11" ht="19.5" customHeight="1">
      <c r="A113" s="754"/>
      <c r="B113" s="769" t="s">
        <v>597</v>
      </c>
      <c r="C113" s="1215" t="s">
        <v>598</v>
      </c>
      <c r="D113" s="1009"/>
      <c r="E113" s="1009"/>
      <c r="F113" s="1009"/>
      <c r="G113" s="1009"/>
      <c r="H113" s="1009"/>
      <c r="I113" s="1010"/>
      <c r="J113" s="838">
        <f>J86</f>
        <v>0</v>
      </c>
      <c r="K113" s="839"/>
    </row>
    <row r="114" spans="1:11" ht="19.5" customHeight="1">
      <c r="A114" s="754"/>
      <c r="B114" s="769" t="s">
        <v>612</v>
      </c>
      <c r="C114" s="1215" t="s">
        <v>613</v>
      </c>
      <c r="D114" s="1009"/>
      <c r="E114" s="1009"/>
      <c r="F114" s="1009"/>
      <c r="G114" s="1009"/>
      <c r="H114" s="1009"/>
      <c r="I114" s="1010"/>
      <c r="J114" s="838">
        <f>J106</f>
        <v>0.18</v>
      </c>
      <c r="K114" s="839"/>
    </row>
    <row r="115" spans="1:11" ht="14.25" customHeight="1">
      <c r="A115" s="754"/>
      <c r="B115" s="1261" t="s">
        <v>594</v>
      </c>
      <c r="C115" s="1009"/>
      <c r="D115" s="1009"/>
      <c r="E115" s="1009"/>
      <c r="F115" s="1009"/>
      <c r="G115" s="1009"/>
      <c r="H115" s="1009"/>
      <c r="I115" s="1010"/>
      <c r="J115" s="840">
        <f>SUM(J112+J113+J114)</f>
        <v>0.18</v>
      </c>
      <c r="K115" s="839"/>
    </row>
    <row r="116" spans="1:11" ht="14.25" customHeight="1">
      <c r="A116" s="754"/>
      <c r="B116" s="1262"/>
      <c r="C116" s="1009"/>
      <c r="D116" s="1009"/>
      <c r="E116" s="1009"/>
      <c r="F116" s="1009"/>
      <c r="G116" s="1009"/>
      <c r="H116" s="1009"/>
      <c r="I116" s="1009"/>
      <c r="J116" s="1010"/>
      <c r="K116" s="841"/>
    </row>
    <row r="117" spans="1:11" ht="18.75" customHeight="1">
      <c r="A117" s="754"/>
      <c r="B117" s="1252" t="s">
        <v>634</v>
      </c>
      <c r="C117" s="1009"/>
      <c r="D117" s="1009"/>
      <c r="E117" s="1009"/>
      <c r="F117" s="1009"/>
      <c r="G117" s="1009"/>
      <c r="H117" s="1009"/>
      <c r="I117" s="1009"/>
      <c r="J117" s="1010"/>
      <c r="K117" s="842"/>
    </row>
    <row r="118" spans="1:11" ht="15.75" customHeight="1">
      <c r="A118" s="754"/>
      <c r="B118" s="669">
        <v>3</v>
      </c>
      <c r="C118" s="1162" t="s">
        <v>635</v>
      </c>
      <c r="D118" s="1009"/>
      <c r="E118" s="1009"/>
      <c r="F118" s="1009"/>
      <c r="G118" s="1009"/>
      <c r="H118" s="1009"/>
      <c r="I118" s="1010"/>
      <c r="J118" s="669" t="s">
        <v>591</v>
      </c>
      <c r="K118" s="601"/>
    </row>
    <row r="119" spans="1:11" ht="42.75" customHeight="1">
      <c r="A119" s="754"/>
      <c r="B119" s="823" t="s">
        <v>514</v>
      </c>
      <c r="C119" s="1178" t="s">
        <v>1290</v>
      </c>
      <c r="D119" s="1009"/>
      <c r="E119" s="1009"/>
      <c r="F119" s="1009"/>
      <c r="G119" s="1009"/>
      <c r="H119" s="1009"/>
      <c r="I119" s="1010"/>
      <c r="J119" s="814">
        <f>ROUND((($J$58/12)+($J$70/12)+(J58/12/12)+($J$71/12))*(30/30)*0.05,2)</f>
        <v>0</v>
      </c>
      <c r="K119" s="809"/>
    </row>
    <row r="120" spans="1:11" ht="15.75" customHeight="1">
      <c r="A120" s="754"/>
      <c r="B120" s="823" t="s">
        <v>516</v>
      </c>
      <c r="C120" s="1212" t="s">
        <v>637</v>
      </c>
      <c r="D120" s="1009"/>
      <c r="E120" s="1009"/>
      <c r="F120" s="1009"/>
      <c r="G120" s="1009"/>
      <c r="H120" s="1009"/>
      <c r="I120" s="1010"/>
      <c r="J120" s="814">
        <f>ROUND($I$85*J119,2)</f>
        <v>0</v>
      </c>
      <c r="K120" s="809"/>
    </row>
    <row r="121" spans="1:11" ht="30" customHeight="1">
      <c r="A121" s="754"/>
      <c r="B121" s="823" t="s">
        <v>518</v>
      </c>
      <c r="C121" s="1178" t="s">
        <v>1291</v>
      </c>
      <c r="D121" s="1009"/>
      <c r="E121" s="1009"/>
      <c r="F121" s="1009"/>
      <c r="G121" s="1009"/>
      <c r="H121" s="1009"/>
      <c r="I121" s="1010"/>
      <c r="J121" s="814">
        <f>ROUND(((7/30)/$I$11)*$J$58*1,2)</f>
        <v>0</v>
      </c>
      <c r="K121" s="809"/>
    </row>
    <row r="122" spans="1:11" ht="24" customHeight="1">
      <c r="A122" s="754"/>
      <c r="B122" s="823" t="s">
        <v>520</v>
      </c>
      <c r="C122" s="1212" t="s">
        <v>639</v>
      </c>
      <c r="D122" s="1009"/>
      <c r="E122" s="1009"/>
      <c r="F122" s="1009"/>
      <c r="G122" s="1009"/>
      <c r="H122" s="1009"/>
      <c r="I122" s="1010"/>
      <c r="J122" s="814">
        <f>ROUND($I$86*J121,2)</f>
        <v>0</v>
      </c>
      <c r="K122" s="809"/>
    </row>
    <row r="123" spans="1:11" ht="36" customHeight="1">
      <c r="A123" s="754"/>
      <c r="B123" s="823" t="s">
        <v>562</v>
      </c>
      <c r="C123" s="1178" t="s">
        <v>1292</v>
      </c>
      <c r="D123" s="1009"/>
      <c r="E123" s="1009"/>
      <c r="F123" s="1009"/>
      <c r="G123" s="1009"/>
      <c r="H123" s="1010"/>
      <c r="I123" s="843">
        <v>0.04</v>
      </c>
      <c r="J123" s="814">
        <f>ROUND(J58*I123,2)</f>
        <v>0</v>
      </c>
      <c r="K123" s="809"/>
    </row>
    <row r="124" spans="1:11" ht="19.5" customHeight="1">
      <c r="A124" s="754"/>
      <c r="B124" s="1204" t="s">
        <v>641</v>
      </c>
      <c r="C124" s="1009"/>
      <c r="D124" s="1009"/>
      <c r="E124" s="1009"/>
      <c r="F124" s="1009"/>
      <c r="G124" s="1009"/>
      <c r="H124" s="1009"/>
      <c r="I124" s="1010"/>
      <c r="J124" s="808">
        <f>SUM(J119:J123)</f>
        <v>0</v>
      </c>
      <c r="K124" s="809"/>
    </row>
    <row r="125" spans="1:11" ht="15.75" customHeight="1">
      <c r="A125" s="754"/>
      <c r="B125" s="1186"/>
      <c r="C125" s="1009"/>
      <c r="D125" s="1009"/>
      <c r="E125" s="1009"/>
      <c r="F125" s="1009"/>
      <c r="G125" s="1009"/>
      <c r="H125" s="1009"/>
      <c r="I125" s="1009"/>
      <c r="J125" s="1010"/>
      <c r="K125" s="844"/>
    </row>
    <row r="126" spans="1:11" ht="17.25" customHeight="1">
      <c r="A126" s="754"/>
      <c r="B126" s="1187" t="s">
        <v>642</v>
      </c>
      <c r="C126" s="1009"/>
      <c r="D126" s="1009"/>
      <c r="E126" s="1009"/>
      <c r="F126" s="1009"/>
      <c r="G126" s="1009"/>
      <c r="H126" s="1009"/>
      <c r="I126" s="1009"/>
      <c r="J126" s="1010"/>
      <c r="K126" s="845"/>
    </row>
    <row r="127" spans="1:11" ht="27" customHeight="1">
      <c r="A127" s="754"/>
      <c r="B127" s="1214" t="s">
        <v>643</v>
      </c>
      <c r="C127" s="1009"/>
      <c r="D127" s="1009"/>
      <c r="E127" s="1009"/>
      <c r="F127" s="1009"/>
      <c r="G127" s="1009"/>
      <c r="H127" s="1009"/>
      <c r="I127" s="1009"/>
      <c r="J127" s="1010"/>
      <c r="K127" s="782"/>
    </row>
    <row r="128" spans="1:11" ht="54" customHeight="1">
      <c r="A128" s="754"/>
      <c r="B128" s="1108" t="s">
        <v>1293</v>
      </c>
      <c r="C128" s="1009"/>
      <c r="D128" s="1009"/>
      <c r="E128" s="1009"/>
      <c r="F128" s="1009"/>
      <c r="G128" s="1009"/>
      <c r="H128" s="1009"/>
      <c r="I128" s="1009"/>
      <c r="J128" s="1010"/>
      <c r="K128" s="655"/>
    </row>
    <row r="129" spans="1:11" ht="33.75" customHeight="1">
      <c r="A129" s="754"/>
      <c r="B129" s="694" t="s">
        <v>645</v>
      </c>
      <c r="C129" s="695">
        <f>J58</f>
        <v>0</v>
      </c>
      <c r="D129" s="846" t="s">
        <v>646</v>
      </c>
      <c r="E129" s="694" t="s">
        <v>1294</v>
      </c>
      <c r="F129" s="695">
        <f>J115-J92-J97</f>
        <v>0.18</v>
      </c>
      <c r="G129" s="846" t="s">
        <v>646</v>
      </c>
      <c r="H129" s="694" t="s">
        <v>648</v>
      </c>
      <c r="I129" s="695">
        <f>J124</f>
        <v>0</v>
      </c>
      <c r="J129" s="847">
        <f>C129+F129+I129</f>
        <v>0.18</v>
      </c>
      <c r="K129" s="848"/>
    </row>
    <row r="130" spans="1:11" ht="13.5" customHeight="1">
      <c r="A130" s="754"/>
      <c r="B130" s="1263"/>
      <c r="C130" s="1009"/>
      <c r="D130" s="1009"/>
      <c r="E130" s="1009"/>
      <c r="F130" s="1009"/>
      <c r="G130" s="1009"/>
      <c r="H130" s="1009"/>
      <c r="I130" s="1009"/>
      <c r="J130" s="1010"/>
      <c r="K130" s="849"/>
    </row>
    <row r="131" spans="1:11" ht="15.75" customHeight="1">
      <c r="A131" s="754"/>
      <c r="B131" s="1069" t="s">
        <v>649</v>
      </c>
      <c r="C131" s="1009"/>
      <c r="D131" s="1009"/>
      <c r="E131" s="1009"/>
      <c r="F131" s="1009"/>
      <c r="G131" s="1009"/>
      <c r="H131" s="1009"/>
      <c r="I131" s="1009"/>
      <c r="J131" s="1010"/>
      <c r="K131" s="698"/>
    </row>
    <row r="132" spans="1:11" ht="17.25" customHeight="1">
      <c r="A132" s="754"/>
      <c r="B132" s="699" t="s">
        <v>650</v>
      </c>
      <c r="C132" s="1162" t="s">
        <v>651</v>
      </c>
      <c r="D132" s="1009"/>
      <c r="E132" s="1009"/>
      <c r="F132" s="1009"/>
      <c r="G132" s="1009"/>
      <c r="H132" s="1009"/>
      <c r="I132" s="1010"/>
      <c r="J132" s="699" t="s">
        <v>591</v>
      </c>
      <c r="K132" s="700"/>
    </row>
    <row r="133" spans="1:11" ht="46.5" customHeight="1">
      <c r="A133" s="754"/>
      <c r="B133" s="823" t="s">
        <v>514</v>
      </c>
      <c r="C133" s="1215" t="s">
        <v>1295</v>
      </c>
      <c r="D133" s="1009"/>
      <c r="E133" s="1009"/>
      <c r="F133" s="1009"/>
      <c r="G133" s="1009"/>
      <c r="H133" s="701">
        <v>9.0749999999999997E-2</v>
      </c>
      <c r="I133" s="702">
        <f>I86</f>
        <v>0.36800000000000005</v>
      </c>
      <c r="J133" s="814">
        <f>ROUND(H133*J58,2)*(1+I133)</f>
        <v>0</v>
      </c>
      <c r="K133" s="809"/>
    </row>
    <row r="134" spans="1:11" ht="17.25" customHeight="1">
      <c r="A134" s="754"/>
      <c r="B134" s="823" t="s">
        <v>516</v>
      </c>
      <c r="C134" s="1178" t="s">
        <v>1296</v>
      </c>
      <c r="D134" s="1009"/>
      <c r="E134" s="1009"/>
      <c r="F134" s="1009"/>
      <c r="G134" s="1009"/>
      <c r="H134" s="1009"/>
      <c r="I134" s="1010"/>
      <c r="J134" s="814">
        <f>ROUND((1/30)/12*(J129),2)</f>
        <v>0</v>
      </c>
      <c r="K134" s="809"/>
    </row>
    <row r="135" spans="1:11" ht="31.5" customHeight="1">
      <c r="A135" s="754"/>
      <c r="B135" s="823" t="s">
        <v>518</v>
      </c>
      <c r="C135" s="1178" t="s">
        <v>1297</v>
      </c>
      <c r="D135" s="1009"/>
      <c r="E135" s="1009"/>
      <c r="F135" s="1009"/>
      <c r="G135" s="1009"/>
      <c r="H135" s="1009"/>
      <c r="I135" s="1010"/>
      <c r="J135" s="814">
        <f>ROUND((5/30)/12*0.015*(J129),2)</f>
        <v>0</v>
      </c>
      <c r="K135" s="809"/>
    </row>
    <row r="136" spans="1:11" ht="24.75" customHeight="1">
      <c r="A136" s="754"/>
      <c r="B136" s="823" t="s">
        <v>520</v>
      </c>
      <c r="C136" s="1178" t="s">
        <v>1298</v>
      </c>
      <c r="D136" s="1009"/>
      <c r="E136" s="1009"/>
      <c r="F136" s="1009"/>
      <c r="G136" s="1009"/>
      <c r="H136" s="1009"/>
      <c r="I136" s="1010"/>
      <c r="J136" s="814">
        <f>ROUND(((15/30)/12)*0.0078*(J129),2)</f>
        <v>0</v>
      </c>
      <c r="K136" s="809"/>
    </row>
    <row r="137" spans="1:11" ht="31.5" customHeight="1">
      <c r="A137" s="754"/>
      <c r="B137" s="850" t="s">
        <v>562</v>
      </c>
      <c r="C137" s="1264" t="s">
        <v>1299</v>
      </c>
      <c r="D137" s="1009"/>
      <c r="E137" s="1009"/>
      <c r="F137" s="1009"/>
      <c r="G137" s="1009"/>
      <c r="H137" s="1009"/>
      <c r="I137" s="1010"/>
      <c r="J137" s="704">
        <f>ROUND(((((C129+C129/3)+(I86)*(C129+C129/3))*(4/12))/12)*0.02,2) + ((J106 -J92-J97+ J124)*4/12)*0.02</f>
        <v>1.1999999999999999E-3</v>
      </c>
      <c r="K137" s="653"/>
    </row>
    <row r="138" spans="1:11" ht="36" customHeight="1">
      <c r="A138" s="754"/>
      <c r="B138" s="823" t="s">
        <v>566</v>
      </c>
      <c r="C138" s="1178" t="s">
        <v>1300</v>
      </c>
      <c r="D138" s="1009"/>
      <c r="E138" s="1009"/>
      <c r="F138" s="1009"/>
      <c r="G138" s="1009"/>
      <c r="H138" s="1009"/>
      <c r="I138" s="1010"/>
      <c r="J138" s="814">
        <f>ROUND(((3/30)/12)*(J129),2)</f>
        <v>0</v>
      </c>
      <c r="K138" s="809"/>
    </row>
    <row r="139" spans="1:11" ht="19.5" customHeight="1">
      <c r="A139" s="754"/>
      <c r="B139" s="1204" t="s">
        <v>594</v>
      </c>
      <c r="C139" s="1009"/>
      <c r="D139" s="1009"/>
      <c r="E139" s="1009"/>
      <c r="F139" s="1009"/>
      <c r="G139" s="1009"/>
      <c r="H139" s="1009"/>
      <c r="I139" s="1010"/>
      <c r="J139" s="808">
        <f>SUM(J133:J138)</f>
        <v>1.1999999999999999E-3</v>
      </c>
      <c r="K139" s="809"/>
    </row>
    <row r="140" spans="1:11" ht="9" customHeight="1">
      <c r="A140" s="754"/>
      <c r="B140" s="1186"/>
      <c r="C140" s="1009"/>
      <c r="D140" s="1009"/>
      <c r="E140" s="1009"/>
      <c r="F140" s="1009"/>
      <c r="G140" s="1009"/>
      <c r="H140" s="1009"/>
      <c r="I140" s="1009"/>
      <c r="J140" s="1010"/>
      <c r="K140" s="844"/>
    </row>
    <row r="141" spans="1:11" ht="19.5" customHeight="1">
      <c r="A141" s="754"/>
      <c r="B141" s="1096" t="s">
        <v>658</v>
      </c>
      <c r="C141" s="1009"/>
      <c r="D141" s="1009"/>
      <c r="E141" s="1009"/>
      <c r="F141" s="1009"/>
      <c r="G141" s="1009"/>
      <c r="H141" s="1009"/>
      <c r="I141" s="1009"/>
      <c r="J141" s="1010"/>
      <c r="K141" s="646"/>
    </row>
    <row r="142" spans="1:11" ht="19.5" customHeight="1">
      <c r="A142" s="754"/>
      <c r="B142" s="705" t="s">
        <v>659</v>
      </c>
      <c r="C142" s="1097" t="s">
        <v>660</v>
      </c>
      <c r="D142" s="1009"/>
      <c r="E142" s="1009"/>
      <c r="F142" s="1009"/>
      <c r="G142" s="1009"/>
      <c r="H142" s="1009"/>
      <c r="I142" s="1010"/>
      <c r="J142" s="706" t="s">
        <v>591</v>
      </c>
      <c r="K142" s="707"/>
    </row>
    <row r="143" spans="1:11" ht="19.5" customHeight="1">
      <c r="A143" s="754"/>
      <c r="B143" s="851" t="s">
        <v>514</v>
      </c>
      <c r="C143" s="1202" t="s">
        <v>661</v>
      </c>
      <c r="D143" s="1009"/>
      <c r="E143" s="1009"/>
      <c r="F143" s="1009"/>
      <c r="G143" s="1009"/>
      <c r="H143" s="1009"/>
      <c r="I143" s="1010"/>
      <c r="J143" s="852">
        <v>0</v>
      </c>
      <c r="K143" s="853"/>
    </row>
    <row r="144" spans="1:11" ht="19.5" customHeight="1">
      <c r="A144" s="754"/>
      <c r="B144" s="1199" t="s">
        <v>594</v>
      </c>
      <c r="C144" s="1009"/>
      <c r="D144" s="1009"/>
      <c r="E144" s="1009"/>
      <c r="F144" s="1009"/>
      <c r="G144" s="1009"/>
      <c r="H144" s="1009"/>
      <c r="I144" s="1010"/>
      <c r="J144" s="854">
        <v>0</v>
      </c>
      <c r="K144" s="853"/>
    </row>
    <row r="145" spans="1:11" ht="7.5" customHeight="1">
      <c r="A145" s="754"/>
      <c r="B145" s="1200"/>
      <c r="C145" s="1009"/>
      <c r="D145" s="1009"/>
      <c r="E145" s="1009"/>
      <c r="F145" s="1009"/>
      <c r="G145" s="1009"/>
      <c r="H145" s="1009"/>
      <c r="I145" s="1009"/>
      <c r="J145" s="1010"/>
      <c r="K145" s="855"/>
    </row>
    <row r="146" spans="1:11" ht="19.5" customHeight="1">
      <c r="A146" s="754"/>
      <c r="B146" s="1201" t="s">
        <v>662</v>
      </c>
      <c r="C146" s="1009"/>
      <c r="D146" s="1009"/>
      <c r="E146" s="1009"/>
      <c r="F146" s="1009"/>
      <c r="G146" s="1009"/>
      <c r="H146" s="1009"/>
      <c r="I146" s="1009"/>
      <c r="J146" s="1010"/>
      <c r="K146" s="805"/>
    </row>
    <row r="147" spans="1:11" ht="19.5" customHeight="1">
      <c r="A147" s="754"/>
      <c r="B147" s="657">
        <v>4</v>
      </c>
      <c r="C147" s="1097" t="s">
        <v>663</v>
      </c>
      <c r="D147" s="1009"/>
      <c r="E147" s="1009"/>
      <c r="F147" s="1009"/>
      <c r="G147" s="1009"/>
      <c r="H147" s="1009"/>
      <c r="I147" s="1010"/>
      <c r="J147" s="706" t="s">
        <v>591</v>
      </c>
      <c r="K147" s="707"/>
    </row>
    <row r="148" spans="1:11" ht="17.25" customHeight="1">
      <c r="A148" s="754"/>
      <c r="B148" s="769" t="s">
        <v>650</v>
      </c>
      <c r="C148" s="1202" t="s">
        <v>651</v>
      </c>
      <c r="D148" s="1009"/>
      <c r="E148" s="1009"/>
      <c r="F148" s="1009"/>
      <c r="G148" s="1009"/>
      <c r="H148" s="1009"/>
      <c r="I148" s="1010"/>
      <c r="J148" s="852">
        <f>J139</f>
        <v>1.1999999999999999E-3</v>
      </c>
      <c r="K148" s="853"/>
    </row>
    <row r="149" spans="1:11" ht="17.25" customHeight="1">
      <c r="A149" s="754"/>
      <c r="B149" s="769" t="s">
        <v>664</v>
      </c>
      <c r="C149" s="1202" t="s">
        <v>660</v>
      </c>
      <c r="D149" s="1009"/>
      <c r="E149" s="1009"/>
      <c r="F149" s="1009"/>
      <c r="G149" s="1009"/>
      <c r="H149" s="1009"/>
      <c r="I149" s="1010"/>
      <c r="J149" s="852">
        <f>J144</f>
        <v>0</v>
      </c>
      <c r="K149" s="853"/>
    </row>
    <row r="150" spans="1:11" ht="24" customHeight="1">
      <c r="A150" s="754"/>
      <c r="B150" s="1261" t="s">
        <v>594</v>
      </c>
      <c r="C150" s="1009"/>
      <c r="D150" s="1009"/>
      <c r="E150" s="1009"/>
      <c r="F150" s="1009"/>
      <c r="G150" s="1009"/>
      <c r="H150" s="1009"/>
      <c r="I150" s="1010"/>
      <c r="J150" s="854">
        <f>SUM(J148+J149)</f>
        <v>1.1999999999999999E-3</v>
      </c>
      <c r="K150" s="853"/>
    </row>
    <row r="151" spans="1:11" ht="9" customHeight="1">
      <c r="A151" s="754"/>
      <c r="B151" s="1200"/>
      <c r="C151" s="1009"/>
      <c r="D151" s="1009"/>
      <c r="E151" s="1009"/>
      <c r="F151" s="1009"/>
      <c r="G151" s="1009"/>
      <c r="H151" s="1009"/>
      <c r="I151" s="1009"/>
      <c r="J151" s="1010"/>
      <c r="K151" s="855"/>
    </row>
    <row r="152" spans="1:11" ht="15.75" customHeight="1">
      <c r="A152" s="754"/>
      <c r="B152" s="1187" t="s">
        <v>665</v>
      </c>
      <c r="C152" s="1009"/>
      <c r="D152" s="1009"/>
      <c r="E152" s="1009"/>
      <c r="F152" s="1009"/>
      <c r="G152" s="1009"/>
      <c r="H152" s="1009"/>
      <c r="I152" s="1009"/>
      <c r="J152" s="1010"/>
      <c r="K152" s="845"/>
    </row>
    <row r="153" spans="1:11" ht="15.75" customHeight="1">
      <c r="A153" s="754"/>
      <c r="B153" s="669">
        <v>3</v>
      </c>
      <c r="C153" s="1083" t="s">
        <v>666</v>
      </c>
      <c r="D153" s="1009"/>
      <c r="E153" s="1009"/>
      <c r="F153" s="1009"/>
      <c r="G153" s="1009"/>
      <c r="H153" s="1009"/>
      <c r="I153" s="1010"/>
      <c r="J153" s="669" t="s">
        <v>591</v>
      </c>
      <c r="K153" s="601"/>
    </row>
    <row r="154" spans="1:11" ht="19.5" customHeight="1">
      <c r="A154" s="754"/>
      <c r="B154" s="823" t="s">
        <v>514</v>
      </c>
      <c r="C154" s="1178" t="s">
        <v>769</v>
      </c>
      <c r="D154" s="1009"/>
      <c r="E154" s="1009"/>
      <c r="F154" s="1009"/>
      <c r="G154" s="1009"/>
      <c r="H154" s="1009"/>
      <c r="I154" s="1010"/>
      <c r="J154" s="814">
        <v>0</v>
      </c>
      <c r="K154" s="809"/>
    </row>
    <row r="155" spans="1:11" ht="15.75" customHeight="1">
      <c r="A155" s="754"/>
      <c r="B155" s="823" t="s">
        <v>516</v>
      </c>
      <c r="C155" s="1178" t="s">
        <v>770</v>
      </c>
      <c r="D155" s="1009"/>
      <c r="E155" s="1009"/>
      <c r="F155" s="1009"/>
      <c r="G155" s="1009"/>
      <c r="H155" s="1009"/>
      <c r="I155" s="1010"/>
      <c r="J155" s="834">
        <v>0</v>
      </c>
      <c r="K155" s="835"/>
    </row>
    <row r="156" spans="1:11" ht="15.75" customHeight="1">
      <c r="A156" s="754"/>
      <c r="B156" s="823" t="s">
        <v>518</v>
      </c>
      <c r="C156" s="1178" t="s">
        <v>668</v>
      </c>
      <c r="D156" s="1009"/>
      <c r="E156" s="1009"/>
      <c r="F156" s="1009"/>
      <c r="G156" s="1009"/>
      <c r="H156" s="1009"/>
      <c r="I156" s="1010"/>
      <c r="J156" s="834" t="s">
        <v>669</v>
      </c>
      <c r="K156" s="835"/>
    </row>
    <row r="157" spans="1:11" ht="19.5" customHeight="1">
      <c r="A157" s="754"/>
      <c r="B157" s="1204" t="s">
        <v>670</v>
      </c>
      <c r="C157" s="1009"/>
      <c r="D157" s="1009"/>
      <c r="E157" s="1009"/>
      <c r="F157" s="1009"/>
      <c r="G157" s="1009"/>
      <c r="H157" s="1009"/>
      <c r="I157" s="1010"/>
      <c r="J157" s="857">
        <f>ROUND(SUM(J154:J156),2)</f>
        <v>0</v>
      </c>
      <c r="K157" s="835"/>
    </row>
    <row r="158" spans="1:11" ht="9" customHeight="1">
      <c r="A158" s="754"/>
      <c r="B158" s="1267"/>
      <c r="C158" s="1009"/>
      <c r="D158" s="1009"/>
      <c r="E158" s="1009"/>
      <c r="F158" s="1009"/>
      <c r="G158" s="1009"/>
      <c r="H158" s="1009"/>
      <c r="I158" s="1009"/>
      <c r="J158" s="1010"/>
      <c r="K158" s="858"/>
    </row>
    <row r="159" spans="1:11" ht="18.75" customHeight="1">
      <c r="A159" s="754"/>
      <c r="B159" s="1268" t="s">
        <v>671</v>
      </c>
      <c r="C159" s="1009"/>
      <c r="D159" s="1009"/>
      <c r="E159" s="1009"/>
      <c r="F159" s="1009"/>
      <c r="G159" s="1009"/>
      <c r="H159" s="1009"/>
      <c r="I159" s="1009"/>
      <c r="J159" s="1010"/>
      <c r="K159" s="859"/>
    </row>
    <row r="160" spans="1:11" ht="7.5" customHeight="1">
      <c r="A160" s="754"/>
      <c r="B160" s="860"/>
      <c r="C160" s="714"/>
      <c r="D160" s="714"/>
      <c r="E160" s="714"/>
      <c r="F160" s="714"/>
      <c r="G160" s="714"/>
      <c r="H160" s="714"/>
      <c r="I160" s="714"/>
      <c r="J160" s="715"/>
      <c r="K160" s="329"/>
    </row>
    <row r="161" spans="1:11" ht="24" customHeight="1">
      <c r="A161" s="754"/>
      <c r="B161" s="1252" t="s">
        <v>672</v>
      </c>
      <c r="C161" s="1009"/>
      <c r="D161" s="1009"/>
      <c r="E161" s="1009"/>
      <c r="F161" s="1009"/>
      <c r="G161" s="1009"/>
      <c r="H161" s="1009"/>
      <c r="I161" s="1009"/>
      <c r="J161" s="1010"/>
      <c r="K161" s="842"/>
    </row>
    <row r="162" spans="1:11" ht="24.75" customHeight="1">
      <c r="A162" s="754"/>
      <c r="B162" s="669">
        <v>6</v>
      </c>
      <c r="C162" s="1162" t="s">
        <v>673</v>
      </c>
      <c r="D162" s="1009"/>
      <c r="E162" s="1009"/>
      <c r="F162" s="1009"/>
      <c r="G162" s="1009"/>
      <c r="H162" s="1010"/>
      <c r="I162" s="861" t="s">
        <v>556</v>
      </c>
      <c r="J162" s="716" t="s">
        <v>599</v>
      </c>
      <c r="K162" s="717"/>
    </row>
    <row r="163" spans="1:11" ht="57" customHeight="1">
      <c r="A163" s="754"/>
      <c r="B163" s="1229" t="s">
        <v>674</v>
      </c>
      <c r="C163" s="1009"/>
      <c r="D163" s="1009"/>
      <c r="E163" s="1009"/>
      <c r="F163" s="1009"/>
      <c r="G163" s="1009"/>
      <c r="H163" s="1010"/>
      <c r="I163" s="355" t="s">
        <v>527</v>
      </c>
      <c r="J163" s="862">
        <f>SUM(J63+J115+J124+J150+J157)</f>
        <v>0.1812</v>
      </c>
      <c r="K163" s="863"/>
    </row>
    <row r="164" spans="1:11" ht="22.5" customHeight="1">
      <c r="A164" s="754"/>
      <c r="B164" s="823" t="s">
        <v>514</v>
      </c>
      <c r="C164" s="1109" t="s">
        <v>675</v>
      </c>
      <c r="D164" s="1009"/>
      <c r="E164" s="1009"/>
      <c r="F164" s="1009"/>
      <c r="G164" s="1009"/>
      <c r="H164" s="1010"/>
      <c r="I164" s="813">
        <f>'1-ABA-DE-CARREGAMENTO'!M85</f>
        <v>0.06</v>
      </c>
      <c r="J164" s="814">
        <f>ROUND(I164*J163,2)</f>
        <v>0.01</v>
      </c>
      <c r="K164" s="809"/>
    </row>
    <row r="165" spans="1:11" ht="56.25" customHeight="1">
      <c r="A165" s="754"/>
      <c r="B165" s="1229" t="s">
        <v>676</v>
      </c>
      <c r="C165" s="1009"/>
      <c r="D165" s="1009"/>
      <c r="E165" s="1009"/>
      <c r="F165" s="1009"/>
      <c r="G165" s="1009"/>
      <c r="H165" s="1010"/>
      <c r="I165" s="864" t="s">
        <v>527</v>
      </c>
      <c r="J165" s="862">
        <f>SUM(J63+J115+J124+J150+J157+J164)</f>
        <v>0.19120000000000001</v>
      </c>
      <c r="K165" s="863"/>
    </row>
    <row r="166" spans="1:11" ht="19.5" customHeight="1">
      <c r="A166" s="754"/>
      <c r="B166" s="823" t="s">
        <v>516</v>
      </c>
      <c r="C166" s="1109" t="s">
        <v>312</v>
      </c>
      <c r="D166" s="1009"/>
      <c r="E166" s="1009"/>
      <c r="F166" s="1009"/>
      <c r="G166" s="1009"/>
      <c r="H166" s="1010"/>
      <c r="I166" s="813">
        <f>'1-ABA-DE-CARREGAMENTO'!M86</f>
        <v>0.06</v>
      </c>
      <c r="J166" s="814">
        <f>ROUND(I166*J165,2)</f>
        <v>0.01</v>
      </c>
      <c r="K166" s="809"/>
    </row>
    <row r="167" spans="1:11" ht="52.5" customHeight="1">
      <c r="A167" s="754"/>
      <c r="B167" s="1229" t="s">
        <v>677</v>
      </c>
      <c r="C167" s="1009"/>
      <c r="D167" s="1009"/>
      <c r="E167" s="1009"/>
      <c r="F167" s="1009"/>
      <c r="G167" s="1009"/>
      <c r="H167" s="1010"/>
      <c r="I167" s="864" t="s">
        <v>527</v>
      </c>
      <c r="J167" s="862">
        <f>SUM(J163+J164+J166)</f>
        <v>0.20120000000000002</v>
      </c>
      <c r="K167" s="863"/>
    </row>
    <row r="168" spans="1:11" ht="18.75" customHeight="1">
      <c r="A168" s="754"/>
      <c r="B168" s="865" t="s">
        <v>518</v>
      </c>
      <c r="C168" s="1252" t="s">
        <v>678</v>
      </c>
      <c r="D168" s="1009"/>
      <c r="E168" s="1009"/>
      <c r="F168" s="1009"/>
      <c r="G168" s="1009"/>
      <c r="H168" s="1010"/>
      <c r="I168" s="792" t="s">
        <v>527</v>
      </c>
      <c r="J168" s="798" t="s">
        <v>527</v>
      </c>
      <c r="K168" s="799"/>
    </row>
    <row r="169" spans="1:11" ht="14.25" customHeight="1">
      <c r="A169" s="754"/>
      <c r="B169" s="823"/>
      <c r="C169" s="1212" t="s">
        <v>679</v>
      </c>
      <c r="D169" s="1009"/>
      <c r="E169" s="1009"/>
      <c r="F169" s="1009"/>
      <c r="G169" s="1009"/>
      <c r="H169" s="1010"/>
      <c r="I169" s="792" t="s">
        <v>527</v>
      </c>
      <c r="J169" s="798" t="s">
        <v>527</v>
      </c>
      <c r="K169" s="799"/>
    </row>
    <row r="170" spans="1:11" ht="24" customHeight="1">
      <c r="A170" s="754"/>
      <c r="B170" s="823"/>
      <c r="C170" s="1099" t="s">
        <v>1301</v>
      </c>
      <c r="D170" s="1009"/>
      <c r="E170" s="1009"/>
      <c r="F170" s="1009"/>
      <c r="G170" s="1009"/>
      <c r="H170" s="1010"/>
      <c r="I170" s="866">
        <f>'1-ABA-DE-CARREGAMENTO'!E28</f>
        <v>1.6500000000000001E-2</v>
      </c>
      <c r="J170" s="867">
        <f t="shared" ref="J170:J171" si="1">ROUND(($J$167/(1-$I$179))*I170,2)</f>
        <v>0</v>
      </c>
      <c r="K170" s="868"/>
    </row>
    <row r="171" spans="1:11" ht="24" customHeight="1">
      <c r="A171" s="754"/>
      <c r="B171" s="823"/>
      <c r="C171" s="1099" t="s">
        <v>1302</v>
      </c>
      <c r="D171" s="1009"/>
      <c r="E171" s="1009"/>
      <c r="F171" s="1009"/>
      <c r="G171" s="1009"/>
      <c r="H171" s="1010"/>
      <c r="I171" s="866">
        <f>'1-ABA-DE-CARREGAMENTO'!F28</f>
        <v>7.5999999999999998E-2</v>
      </c>
      <c r="J171" s="867">
        <f t="shared" si="1"/>
        <v>0.02</v>
      </c>
      <c r="K171" s="868"/>
    </row>
    <row r="172" spans="1:11" ht="24" customHeight="1">
      <c r="A172" s="754"/>
      <c r="B172" s="823"/>
      <c r="C172" s="1178" t="s">
        <v>1303</v>
      </c>
      <c r="D172" s="1009"/>
      <c r="E172" s="1009"/>
      <c r="F172" s="1009"/>
      <c r="G172" s="1009"/>
      <c r="H172" s="1010"/>
      <c r="I172" s="869" t="s">
        <v>527</v>
      </c>
      <c r="J172" s="798" t="s">
        <v>527</v>
      </c>
      <c r="K172" s="799"/>
    </row>
    <row r="173" spans="1:11" ht="24" customHeight="1">
      <c r="A173" s="754"/>
      <c r="B173" s="823"/>
      <c r="C173" s="1178" t="s">
        <v>1304</v>
      </c>
      <c r="D173" s="1009"/>
      <c r="E173" s="1009"/>
      <c r="F173" s="1009"/>
      <c r="G173" s="1009"/>
      <c r="H173" s="1010"/>
      <c r="I173" s="869" t="s">
        <v>527</v>
      </c>
      <c r="J173" s="798" t="s">
        <v>527</v>
      </c>
      <c r="K173" s="799"/>
    </row>
    <row r="174" spans="1:11" ht="15.75" customHeight="1">
      <c r="A174" s="754"/>
      <c r="B174" s="823"/>
      <c r="C174" s="1178" t="s">
        <v>684</v>
      </c>
      <c r="D174" s="1009"/>
      <c r="E174" s="1009"/>
      <c r="F174" s="1009"/>
      <c r="G174" s="1009"/>
      <c r="H174" s="1009"/>
      <c r="I174" s="870" t="s">
        <v>527</v>
      </c>
      <c r="J174" s="871" t="s">
        <v>527</v>
      </c>
      <c r="K174" s="872"/>
    </row>
    <row r="175" spans="1:11" ht="15.75" customHeight="1">
      <c r="A175" s="754"/>
      <c r="B175" s="823"/>
      <c r="C175" s="1178" t="s">
        <v>685</v>
      </c>
      <c r="D175" s="1009"/>
      <c r="E175" s="1009"/>
      <c r="F175" s="1009"/>
      <c r="G175" s="1009"/>
      <c r="H175" s="1009"/>
      <c r="I175" s="870" t="s">
        <v>527</v>
      </c>
      <c r="J175" s="871" t="s">
        <v>527</v>
      </c>
      <c r="K175" s="872"/>
    </row>
    <row r="176" spans="1:11" ht="15.75" customHeight="1">
      <c r="A176" s="754"/>
      <c r="B176" s="823"/>
      <c r="C176" s="1178" t="s">
        <v>1305</v>
      </c>
      <c r="D176" s="1009"/>
      <c r="E176" s="1009"/>
      <c r="F176" s="1009"/>
      <c r="G176" s="1009"/>
      <c r="H176" s="1010"/>
      <c r="I176" s="873">
        <f>'1-ABA-DE-CARREGAMENTO'!D87</f>
        <v>0.04</v>
      </c>
      <c r="J176" s="867">
        <f>ROUND(($J$167/(1-$I$179))*I176,2)</f>
        <v>0.01</v>
      </c>
      <c r="K176" s="868"/>
    </row>
    <row r="177" spans="1:11" ht="15.75" customHeight="1">
      <c r="A177" s="754"/>
      <c r="B177" s="1204" t="s">
        <v>641</v>
      </c>
      <c r="C177" s="1009"/>
      <c r="D177" s="1009"/>
      <c r="E177" s="1009"/>
      <c r="F177" s="1009"/>
      <c r="G177" s="1009"/>
      <c r="H177" s="1009"/>
      <c r="I177" s="1010"/>
      <c r="J177" s="808">
        <f>SUM(J164+J166+J170+J171+J176)</f>
        <v>0.05</v>
      </c>
      <c r="K177" s="809"/>
    </row>
    <row r="178" spans="1:11" ht="15.75" customHeight="1">
      <c r="A178" s="754"/>
      <c r="B178" s="1186"/>
      <c r="C178" s="1009"/>
      <c r="D178" s="1009"/>
      <c r="E178" s="1009"/>
      <c r="F178" s="1009"/>
      <c r="G178" s="1009"/>
      <c r="H178" s="1009"/>
      <c r="I178" s="1009"/>
      <c r="J178" s="1010"/>
      <c r="K178" s="844"/>
    </row>
    <row r="179" spans="1:11" ht="15.75" customHeight="1">
      <c r="A179" s="754"/>
      <c r="B179" s="1205" t="s">
        <v>687</v>
      </c>
      <c r="C179" s="1009"/>
      <c r="D179" s="1009"/>
      <c r="E179" s="1009"/>
      <c r="F179" s="1009"/>
      <c r="G179" s="1009"/>
      <c r="H179" s="1010"/>
      <c r="I179" s="874">
        <f t="shared" ref="I179:J179" si="2">SUM(I170:I176)</f>
        <v>0.13250000000000001</v>
      </c>
      <c r="J179" s="862">
        <f t="shared" si="2"/>
        <v>0.03</v>
      </c>
      <c r="K179" s="863"/>
    </row>
    <row r="180" spans="1:11" ht="15.75" customHeight="1">
      <c r="A180" s="754"/>
      <c r="B180" s="1206" t="s">
        <v>688</v>
      </c>
      <c r="C180" s="1023"/>
      <c r="D180" s="1207" t="s">
        <v>689</v>
      </c>
      <c r="E180" s="1023"/>
      <c r="F180" s="1023"/>
      <c r="G180" s="1023"/>
      <c r="H180" s="1023"/>
      <c r="I180" s="1023"/>
      <c r="J180" s="1040"/>
      <c r="K180" s="875"/>
    </row>
    <row r="181" spans="1:11" ht="15.75" customHeight="1">
      <c r="A181" s="754"/>
      <c r="B181" s="1102"/>
      <c r="C181" s="1023"/>
      <c r="D181" s="1208" t="s">
        <v>690</v>
      </c>
      <c r="E181" s="1023"/>
      <c r="F181" s="1023"/>
      <c r="G181" s="1023"/>
      <c r="H181" s="1023"/>
      <c r="I181" s="1023"/>
      <c r="J181" s="1040"/>
      <c r="K181" s="876"/>
    </row>
    <row r="182" spans="1:11" ht="15.75" customHeight="1">
      <c r="A182" s="754"/>
      <c r="B182" s="1103"/>
      <c r="C182" s="1060"/>
      <c r="D182" s="1209" t="s">
        <v>691</v>
      </c>
      <c r="E182" s="1060"/>
      <c r="F182" s="1060"/>
      <c r="G182" s="1060"/>
      <c r="H182" s="1060"/>
      <c r="I182" s="1060"/>
      <c r="J182" s="1062"/>
      <c r="K182" s="875"/>
    </row>
    <row r="183" spans="1:11" ht="15.75" customHeight="1">
      <c r="A183" s="754"/>
      <c r="B183" s="1210"/>
      <c r="C183" s="1009"/>
      <c r="D183" s="1009"/>
      <c r="E183" s="1009"/>
      <c r="F183" s="1009"/>
      <c r="G183" s="1009"/>
      <c r="H183" s="1009"/>
      <c r="I183" s="1009"/>
      <c r="J183" s="1010"/>
      <c r="K183" s="877"/>
    </row>
    <row r="184" spans="1:11" ht="15.75" customHeight="1">
      <c r="A184" s="754"/>
      <c r="B184" s="1211" t="s">
        <v>692</v>
      </c>
      <c r="C184" s="1009"/>
      <c r="D184" s="1009"/>
      <c r="E184" s="1009"/>
      <c r="F184" s="1009"/>
      <c r="G184" s="1009"/>
      <c r="H184" s="1009"/>
      <c r="I184" s="1009"/>
      <c r="J184" s="1010"/>
      <c r="K184" s="766"/>
    </row>
    <row r="185" spans="1:11" ht="15.75" customHeight="1">
      <c r="A185" s="754"/>
      <c r="B185" s="1186"/>
      <c r="C185" s="1009"/>
      <c r="D185" s="1009"/>
      <c r="E185" s="1009"/>
      <c r="F185" s="1009"/>
      <c r="G185" s="1009"/>
      <c r="H185" s="1009"/>
      <c r="I185" s="1009"/>
      <c r="J185" s="1010"/>
      <c r="K185" s="844"/>
    </row>
    <row r="186" spans="1:11" ht="15.75" customHeight="1">
      <c r="A186" s="754"/>
      <c r="B186" s="1187" t="s">
        <v>1306</v>
      </c>
      <c r="C186" s="1009"/>
      <c r="D186" s="1009"/>
      <c r="E186" s="1009"/>
      <c r="F186" s="1009"/>
      <c r="G186" s="1009"/>
      <c r="H186" s="1009"/>
      <c r="I186" s="1009"/>
      <c r="J186" s="1010"/>
      <c r="K186" s="845"/>
    </row>
    <row r="187" spans="1:11" ht="15.75" customHeight="1">
      <c r="A187" s="754"/>
      <c r="B187" s="1086" t="s">
        <v>694</v>
      </c>
      <c r="C187" s="1009"/>
      <c r="D187" s="1009"/>
      <c r="E187" s="1009"/>
      <c r="F187" s="1009"/>
      <c r="G187" s="1009"/>
      <c r="H187" s="1009"/>
      <c r="I187" s="1010"/>
      <c r="J187" s="861" t="s">
        <v>591</v>
      </c>
      <c r="K187" s="763"/>
    </row>
    <row r="188" spans="1:11" ht="15.75" customHeight="1">
      <c r="A188" s="754"/>
      <c r="B188" s="878" t="s">
        <v>514</v>
      </c>
      <c r="C188" s="1181" t="s">
        <v>695</v>
      </c>
      <c r="D188" s="1009"/>
      <c r="E188" s="1009"/>
      <c r="F188" s="1009"/>
      <c r="G188" s="1009"/>
      <c r="H188" s="1009"/>
      <c r="I188" s="1009"/>
      <c r="J188" s="834">
        <f>J63</f>
        <v>0</v>
      </c>
      <c r="K188" s="835"/>
    </row>
    <row r="189" spans="1:11" ht="15.75" customHeight="1">
      <c r="A189" s="754"/>
      <c r="B189" s="878" t="s">
        <v>516</v>
      </c>
      <c r="C189" s="1181" t="s">
        <v>696</v>
      </c>
      <c r="D189" s="1009"/>
      <c r="E189" s="1009"/>
      <c r="F189" s="1009"/>
      <c r="G189" s="1009"/>
      <c r="H189" s="1009"/>
      <c r="I189" s="1009"/>
      <c r="J189" s="834">
        <f>J115</f>
        <v>0.18</v>
      </c>
      <c r="K189" s="835"/>
    </row>
    <row r="190" spans="1:11" ht="15.75" customHeight="1">
      <c r="A190" s="754"/>
      <c r="B190" s="878" t="s">
        <v>518</v>
      </c>
      <c r="C190" s="1181" t="s">
        <v>697</v>
      </c>
      <c r="D190" s="1009"/>
      <c r="E190" s="1009"/>
      <c r="F190" s="1009"/>
      <c r="G190" s="1009"/>
      <c r="H190" s="1009"/>
      <c r="I190" s="1009"/>
      <c r="J190" s="834">
        <f>J124</f>
        <v>0</v>
      </c>
      <c r="K190" s="835"/>
    </row>
    <row r="191" spans="1:11" ht="15.75" customHeight="1">
      <c r="A191" s="754"/>
      <c r="B191" s="878" t="s">
        <v>520</v>
      </c>
      <c r="C191" s="1181" t="s">
        <v>698</v>
      </c>
      <c r="D191" s="1009"/>
      <c r="E191" s="1009"/>
      <c r="F191" s="1009"/>
      <c r="G191" s="1009"/>
      <c r="H191" s="1009"/>
      <c r="I191" s="1009"/>
      <c r="J191" s="834">
        <f>J150</f>
        <v>1.1999999999999999E-3</v>
      </c>
      <c r="K191" s="835"/>
    </row>
    <row r="192" spans="1:11" ht="15.75" customHeight="1">
      <c r="A192" s="754"/>
      <c r="B192" s="878" t="s">
        <v>562</v>
      </c>
      <c r="C192" s="1181" t="s">
        <v>699</v>
      </c>
      <c r="D192" s="1009"/>
      <c r="E192" s="1009"/>
      <c r="F192" s="1009"/>
      <c r="G192" s="1009"/>
      <c r="H192" s="1009"/>
      <c r="I192" s="1009"/>
      <c r="J192" s="834">
        <f>J157</f>
        <v>0</v>
      </c>
      <c r="K192" s="835"/>
    </row>
    <row r="193" spans="1:11" ht="15.75" customHeight="1">
      <c r="A193" s="754"/>
      <c r="B193" s="1182" t="s">
        <v>700</v>
      </c>
      <c r="C193" s="1009"/>
      <c r="D193" s="1009"/>
      <c r="E193" s="1009"/>
      <c r="F193" s="1009"/>
      <c r="G193" s="1009"/>
      <c r="H193" s="1009"/>
      <c r="I193" s="1030"/>
      <c r="J193" s="857">
        <f>ROUND(SUM(J188:J192),2)</f>
        <v>0.18</v>
      </c>
      <c r="K193" s="835"/>
    </row>
    <row r="194" spans="1:11" ht="15.75" customHeight="1">
      <c r="A194" s="754"/>
      <c r="B194" s="879" t="s">
        <v>566</v>
      </c>
      <c r="C194" s="1181" t="s">
        <v>672</v>
      </c>
      <c r="D194" s="1009"/>
      <c r="E194" s="1009"/>
      <c r="F194" s="1009"/>
      <c r="G194" s="1009"/>
      <c r="H194" s="1009"/>
      <c r="I194" s="1009"/>
      <c r="J194" s="834">
        <f>J177</f>
        <v>0.05</v>
      </c>
      <c r="K194" s="835"/>
    </row>
    <row r="195" spans="1:11" ht="15.75" customHeight="1">
      <c r="A195" s="754"/>
      <c r="B195" s="1182" t="s">
        <v>777</v>
      </c>
      <c r="C195" s="1009"/>
      <c r="D195" s="1009"/>
      <c r="E195" s="1009"/>
      <c r="F195" s="1009"/>
      <c r="G195" s="1009"/>
      <c r="H195" s="1009"/>
      <c r="I195" s="1030"/>
      <c r="J195" s="857">
        <f>J193+J194</f>
        <v>0.22999999999999998</v>
      </c>
      <c r="K195" s="835"/>
    </row>
    <row r="196" spans="1:11" ht="33.75" customHeight="1">
      <c r="A196" s="754"/>
      <c r="B196" s="1183" t="s">
        <v>702</v>
      </c>
      <c r="C196" s="1009"/>
      <c r="D196" s="1009"/>
      <c r="E196" s="1009"/>
      <c r="F196" s="1009"/>
      <c r="G196" s="1009"/>
      <c r="H196" s="1009"/>
      <c r="I196" s="1009"/>
      <c r="J196" s="1010"/>
      <c r="K196" s="880"/>
    </row>
    <row r="197" spans="1:11" ht="15.75" customHeight="1">
      <c r="A197" s="754"/>
      <c r="B197" s="1184"/>
      <c r="C197" s="1009"/>
      <c r="D197" s="1009"/>
      <c r="E197" s="1009"/>
      <c r="F197" s="1009"/>
      <c r="G197" s="1009"/>
      <c r="H197" s="1009"/>
      <c r="I197" s="1009"/>
      <c r="J197" s="1010"/>
      <c r="K197" s="881"/>
    </row>
    <row r="198" spans="1:11" ht="15.75" customHeight="1">
      <c r="A198" s="754"/>
      <c r="B198" s="882"/>
      <c r="C198" s="760"/>
      <c r="D198" s="760"/>
      <c r="E198" s="760"/>
      <c r="F198" s="760"/>
      <c r="G198" s="760"/>
      <c r="H198" s="760"/>
      <c r="I198" s="883"/>
      <c r="J198" s="884"/>
      <c r="K198" s="883"/>
    </row>
    <row r="199" spans="1:11" ht="15.75" customHeight="1">
      <c r="A199" s="754"/>
      <c r="B199" s="1082" t="s">
        <v>1135</v>
      </c>
      <c r="C199" s="1023"/>
      <c r="D199" s="1023"/>
      <c r="E199" s="1023"/>
      <c r="F199" s="1023"/>
      <c r="G199" s="1023"/>
      <c r="H199" s="1023"/>
      <c r="I199" s="1023"/>
      <c r="J199" s="1040"/>
      <c r="K199" s="594"/>
    </row>
    <row r="200" spans="1:11" ht="45" customHeight="1">
      <c r="A200" s="754"/>
      <c r="B200" s="1185" t="s">
        <v>704</v>
      </c>
      <c r="C200" s="1009"/>
      <c r="D200" s="1009"/>
      <c r="E200" s="1010"/>
      <c r="F200" s="1185" t="s">
        <v>778</v>
      </c>
      <c r="G200" s="1010"/>
      <c r="H200" s="861" t="s">
        <v>707</v>
      </c>
      <c r="I200" s="1185" t="s">
        <v>708</v>
      </c>
      <c r="J200" s="1010"/>
      <c r="K200" s="763"/>
    </row>
    <row r="201" spans="1:11" ht="45" hidden="1" customHeight="1" outlineLevel="1">
      <c r="A201" s="754"/>
      <c r="B201" s="1178" t="s">
        <v>709</v>
      </c>
      <c r="C201" s="1009"/>
      <c r="D201" s="1009"/>
      <c r="E201" s="1010"/>
      <c r="F201" s="1176">
        <v>0</v>
      </c>
      <c r="G201" s="1010"/>
      <c r="H201" s="885">
        <f t="shared" ref="H201:H202" si="3">E201*F201</f>
        <v>0</v>
      </c>
      <c r="I201" s="1176">
        <f t="shared" ref="I201:I203" si="4">F201*H201</f>
        <v>0</v>
      </c>
      <c r="J201" s="1010"/>
      <c r="K201" s="886"/>
    </row>
    <row r="202" spans="1:11" ht="45" hidden="1" customHeight="1" outlineLevel="1">
      <c r="A202" s="754"/>
      <c r="B202" s="1178" t="s">
        <v>710</v>
      </c>
      <c r="C202" s="1009"/>
      <c r="D202" s="1009"/>
      <c r="E202" s="1010"/>
      <c r="F202" s="1176">
        <v>0</v>
      </c>
      <c r="G202" s="1010"/>
      <c r="H202" s="885">
        <f t="shared" si="3"/>
        <v>0</v>
      </c>
      <c r="I202" s="1176">
        <f t="shared" si="4"/>
        <v>0</v>
      </c>
      <c r="J202" s="1010"/>
      <c r="K202" s="886"/>
    </row>
    <row r="203" spans="1:11" ht="45" customHeight="1" collapsed="1">
      <c r="A203" s="754"/>
      <c r="B203" s="1179" t="str">
        <f>B3</f>
        <v>A NÃO TEM MAIS POSTOS-88</v>
      </c>
      <c r="C203" s="1009"/>
      <c r="D203" s="1009"/>
      <c r="E203" s="1010"/>
      <c r="F203" s="1180">
        <f>J195</f>
        <v>0.22999999999999998</v>
      </c>
      <c r="G203" s="1010"/>
      <c r="H203" s="885">
        <f>I17</f>
        <v>0</v>
      </c>
      <c r="I203" s="1176">
        <f t="shared" si="4"/>
        <v>0</v>
      </c>
      <c r="J203" s="1010"/>
      <c r="K203" s="886"/>
    </row>
    <row r="204" spans="1:11" ht="45" hidden="1" customHeight="1" outlineLevel="1">
      <c r="A204" s="754"/>
      <c r="B204" s="1178" t="s">
        <v>711</v>
      </c>
      <c r="C204" s="1009"/>
      <c r="D204" s="1009"/>
      <c r="E204" s="1010"/>
      <c r="F204" s="1180">
        <v>0</v>
      </c>
      <c r="G204" s="1010"/>
      <c r="H204" s="885">
        <f t="shared" ref="H204:I204" si="5">E204*G204</f>
        <v>0</v>
      </c>
      <c r="I204" s="1176">
        <f t="shared" si="5"/>
        <v>0</v>
      </c>
      <c r="J204" s="1010"/>
      <c r="K204" s="886"/>
    </row>
    <row r="205" spans="1:11" ht="45" hidden="1" customHeight="1" outlineLevel="1">
      <c r="A205" s="754"/>
      <c r="B205" s="1178" t="s">
        <v>712</v>
      </c>
      <c r="C205" s="1009"/>
      <c r="D205" s="1009"/>
      <c r="E205" s="1010"/>
      <c r="F205" s="1180">
        <v>0</v>
      </c>
      <c r="G205" s="1010"/>
      <c r="H205" s="885">
        <f t="shared" ref="H205:I205" si="6">E205*G205</f>
        <v>0</v>
      </c>
      <c r="I205" s="1176">
        <f t="shared" si="6"/>
        <v>0</v>
      </c>
      <c r="J205" s="1010"/>
      <c r="K205" s="886"/>
    </row>
    <row r="206" spans="1:11" ht="15.75" hidden="1" customHeight="1" outlineLevel="1">
      <c r="A206" s="754"/>
      <c r="B206" s="1203" t="s">
        <v>1307</v>
      </c>
      <c r="C206" s="1009"/>
      <c r="D206" s="1009"/>
      <c r="E206" s="1010"/>
      <c r="F206" s="1176">
        <v>0</v>
      </c>
      <c r="G206" s="1010"/>
      <c r="H206" s="885">
        <f t="shared" ref="H206:I206" si="7">E206*G206</f>
        <v>0</v>
      </c>
      <c r="I206" s="1176">
        <f t="shared" si="7"/>
        <v>0</v>
      </c>
      <c r="J206" s="1010"/>
      <c r="K206" s="886"/>
    </row>
    <row r="207" spans="1:11" ht="15.75" customHeight="1" collapsed="1">
      <c r="A207" s="754"/>
      <c r="B207" s="1188" t="s">
        <v>714</v>
      </c>
      <c r="C207" s="1009"/>
      <c r="D207" s="1009"/>
      <c r="E207" s="1009"/>
      <c r="F207" s="1009"/>
      <c r="G207" s="1010"/>
      <c r="H207" s="887">
        <f>SUM(H201:H206)</f>
        <v>0</v>
      </c>
      <c r="I207" s="1177">
        <f>SUM(I201:J206)</f>
        <v>0</v>
      </c>
      <c r="J207" s="1010"/>
      <c r="K207" s="888"/>
    </row>
    <row r="208" spans="1:11" ht="6.75" customHeight="1">
      <c r="A208" s="754"/>
      <c r="B208" s="1189"/>
      <c r="C208" s="1092"/>
      <c r="D208" s="1092"/>
      <c r="E208" s="1092"/>
      <c r="F208" s="1092"/>
      <c r="G208" s="1092"/>
      <c r="H208" s="1092"/>
      <c r="I208" s="1092"/>
      <c r="J208" s="1093"/>
      <c r="K208" s="844"/>
    </row>
    <row r="209" spans="1:11" ht="15.75" customHeight="1">
      <c r="A209" s="754"/>
      <c r="B209" s="1190" t="s">
        <v>715</v>
      </c>
      <c r="C209" s="1060"/>
      <c r="D209" s="1060"/>
      <c r="E209" s="1060"/>
      <c r="F209" s="1060"/>
      <c r="G209" s="1060"/>
      <c r="H209" s="1060"/>
      <c r="I209" s="1060"/>
      <c r="J209" s="1062"/>
      <c r="K209" s="766"/>
    </row>
    <row r="210" spans="1:11" ht="6.75" customHeight="1">
      <c r="A210" s="754"/>
      <c r="B210" s="1194"/>
      <c r="C210" s="1009"/>
      <c r="D210" s="1009"/>
      <c r="E210" s="1009"/>
      <c r="F210" s="1009"/>
      <c r="G210" s="1009"/>
      <c r="H210" s="1009"/>
      <c r="I210" s="1009"/>
      <c r="J210" s="1010"/>
      <c r="K210" s="889"/>
    </row>
    <row r="211" spans="1:11" ht="15.75" customHeight="1">
      <c r="A211" s="754"/>
      <c r="B211" s="1191" t="s">
        <v>716</v>
      </c>
      <c r="C211" s="1009"/>
      <c r="D211" s="1009"/>
      <c r="E211" s="1009"/>
      <c r="F211" s="1009"/>
      <c r="G211" s="1010"/>
      <c r="H211" s="1195">
        <f>$I$207</f>
        <v>0</v>
      </c>
      <c r="I211" s="1009"/>
      <c r="J211" s="1010"/>
      <c r="K211" s="890"/>
    </row>
    <row r="212" spans="1:11" ht="6.75" customHeight="1">
      <c r="A212" s="754"/>
      <c r="B212" s="1196"/>
      <c r="C212" s="1015"/>
      <c r="D212" s="1015"/>
      <c r="E212" s="1015"/>
      <c r="F212" s="1015"/>
      <c r="G212" s="1015"/>
      <c r="H212" s="1015"/>
      <c r="I212" s="1015"/>
      <c r="J212" s="1075"/>
      <c r="K212" s="891"/>
    </row>
    <row r="213" spans="1:11" ht="15.75" customHeight="1">
      <c r="A213" s="754"/>
      <c r="B213" s="1191" t="s">
        <v>717</v>
      </c>
      <c r="C213" s="1009"/>
      <c r="D213" s="1009"/>
      <c r="E213" s="1009"/>
      <c r="F213" s="1009"/>
      <c r="G213" s="1010"/>
      <c r="H213" s="1197">
        <f>$I$11</f>
        <v>30</v>
      </c>
      <c r="I213" s="1009"/>
      <c r="J213" s="1010"/>
      <c r="K213" s="892"/>
    </row>
    <row r="214" spans="1:11" ht="6.75" customHeight="1">
      <c r="A214" s="754"/>
      <c r="B214" s="1198"/>
      <c r="C214" s="1009"/>
      <c r="D214" s="1009"/>
      <c r="E214" s="1009"/>
      <c r="F214" s="1009"/>
      <c r="G214" s="1009"/>
      <c r="H214" s="1009"/>
      <c r="I214" s="1009"/>
      <c r="J214" s="1010"/>
      <c r="K214" s="893"/>
    </row>
    <row r="215" spans="1:11" ht="15.75" customHeight="1">
      <c r="A215" s="754"/>
      <c r="B215" s="1191" t="s">
        <v>1308</v>
      </c>
      <c r="C215" s="1009"/>
      <c r="D215" s="1009"/>
      <c r="E215" s="1009"/>
      <c r="F215" s="1009"/>
      <c r="G215" s="1010"/>
      <c r="H215" s="1192">
        <f>ROUND(H211*H213,2)</f>
        <v>0</v>
      </c>
      <c r="I215" s="1009"/>
      <c r="J215" s="1010"/>
      <c r="K215" s="894"/>
    </row>
    <row r="216" spans="1:11" ht="6.75" customHeight="1">
      <c r="A216" s="754"/>
      <c r="B216" s="1193"/>
      <c r="C216" s="1009"/>
      <c r="D216" s="1009"/>
      <c r="E216" s="1009"/>
      <c r="F216" s="1009"/>
      <c r="G216" s="1009"/>
      <c r="H216" s="1009"/>
      <c r="I216" s="1009"/>
      <c r="J216" s="1010"/>
      <c r="K216" s="760"/>
    </row>
    <row r="217" spans="1:11" ht="15.75" customHeight="1">
      <c r="A217" s="754"/>
      <c r="B217" s="754"/>
      <c r="C217" s="754"/>
      <c r="D217" s="754"/>
      <c r="E217" s="754"/>
      <c r="F217" s="754"/>
      <c r="G217" s="754"/>
      <c r="H217" s="754"/>
      <c r="I217" s="754"/>
      <c r="J217" s="754"/>
      <c r="K217" s="754"/>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47:I147"/>
    <mergeCell ref="C148:I148"/>
    <mergeCell ref="C149:I149"/>
    <mergeCell ref="B150:I150"/>
    <mergeCell ref="B151:J151"/>
    <mergeCell ref="B152:J152"/>
    <mergeCell ref="C153:I153"/>
    <mergeCell ref="C154:I154"/>
    <mergeCell ref="C155:I155"/>
    <mergeCell ref="C156:I156"/>
    <mergeCell ref="B157:I157"/>
    <mergeCell ref="B158:J158"/>
    <mergeCell ref="B159:J159"/>
    <mergeCell ref="B161:J161"/>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C104:I104"/>
    <mergeCell ref="C105:I105"/>
    <mergeCell ref="C106:I106"/>
    <mergeCell ref="B107:J107"/>
    <mergeCell ref="B108:J108"/>
    <mergeCell ref="B109:J109"/>
    <mergeCell ref="B110:J110"/>
    <mergeCell ref="C111:I111"/>
    <mergeCell ref="C112:I112"/>
    <mergeCell ref="C113:I113"/>
    <mergeCell ref="C114:I114"/>
    <mergeCell ref="B115:I115"/>
    <mergeCell ref="B116:J116"/>
    <mergeCell ref="B117:J117"/>
    <mergeCell ref="C118:I118"/>
    <mergeCell ref="C119:I119"/>
    <mergeCell ref="C120:I120"/>
    <mergeCell ref="C121:I121"/>
    <mergeCell ref="C122:I122"/>
    <mergeCell ref="C123:H123"/>
    <mergeCell ref="B124:I124"/>
    <mergeCell ref="B125:J125"/>
    <mergeCell ref="B126:J126"/>
    <mergeCell ref="B127:J12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36:H36"/>
    <mergeCell ref="I36:J36"/>
    <mergeCell ref="C37:H37"/>
    <mergeCell ref="I37:J37"/>
    <mergeCell ref="C38:H38"/>
    <mergeCell ref="I38:J38"/>
    <mergeCell ref="I39:J39"/>
    <mergeCell ref="C39:H39"/>
    <mergeCell ref="C40:H40"/>
    <mergeCell ref="I40:J40"/>
    <mergeCell ref="C57:I57"/>
    <mergeCell ref="B58:I58"/>
    <mergeCell ref="C59:I59"/>
    <mergeCell ref="C60:I60"/>
    <mergeCell ref="B61:I61"/>
    <mergeCell ref="B62:J62"/>
    <mergeCell ref="B63:I63"/>
    <mergeCell ref="B64:J64"/>
    <mergeCell ref="B65:J65"/>
    <mergeCell ref="B66:J66"/>
    <mergeCell ref="B67:J67"/>
    <mergeCell ref="C97:I97"/>
    <mergeCell ref="C98:H98"/>
    <mergeCell ref="C99:H99"/>
    <mergeCell ref="C100:H100"/>
    <mergeCell ref="C101:I101"/>
    <mergeCell ref="C102:I102"/>
    <mergeCell ref="C103:I103"/>
    <mergeCell ref="B89:J89"/>
    <mergeCell ref="B90:J90"/>
    <mergeCell ref="C91:I91"/>
    <mergeCell ref="C92:H92"/>
    <mergeCell ref="C93:H93"/>
    <mergeCell ref="C94:H94"/>
    <mergeCell ref="C95:H95"/>
    <mergeCell ref="C96:H96"/>
    <mergeCell ref="C82:H82"/>
    <mergeCell ref="C83:H83"/>
    <mergeCell ref="C84:H84"/>
    <mergeCell ref="C85:H85"/>
    <mergeCell ref="B86:H86"/>
    <mergeCell ref="B88:J88"/>
  </mergeCells>
  <conditionalFormatting sqref="I49:I50">
    <cfRule type="cellIs" dxfId="3" priority="1" operator="equal">
      <formula>0</formula>
    </cfRule>
  </conditionalFormatting>
  <conditionalFormatting sqref="I48">
    <cfRule type="cellIs" dxfId="2" priority="2" operator="equal">
      <formula>0</formula>
    </cfRule>
  </conditionalFormatting>
  <pageMargins left="0.511811024" right="0.511811024" top="0.78740157499999996" bottom="0.78740157499999996"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4.7109375" customWidth="1"/>
    <col min="8" max="8" width="14.42578125" customWidth="1"/>
    <col min="9" max="9" width="11.28515625" customWidth="1"/>
    <col min="10" max="10" width="14.5703125" customWidth="1"/>
    <col min="11" max="11" width="1.42578125" customWidth="1"/>
  </cols>
  <sheetData>
    <row r="1" spans="1:11" ht="11.25" customHeight="1">
      <c r="A1" s="754"/>
      <c r="B1" s="754"/>
      <c r="C1" s="754"/>
      <c r="D1" s="754"/>
      <c r="E1" s="754"/>
      <c r="F1" s="754"/>
      <c r="G1" s="754"/>
      <c r="H1" s="754"/>
      <c r="I1" s="754"/>
      <c r="J1" s="755"/>
      <c r="K1" s="754"/>
    </row>
    <row r="2" spans="1:11" ht="11.25" customHeight="1">
      <c r="A2" s="754"/>
      <c r="B2" s="1245" t="str">
        <f>'1-ABA-DE-CARREGAMENTO'!C11</f>
        <v xml:space="preserve"> S E R V I Ç O S     -   REFEITORIO_×_JARDINAGEM</v>
      </c>
      <c r="C2" s="1130"/>
      <c r="D2" s="1130"/>
      <c r="E2" s="1130"/>
      <c r="F2" s="1130"/>
      <c r="G2" s="1130"/>
      <c r="H2" s="1130"/>
      <c r="I2" s="1130"/>
      <c r="J2" s="1128"/>
      <c r="K2" s="756"/>
    </row>
    <row r="3" spans="1:11" ht="11.25" customHeight="1">
      <c r="A3" s="754"/>
      <c r="B3" s="1246" t="str">
        <f>'1-ABA-DE-CARREGAMENTO'!N33</f>
        <v>A NÃO TEM MAIS POSTOS-99</v>
      </c>
      <c r="C3" s="1060"/>
      <c r="D3" s="1060"/>
      <c r="E3" s="1060"/>
      <c r="F3" s="1060"/>
      <c r="G3" s="1060"/>
      <c r="H3" s="1060"/>
      <c r="I3" s="1060"/>
      <c r="J3" s="1062"/>
      <c r="K3" s="757"/>
    </row>
    <row r="4" spans="1:11" ht="11.25" customHeight="1">
      <c r="A4" s="754"/>
      <c r="B4" s="1247" t="s">
        <v>511</v>
      </c>
      <c r="C4" s="1060"/>
      <c r="D4" s="1060"/>
      <c r="E4" s="1060"/>
      <c r="F4" s="1062"/>
      <c r="G4" s="1248">
        <f>'1-ABA-DE-CARREGAMENTO'!C12</f>
        <v>0</v>
      </c>
      <c r="H4" s="1060"/>
      <c r="I4" s="1060"/>
      <c r="J4" s="1062"/>
      <c r="K4" s="758"/>
    </row>
    <row r="5" spans="1:11" ht="11.25" customHeight="1">
      <c r="A5" s="754"/>
      <c r="B5" s="1178" t="s">
        <v>512</v>
      </c>
      <c r="C5" s="1009"/>
      <c r="D5" s="1009"/>
      <c r="E5" s="1009"/>
      <c r="F5" s="1010"/>
      <c r="G5" s="1249">
        <f>'1-ABA-DE-CARREGAMENTO'!C13</f>
        <v>0</v>
      </c>
      <c r="H5" s="1009"/>
      <c r="I5" s="1009"/>
      <c r="J5" s="1010"/>
      <c r="K5" s="758"/>
    </row>
    <row r="6" spans="1:11" ht="11.25" customHeight="1">
      <c r="A6" s="754"/>
      <c r="B6" s="1250">
        <f>'1-ABA-DE-CARREGAMENTO'!C16</f>
        <v>0</v>
      </c>
      <c r="C6" s="1009"/>
      <c r="D6" s="1009"/>
      <c r="E6" s="1009"/>
      <c r="F6" s="1009"/>
      <c r="G6" s="1009"/>
      <c r="H6" s="1009"/>
      <c r="I6" s="1009"/>
      <c r="J6" s="1010"/>
      <c r="K6" s="760"/>
    </row>
    <row r="7" spans="1:11" ht="11.25" customHeight="1">
      <c r="A7" s="754"/>
      <c r="B7" s="1086" t="s">
        <v>513</v>
      </c>
      <c r="C7" s="1009"/>
      <c r="D7" s="1009"/>
      <c r="E7" s="1009"/>
      <c r="F7" s="1009"/>
      <c r="G7" s="1009"/>
      <c r="H7" s="1009"/>
      <c r="I7" s="1009"/>
      <c r="J7" s="1010"/>
      <c r="K7" s="594"/>
    </row>
    <row r="8" spans="1:11" ht="11.25" customHeight="1">
      <c r="A8" s="754"/>
      <c r="B8" s="761" t="s">
        <v>514</v>
      </c>
      <c r="C8" s="1178" t="s">
        <v>515</v>
      </c>
      <c r="D8" s="1009"/>
      <c r="E8" s="1009"/>
      <c r="F8" s="1009"/>
      <c r="G8" s="1009"/>
      <c r="H8" s="1010"/>
      <c r="I8" s="1251">
        <f>'1-ABA-DE-CARREGAMENTO'!C16</f>
        <v>0</v>
      </c>
      <c r="J8" s="1010"/>
      <c r="K8" s="762"/>
    </row>
    <row r="9" spans="1:11" ht="11.25" customHeight="1">
      <c r="A9" s="754"/>
      <c r="B9" s="761" t="s">
        <v>516</v>
      </c>
      <c r="C9" s="1178" t="s">
        <v>517</v>
      </c>
      <c r="D9" s="1009"/>
      <c r="E9" s="1009"/>
      <c r="F9" s="1009"/>
      <c r="G9" s="1009"/>
      <c r="H9" s="1010"/>
      <c r="I9" s="1249" t="str">
        <f>'1-ABA-DE-CARREGAMENTO'!C14</f>
        <v xml:space="preserve">JULIO-DE-CASTILHOS </v>
      </c>
      <c r="J9" s="1010"/>
      <c r="K9" s="758"/>
    </row>
    <row r="10" spans="1:11" ht="11.25" customHeight="1">
      <c r="A10" s="754"/>
      <c r="B10" s="761" t="s">
        <v>518</v>
      </c>
      <c r="C10" s="1178" t="s">
        <v>519</v>
      </c>
      <c r="D10" s="1009"/>
      <c r="E10" s="1009"/>
      <c r="F10" s="1009"/>
      <c r="G10" s="1009"/>
      <c r="H10" s="1010"/>
      <c r="I10" s="1249" t="str">
        <f>VLOOKUP('1-ABA-DE-CARREGAMENTO'!N35,'DADOS-CADASTRAIS'!C6:O102,1,0)</f>
        <v>RS000947/2019-</v>
      </c>
      <c r="J10" s="1010"/>
      <c r="K10" s="758"/>
    </row>
    <row r="11" spans="1:11" ht="11.25" customHeight="1">
      <c r="A11" s="754"/>
      <c r="B11" s="761" t="s">
        <v>520</v>
      </c>
      <c r="C11" s="1178" t="s">
        <v>521</v>
      </c>
      <c r="D11" s="1009"/>
      <c r="E11" s="1009"/>
      <c r="F11" s="1009"/>
      <c r="G11" s="1009"/>
      <c r="H11" s="1010"/>
      <c r="I11" s="1240">
        <f>'1-ABA-DE-CARREGAMENTO'!N94</f>
        <v>30</v>
      </c>
      <c r="J11" s="1010"/>
      <c r="K11" s="758"/>
    </row>
    <row r="12" spans="1:11" ht="11.25" customHeight="1">
      <c r="A12" s="754"/>
      <c r="B12" s="1140" t="s">
        <v>522</v>
      </c>
      <c r="C12" s="1009"/>
      <c r="D12" s="1009"/>
      <c r="E12" s="1009"/>
      <c r="F12" s="1009"/>
      <c r="G12" s="1009"/>
      <c r="H12" s="1009"/>
      <c r="I12" s="1009"/>
      <c r="J12" s="1010"/>
      <c r="K12" s="592"/>
    </row>
    <row r="13" spans="1:11" ht="36.75" customHeight="1">
      <c r="A13" s="754"/>
      <c r="B13" s="1185" t="str">
        <f>'1-ABA-DE-CARREGAMENTO'!C11</f>
        <v xml:space="preserve"> S E R V I Ç O S     -   REFEITORIO_×_JARDINAGEM</v>
      </c>
      <c r="C13" s="1009"/>
      <c r="D13" s="1009"/>
      <c r="E13" s="1009"/>
      <c r="F13" s="1030"/>
      <c r="G13" s="1185" t="s">
        <v>523</v>
      </c>
      <c r="H13" s="1010"/>
      <c r="I13" s="1185" t="s">
        <v>524</v>
      </c>
      <c r="J13" s="1010"/>
      <c r="K13" s="763"/>
    </row>
    <row r="14" spans="1:11" ht="11.25" hidden="1" customHeight="1" outlineLevel="1">
      <c r="A14" s="754"/>
      <c r="B14" s="1241" t="s">
        <v>525</v>
      </c>
      <c r="C14" s="1009"/>
      <c r="D14" s="1009"/>
      <c r="E14" s="1009"/>
      <c r="F14" s="1010"/>
      <c r="G14" s="1242" t="s">
        <v>526</v>
      </c>
      <c r="H14" s="1010"/>
      <c r="I14" s="1243" t="s">
        <v>527</v>
      </c>
      <c r="J14" s="1010"/>
      <c r="K14" s="764"/>
    </row>
    <row r="15" spans="1:11" ht="11.25" hidden="1" customHeight="1" outlineLevel="1">
      <c r="A15" s="754"/>
      <c r="B15" s="1241" t="s">
        <v>528</v>
      </c>
      <c r="C15" s="1009"/>
      <c r="D15" s="1009"/>
      <c r="E15" s="1009"/>
      <c r="F15" s="1010"/>
      <c r="G15" s="1242" t="s">
        <v>526</v>
      </c>
      <c r="H15" s="1010"/>
      <c r="I15" s="1243" t="s">
        <v>527</v>
      </c>
      <c r="J15" s="1010"/>
      <c r="K15" s="764"/>
    </row>
    <row r="16" spans="1:11" ht="11.25" hidden="1" customHeight="1" outlineLevel="1">
      <c r="A16" s="754"/>
      <c r="B16" s="1241" t="s">
        <v>529</v>
      </c>
      <c r="C16" s="1009"/>
      <c r="D16" s="1009"/>
      <c r="E16" s="1009"/>
      <c r="F16" s="1010"/>
      <c r="G16" s="1242" t="s">
        <v>526</v>
      </c>
      <c r="H16" s="1010"/>
      <c r="I16" s="1243" t="s">
        <v>527</v>
      </c>
      <c r="J16" s="1010"/>
      <c r="K16" s="764"/>
    </row>
    <row r="17" spans="1:11" ht="11.25" customHeight="1" collapsed="1">
      <c r="A17" s="754"/>
      <c r="B17" s="1241" t="str">
        <f>B3</f>
        <v>A NÃO TEM MAIS POSTOS-99</v>
      </c>
      <c r="C17" s="1009"/>
      <c r="D17" s="1009"/>
      <c r="E17" s="1009"/>
      <c r="F17" s="1010"/>
      <c r="G17" s="1242" t="s">
        <v>526</v>
      </c>
      <c r="H17" s="1010"/>
      <c r="I17" s="1243">
        <f>'1-ABA-DE-CARREGAMENTO'!N92</f>
        <v>0</v>
      </c>
      <c r="J17" s="1010"/>
      <c r="K17" s="764"/>
    </row>
    <row r="18" spans="1:11" ht="11.25" hidden="1" customHeight="1" outlineLevel="1">
      <c r="A18" s="754"/>
      <c r="B18" s="1241" t="s">
        <v>530</v>
      </c>
      <c r="C18" s="1009"/>
      <c r="D18" s="1009"/>
      <c r="E18" s="1009"/>
      <c r="F18" s="1010"/>
      <c r="G18" s="1242" t="s">
        <v>526</v>
      </c>
      <c r="H18" s="1010"/>
      <c r="I18" s="1243" t="s">
        <v>527</v>
      </c>
      <c r="J18" s="1010"/>
      <c r="K18" s="764"/>
    </row>
    <row r="19" spans="1:11" ht="11.25" hidden="1" customHeight="1" outlineLevel="1">
      <c r="A19" s="754"/>
      <c r="B19" s="1241" t="s">
        <v>1309</v>
      </c>
      <c r="C19" s="1009"/>
      <c r="D19" s="1009"/>
      <c r="E19" s="1009"/>
      <c r="F19" s="1010"/>
      <c r="G19" s="1242" t="s">
        <v>526</v>
      </c>
      <c r="H19" s="1010"/>
      <c r="I19" s="1243" t="s">
        <v>527</v>
      </c>
      <c r="J19" s="1010"/>
      <c r="K19" s="764"/>
    </row>
    <row r="20" spans="1:11" ht="11.25" customHeight="1" collapsed="1">
      <c r="A20" s="754"/>
      <c r="B20" s="1254" t="s">
        <v>532</v>
      </c>
      <c r="C20" s="1009"/>
      <c r="D20" s="1009"/>
      <c r="E20" s="1009"/>
      <c r="F20" s="1009"/>
      <c r="G20" s="1009"/>
      <c r="H20" s="1010"/>
      <c r="I20" s="1253">
        <f>SUM(I14:I19)</f>
        <v>0</v>
      </c>
      <c r="J20" s="1010"/>
      <c r="K20" s="765"/>
    </row>
    <row r="21" spans="1:11" ht="11.25" customHeight="1">
      <c r="A21" s="754"/>
      <c r="B21" s="1220"/>
      <c r="C21" s="1009"/>
      <c r="D21" s="1009"/>
      <c r="E21" s="1009"/>
      <c r="F21" s="1009"/>
      <c r="G21" s="1009"/>
      <c r="H21" s="1009"/>
      <c r="I21" s="1009"/>
      <c r="J21" s="1010"/>
      <c r="K21" s="763"/>
    </row>
    <row r="22" spans="1:11" ht="11.25" customHeight="1">
      <c r="A22" s="754"/>
      <c r="B22" s="1211" t="s">
        <v>533</v>
      </c>
      <c r="C22" s="1009"/>
      <c r="D22" s="1009"/>
      <c r="E22" s="1009"/>
      <c r="F22" s="1009"/>
      <c r="G22" s="1009"/>
      <c r="H22" s="1009"/>
      <c r="I22" s="1009"/>
      <c r="J22" s="1010"/>
      <c r="K22" s="766"/>
    </row>
    <row r="23" spans="1:11" ht="11.25" customHeight="1">
      <c r="A23" s="754"/>
      <c r="B23" s="1225"/>
      <c r="C23" s="1009"/>
      <c r="D23" s="1009"/>
      <c r="E23" s="1009"/>
      <c r="F23" s="1009"/>
      <c r="G23" s="1009"/>
      <c r="H23" s="1009"/>
      <c r="I23" s="1009"/>
      <c r="J23" s="1010"/>
      <c r="K23" s="376"/>
    </row>
    <row r="24" spans="1:11" ht="15" customHeight="1">
      <c r="A24" s="754"/>
      <c r="B24" s="1255" t="s">
        <v>1310</v>
      </c>
      <c r="C24" s="1009"/>
      <c r="D24" s="1009"/>
      <c r="E24" s="1009"/>
      <c r="F24" s="1009"/>
      <c r="G24" s="1009"/>
      <c r="H24" s="1009"/>
      <c r="I24" s="1009"/>
      <c r="J24" s="1010"/>
      <c r="K24" s="767"/>
    </row>
    <row r="25" spans="1:11" ht="15" customHeight="1">
      <c r="A25" s="754"/>
      <c r="B25" s="1123"/>
      <c r="C25" s="1009"/>
      <c r="D25" s="1009"/>
      <c r="E25" s="1009"/>
      <c r="F25" s="1009"/>
      <c r="G25" s="1009"/>
      <c r="H25" s="1009"/>
      <c r="I25" s="1009"/>
      <c r="J25" s="1010"/>
      <c r="K25" s="602"/>
    </row>
    <row r="26" spans="1:11" ht="11.25" customHeight="1">
      <c r="A26" s="763"/>
      <c r="B26" s="1086" t="s">
        <v>535</v>
      </c>
      <c r="C26" s="1009"/>
      <c r="D26" s="1009"/>
      <c r="E26" s="1009"/>
      <c r="F26" s="1009"/>
      <c r="G26" s="1009"/>
      <c r="H26" s="1009"/>
      <c r="I26" s="1009"/>
      <c r="J26" s="1010"/>
      <c r="K26" s="594"/>
    </row>
    <row r="27" spans="1:11" ht="30" customHeight="1">
      <c r="A27" s="754"/>
      <c r="B27" s="761">
        <v>1</v>
      </c>
      <c r="C27" s="1178" t="s">
        <v>536</v>
      </c>
      <c r="D27" s="1009"/>
      <c r="E27" s="1009"/>
      <c r="F27" s="1009"/>
      <c r="G27" s="1009"/>
      <c r="H27" s="1010"/>
      <c r="I27" s="1256" t="str">
        <f>'1-ABA-DE-CARREGAMENTO'!N33</f>
        <v>A NÃO TEM MAIS POSTOS-99</v>
      </c>
      <c r="J27" s="1010"/>
      <c r="K27" s="768"/>
    </row>
    <row r="28" spans="1:11" ht="11.25" customHeight="1">
      <c r="A28" s="754"/>
      <c r="B28" s="769">
        <v>2</v>
      </c>
      <c r="C28" s="1215" t="s">
        <v>537</v>
      </c>
      <c r="D28" s="1009"/>
      <c r="E28" s="1009"/>
      <c r="F28" s="1009"/>
      <c r="G28" s="1009"/>
      <c r="H28" s="1010"/>
      <c r="I28" s="1257"/>
      <c r="J28" s="1010"/>
      <c r="K28" s="770"/>
    </row>
    <row r="29" spans="1:11" ht="33" customHeight="1">
      <c r="A29" s="754"/>
      <c r="B29" s="761">
        <v>3</v>
      </c>
      <c r="C29" s="1258" t="s">
        <v>538</v>
      </c>
      <c r="D29" s="948"/>
      <c r="E29" s="748">
        <v>220</v>
      </c>
      <c r="F29" s="606">
        <f>'1-ABA-DE-CARREGAMENTO'!N37</f>
        <v>0</v>
      </c>
      <c r="G29" s="759" t="s">
        <v>539</v>
      </c>
      <c r="H29" s="895">
        <f>'1-ABA-DE-CARREGAMENTO'!N52</f>
        <v>220</v>
      </c>
      <c r="I29" s="1259">
        <f>F29/E29*H29</f>
        <v>0</v>
      </c>
      <c r="J29" s="1010"/>
      <c r="K29" s="773"/>
    </row>
    <row r="30" spans="1:11" ht="11.25" customHeight="1">
      <c r="A30" s="754"/>
      <c r="B30" s="761">
        <v>4</v>
      </c>
      <c r="C30" s="1178" t="s">
        <v>540</v>
      </c>
      <c r="D30" s="1009"/>
      <c r="E30" s="1009"/>
      <c r="F30" s="1009"/>
      <c r="G30" s="1009"/>
      <c r="H30" s="1010"/>
      <c r="I30" s="1260"/>
      <c r="J30" s="1010"/>
      <c r="K30" s="774"/>
    </row>
    <row r="31" spans="1:11" ht="11.25" customHeight="1">
      <c r="A31" s="754"/>
      <c r="B31" s="761">
        <v>5</v>
      </c>
      <c r="C31" s="1178" t="s">
        <v>541</v>
      </c>
      <c r="D31" s="1009"/>
      <c r="E31" s="1009"/>
      <c r="F31" s="1009"/>
      <c r="G31" s="1009"/>
      <c r="H31" s="1010"/>
      <c r="I31" s="1244" t="str">
        <f>'1-ABA-DE-CARREGAMENTO'!N36</f>
        <v>01 de FEVEREIRO</v>
      </c>
      <c r="J31" s="1010"/>
      <c r="K31" s="775"/>
    </row>
    <row r="32" spans="1:11" ht="12.75" customHeight="1">
      <c r="A32" s="754"/>
      <c r="B32" s="776">
        <v>6</v>
      </c>
      <c r="C32" s="1229" t="s">
        <v>1311</v>
      </c>
      <c r="D32" s="1009"/>
      <c r="E32" s="1009"/>
      <c r="F32" s="1009"/>
      <c r="G32" s="1009"/>
      <c r="H32" s="1010"/>
      <c r="I32" s="1231">
        <f>ROUND(I29/220,2)*0</f>
        <v>0</v>
      </c>
      <c r="J32" s="1010"/>
      <c r="K32" s="777"/>
    </row>
    <row r="33" spans="1:11" ht="40.5" customHeight="1">
      <c r="A33" s="754"/>
      <c r="B33" s="776">
        <v>7</v>
      </c>
      <c r="C33" s="1229" t="s">
        <v>1312</v>
      </c>
      <c r="D33" s="1009"/>
      <c r="E33" s="1009"/>
      <c r="F33" s="1010"/>
      <c r="G33" s="1239"/>
      <c r="H33" s="1010"/>
      <c r="I33" s="1231">
        <f>SUM(J47:J50)/220</f>
        <v>0</v>
      </c>
      <c r="J33" s="1010"/>
      <c r="K33" s="777"/>
    </row>
    <row r="34" spans="1:11" ht="27" customHeight="1">
      <c r="A34" s="754"/>
      <c r="B34" s="776">
        <v>8</v>
      </c>
      <c r="C34" s="1229" t="s">
        <v>1313</v>
      </c>
      <c r="D34" s="1009"/>
      <c r="E34" s="1009"/>
      <c r="F34" s="1010"/>
      <c r="G34" s="1239"/>
      <c r="H34" s="1010"/>
      <c r="I34" s="1231">
        <f>TRUNC(I33*1.5,2)*0</f>
        <v>0</v>
      </c>
      <c r="J34" s="1010"/>
      <c r="K34" s="777"/>
    </row>
    <row r="35" spans="1:11" ht="27" customHeight="1">
      <c r="A35" s="754"/>
      <c r="B35" s="776">
        <v>9</v>
      </c>
      <c r="C35" s="1229" t="s">
        <v>1314</v>
      </c>
      <c r="D35" s="1009"/>
      <c r="E35" s="1009"/>
      <c r="F35" s="1010"/>
      <c r="G35" s="1239" t="s">
        <v>546</v>
      </c>
      <c r="H35" s="1010"/>
      <c r="I35" s="1275">
        <f>I33*1.5</f>
        <v>0</v>
      </c>
      <c r="J35" s="1010"/>
      <c r="K35" s="778"/>
    </row>
    <row r="36" spans="1:11" ht="27" customHeight="1">
      <c r="A36" s="754"/>
      <c r="B36" s="776">
        <v>10</v>
      </c>
      <c r="C36" s="1229" t="s">
        <v>1315</v>
      </c>
      <c r="D36" s="1009"/>
      <c r="E36" s="1009"/>
      <c r="F36" s="1009"/>
      <c r="G36" s="1009"/>
      <c r="H36" s="1010"/>
      <c r="I36" s="1231">
        <f>TRUNC(1.3*I32*0.2,2)</f>
        <v>0</v>
      </c>
      <c r="J36" s="1010"/>
      <c r="K36" s="777"/>
    </row>
    <row r="37" spans="1:11" ht="27" customHeight="1">
      <c r="A37" s="754"/>
      <c r="B37" s="776">
        <v>11</v>
      </c>
      <c r="C37" s="1229" t="s">
        <v>1316</v>
      </c>
      <c r="D37" s="1009"/>
      <c r="E37" s="1009"/>
      <c r="F37" s="1009"/>
      <c r="G37" s="1009"/>
      <c r="H37" s="1010"/>
      <c r="I37" s="1231">
        <f>I33*2</f>
        <v>0</v>
      </c>
      <c r="J37" s="1010"/>
      <c r="K37" s="777"/>
    </row>
    <row r="38" spans="1:11" ht="14.25" customHeight="1">
      <c r="A38" s="754"/>
      <c r="B38" s="776">
        <v>12</v>
      </c>
      <c r="C38" s="1229" t="s">
        <v>1317</v>
      </c>
      <c r="D38" s="1009"/>
      <c r="E38" s="1009"/>
      <c r="F38" s="1009"/>
      <c r="G38" s="1009"/>
      <c r="H38" s="1010"/>
      <c r="I38" s="1231">
        <f>I29*'1-ABA-DE-CARREGAMENTO'!D44</f>
        <v>0</v>
      </c>
      <c r="J38" s="1010"/>
      <c r="K38" s="777"/>
    </row>
    <row r="39" spans="1:11" ht="14.25" customHeight="1">
      <c r="A39" s="754"/>
      <c r="B39" s="776">
        <v>13</v>
      </c>
      <c r="C39" s="1229" t="s">
        <v>550</v>
      </c>
      <c r="D39" s="1009"/>
      <c r="E39" s="1009"/>
      <c r="F39" s="1009"/>
      <c r="G39" s="1009"/>
      <c r="H39" s="1010"/>
      <c r="I39" s="1231">
        <f>ROUND(I32/6,2)*1.3</f>
        <v>0</v>
      </c>
      <c r="J39" s="1010"/>
      <c r="K39" s="777"/>
    </row>
    <row r="40" spans="1:11" ht="11.25" customHeight="1">
      <c r="A40" s="754"/>
      <c r="B40" s="776">
        <v>14</v>
      </c>
      <c r="C40" s="1269" t="s">
        <v>551</v>
      </c>
      <c r="D40" s="1009"/>
      <c r="E40" s="1009"/>
      <c r="F40" s="1009"/>
      <c r="G40" s="1009"/>
      <c r="H40" s="1010"/>
      <c r="I40" s="1274">
        <f>'1-ABA-DE-CARREGAMENTO'!N93</f>
        <v>1</v>
      </c>
      <c r="J40" s="1010"/>
      <c r="K40" s="780"/>
    </row>
    <row r="41" spans="1:11" ht="11.25" customHeight="1">
      <c r="A41" s="754"/>
      <c r="B41" s="776">
        <v>15</v>
      </c>
      <c r="C41" s="1269" t="s">
        <v>907</v>
      </c>
      <c r="D41" s="1009"/>
      <c r="E41" s="1009"/>
      <c r="F41" s="1009"/>
      <c r="G41" s="1009"/>
      <c r="H41" s="1010"/>
      <c r="I41" s="1270">
        <f>'1-ABA-DE-CARREGAMENTO'!E42</f>
        <v>1320</v>
      </c>
      <c r="J41" s="1010"/>
      <c r="K41" s="781"/>
    </row>
    <row r="42" spans="1:11" ht="11.25" customHeight="1">
      <c r="A42" s="754"/>
      <c r="B42" s="1225"/>
      <c r="C42" s="1009"/>
      <c r="D42" s="1009"/>
      <c r="E42" s="1009"/>
      <c r="F42" s="1009"/>
      <c r="G42" s="1009"/>
      <c r="H42" s="1009"/>
      <c r="I42" s="1009"/>
      <c r="J42" s="1010"/>
      <c r="K42" s="376"/>
    </row>
    <row r="43" spans="1:11" ht="30" customHeight="1">
      <c r="A43" s="754"/>
      <c r="B43" s="1214" t="s">
        <v>553</v>
      </c>
      <c r="C43" s="1009"/>
      <c r="D43" s="1009"/>
      <c r="E43" s="1009"/>
      <c r="F43" s="1009"/>
      <c r="G43" s="1009"/>
      <c r="H43" s="1009"/>
      <c r="I43" s="1009"/>
      <c r="J43" s="1010"/>
      <c r="K43" s="782"/>
    </row>
    <row r="44" spans="1:11" ht="14.25" customHeight="1">
      <c r="A44" s="754"/>
      <c r="B44" s="1226"/>
      <c r="C44" s="1009"/>
      <c r="D44" s="1009"/>
      <c r="E44" s="1009"/>
      <c r="F44" s="1009"/>
      <c r="G44" s="1009"/>
      <c r="H44" s="1009"/>
      <c r="I44" s="1009"/>
      <c r="J44" s="1010"/>
      <c r="K44" s="783"/>
    </row>
    <row r="45" spans="1:11" ht="11.25" customHeight="1">
      <c r="A45" s="754"/>
      <c r="B45" s="1227" t="s">
        <v>554</v>
      </c>
      <c r="C45" s="1009"/>
      <c r="D45" s="1009"/>
      <c r="E45" s="1009"/>
      <c r="F45" s="1009"/>
      <c r="G45" s="1009"/>
      <c r="H45" s="1009"/>
      <c r="I45" s="1009"/>
      <c r="J45" s="1010"/>
      <c r="K45" s="784"/>
    </row>
    <row r="46" spans="1:11" ht="11.25" customHeight="1">
      <c r="A46" s="785"/>
      <c r="B46" s="622">
        <v>1</v>
      </c>
      <c r="C46" s="1083" t="s">
        <v>555</v>
      </c>
      <c r="D46" s="1009"/>
      <c r="E46" s="1009"/>
      <c r="F46" s="1009"/>
      <c r="G46" s="1009"/>
      <c r="H46" s="1010"/>
      <c r="I46" s="786" t="s">
        <v>556</v>
      </c>
      <c r="J46" s="622" t="s">
        <v>557</v>
      </c>
      <c r="K46" s="592"/>
    </row>
    <row r="47" spans="1:11" ht="12.75" customHeight="1">
      <c r="A47" s="754"/>
      <c r="B47" s="761" t="s">
        <v>514</v>
      </c>
      <c r="C47" s="1178" t="s">
        <v>558</v>
      </c>
      <c r="D47" s="1009"/>
      <c r="E47" s="1009"/>
      <c r="F47" s="1010"/>
      <c r="G47" s="787" t="s">
        <v>185</v>
      </c>
      <c r="H47" s="788">
        <f>'1-ABA-DE-CARREGAMENTO'!N52</f>
        <v>220</v>
      </c>
      <c r="I47" s="787"/>
      <c r="J47" s="789">
        <f>I29*I40</f>
        <v>0</v>
      </c>
      <c r="K47" s="790"/>
    </row>
    <row r="48" spans="1:11" ht="11.25" customHeight="1">
      <c r="A48" s="754"/>
      <c r="B48" s="761" t="s">
        <v>516</v>
      </c>
      <c r="C48" s="1178" t="s">
        <v>790</v>
      </c>
      <c r="D48" s="1009"/>
      <c r="E48" s="1009"/>
      <c r="F48" s="1228" t="str">
        <f>'1-ABA-DE-CARREGAMENTO'!N38</f>
        <v>SEM ADICIONAL DE FUNÇÃO</v>
      </c>
      <c r="G48" s="1009"/>
      <c r="H48" s="1010"/>
      <c r="I48" s="791">
        <f>'1-ABA-DE-CARREGAMENTO'!N39</f>
        <v>0</v>
      </c>
      <c r="J48" s="789">
        <f>J47*I48</f>
        <v>0</v>
      </c>
      <c r="K48" s="790"/>
    </row>
    <row r="49" spans="1:11" ht="11.25" customHeight="1">
      <c r="A49" s="754"/>
      <c r="B49" s="761" t="s">
        <v>518</v>
      </c>
      <c r="C49" s="1178" t="s">
        <v>1318</v>
      </c>
      <c r="D49" s="1009"/>
      <c r="E49" s="1009"/>
      <c r="F49" s="1009"/>
      <c r="G49" s="1009"/>
      <c r="H49" s="1010"/>
      <c r="I49" s="792">
        <f>'1-ABA-DE-CARREGAMENTO'!N44</f>
        <v>0</v>
      </c>
      <c r="J49" s="789">
        <f>ROUND(J47*I49,2)</f>
        <v>0</v>
      </c>
      <c r="K49" s="790"/>
    </row>
    <row r="50" spans="1:11" ht="11.25" customHeight="1">
      <c r="A50" s="754"/>
      <c r="B50" s="761" t="s">
        <v>520</v>
      </c>
      <c r="C50" s="1178" t="s">
        <v>1319</v>
      </c>
      <c r="D50" s="1009"/>
      <c r="E50" s="1009"/>
      <c r="F50" s="1009"/>
      <c r="G50" s="1228" t="str">
        <f>'1-ABA-DE-CARREGAMENTO'!N40</f>
        <v>SEM ADICIONAL DE RISCO</v>
      </c>
      <c r="H50" s="1010"/>
      <c r="I50" s="896">
        <f>'1-ABA-DE-CARREGAMENTO'!N41</f>
        <v>0</v>
      </c>
      <c r="J50" s="789">
        <f>ROUND(I50*I41,2)</f>
        <v>0</v>
      </c>
      <c r="K50" s="790"/>
    </row>
    <row r="51" spans="1:11" ht="35.25" customHeight="1">
      <c r="A51" s="754"/>
      <c r="B51" s="761" t="s">
        <v>562</v>
      </c>
      <c r="C51" s="1178" t="s">
        <v>1320</v>
      </c>
      <c r="D51" s="1009"/>
      <c r="E51" s="1009"/>
      <c r="F51" s="1009"/>
      <c r="G51" s="1009"/>
      <c r="H51" s="1009"/>
      <c r="I51" s="1010"/>
      <c r="J51" s="789">
        <f>ROUND(2*8*15*I36,2)*0</f>
        <v>0</v>
      </c>
      <c r="K51" s="790"/>
    </row>
    <row r="52" spans="1:11" ht="42" customHeight="1">
      <c r="A52" s="754"/>
      <c r="B52" s="761" t="s">
        <v>566</v>
      </c>
      <c r="C52" s="1215" t="s">
        <v>1321</v>
      </c>
      <c r="D52" s="1009"/>
      <c r="E52" s="1009"/>
      <c r="F52" s="1009"/>
      <c r="G52" s="1009"/>
      <c r="H52" s="1009"/>
      <c r="I52" s="1010"/>
      <c r="J52" s="789">
        <f>ROUND(I38*(((12*15)+15)-((44/6)*26))*I35,2)*0+ROUND(2*4.33*I35,2)*0</f>
        <v>0</v>
      </c>
      <c r="K52" s="790"/>
    </row>
    <row r="53" spans="1:11" ht="35.25" customHeight="1">
      <c r="A53" s="754"/>
      <c r="B53" s="761" t="s">
        <v>568</v>
      </c>
      <c r="C53" s="1215" t="s">
        <v>1322</v>
      </c>
      <c r="D53" s="1009"/>
      <c r="E53" s="1009"/>
      <c r="F53" s="1009"/>
      <c r="G53" s="1009"/>
      <c r="H53" s="1009"/>
      <c r="I53" s="1010"/>
      <c r="J53" s="789">
        <f>ROUND(I39*I40*15,2)*0</f>
        <v>0</v>
      </c>
      <c r="K53" s="790"/>
    </row>
    <row r="54" spans="1:11" ht="35.25" customHeight="1">
      <c r="A54" s="754"/>
      <c r="B54" s="761" t="s">
        <v>570</v>
      </c>
      <c r="C54" s="1215" t="s">
        <v>1091</v>
      </c>
      <c r="D54" s="1009"/>
      <c r="E54" s="1009"/>
      <c r="F54" s="1276" t="s">
        <v>1323</v>
      </c>
      <c r="G54" s="1009"/>
      <c r="H54" s="1009"/>
      <c r="I54" s="934">
        <f>'1-ABA-DE-CARREGAMENTO'!N65</f>
        <v>0</v>
      </c>
      <c r="J54" s="789">
        <f>ROUND((((SUM(J47:J50))/220)*1.5)*I54,2)</f>
        <v>0</v>
      </c>
      <c r="K54" s="790"/>
    </row>
    <row r="55" spans="1:11" ht="35.25" customHeight="1">
      <c r="A55" s="754"/>
      <c r="B55" s="761" t="s">
        <v>574</v>
      </c>
      <c r="C55" s="1215" t="s">
        <v>1093</v>
      </c>
      <c r="D55" s="1009"/>
      <c r="E55" s="1009"/>
      <c r="F55" s="1276" t="s">
        <v>1324</v>
      </c>
      <c r="G55" s="1009"/>
      <c r="H55" s="1009"/>
      <c r="I55" s="934">
        <f>'1-ABA-DE-CARREGAMENTO'!N68</f>
        <v>0</v>
      </c>
      <c r="J55" s="789">
        <f>ROUND((((SUM(J47:J50))/220)*2)*I55,2)</f>
        <v>0</v>
      </c>
      <c r="K55" s="790"/>
    </row>
    <row r="56" spans="1:11" ht="35.25" customHeight="1">
      <c r="A56" s="754"/>
      <c r="B56" s="761" t="s">
        <v>578</v>
      </c>
      <c r="C56" s="1178" t="s">
        <v>1325</v>
      </c>
      <c r="D56" s="1009"/>
      <c r="E56" s="1009"/>
      <c r="F56" s="1009"/>
      <c r="G56" s="1009"/>
      <c r="H56" s="1009"/>
      <c r="I56" s="1010"/>
      <c r="J56" s="789">
        <f>ROUND(((J54+J55)/25)*5,2)</f>
        <v>0</v>
      </c>
      <c r="K56" s="790"/>
    </row>
    <row r="57" spans="1:11" ht="11.25" customHeight="1">
      <c r="A57" s="754"/>
      <c r="B57" s="761" t="s">
        <v>580</v>
      </c>
      <c r="C57" s="1178" t="s">
        <v>581</v>
      </c>
      <c r="D57" s="1009"/>
      <c r="E57" s="1009"/>
      <c r="F57" s="1009"/>
      <c r="G57" s="1009"/>
      <c r="H57" s="1009"/>
      <c r="I57" s="1010"/>
      <c r="J57" s="798" t="s">
        <v>527</v>
      </c>
      <c r="K57" s="799"/>
    </row>
    <row r="58" spans="1:11" ht="11.25" customHeight="1">
      <c r="A58" s="754"/>
      <c r="B58" s="1086" t="s">
        <v>582</v>
      </c>
      <c r="C58" s="1009"/>
      <c r="D58" s="1009"/>
      <c r="E58" s="1009"/>
      <c r="F58" s="1009"/>
      <c r="G58" s="1009"/>
      <c r="H58" s="1009"/>
      <c r="I58" s="1010"/>
      <c r="J58" s="640">
        <f>SUM(J47:J57)</f>
        <v>0</v>
      </c>
      <c r="K58" s="626"/>
    </row>
    <row r="59" spans="1:11" ht="14.25" customHeight="1">
      <c r="A59" s="754"/>
      <c r="B59" s="800"/>
      <c r="C59" s="1219"/>
      <c r="D59" s="1009"/>
      <c r="E59" s="1009"/>
      <c r="F59" s="1009"/>
      <c r="G59" s="1009"/>
      <c r="H59" s="1009"/>
      <c r="I59" s="1010"/>
      <c r="J59" s="642"/>
      <c r="K59" s="626"/>
    </row>
    <row r="60" spans="1:11" ht="11.25" customHeight="1">
      <c r="A60" s="754"/>
      <c r="B60" s="761" t="s">
        <v>570</v>
      </c>
      <c r="C60" s="1178" t="s">
        <v>1326</v>
      </c>
      <c r="D60" s="1009"/>
      <c r="E60" s="1009"/>
      <c r="F60" s="1009"/>
      <c r="G60" s="1009"/>
      <c r="H60" s="1009"/>
      <c r="I60" s="1010"/>
      <c r="J60" s="789">
        <f>ROUND(I34*15*I40*0.5,2)*0</f>
        <v>0</v>
      </c>
      <c r="K60" s="790"/>
    </row>
    <row r="61" spans="1:11" ht="11.25" customHeight="1">
      <c r="A61" s="754"/>
      <c r="B61" s="1086" t="s">
        <v>1327</v>
      </c>
      <c r="C61" s="1009"/>
      <c r="D61" s="1009"/>
      <c r="E61" s="1009"/>
      <c r="F61" s="1009"/>
      <c r="G61" s="1009"/>
      <c r="H61" s="1009"/>
      <c r="I61" s="1010"/>
      <c r="J61" s="640">
        <f>J60</f>
        <v>0</v>
      </c>
      <c r="K61" s="626"/>
    </row>
    <row r="62" spans="1:11" ht="11.25" customHeight="1">
      <c r="A62" s="754"/>
      <c r="B62" s="1220"/>
      <c r="C62" s="1009"/>
      <c r="D62" s="1009"/>
      <c r="E62" s="1009"/>
      <c r="F62" s="1009"/>
      <c r="G62" s="1009"/>
      <c r="H62" s="1009"/>
      <c r="I62" s="1009"/>
      <c r="J62" s="1010"/>
      <c r="K62" s="763"/>
    </row>
    <row r="63" spans="1:11" ht="11.25" customHeight="1">
      <c r="A63" s="754"/>
      <c r="B63" s="1221" t="s">
        <v>1328</v>
      </c>
      <c r="C63" s="1009"/>
      <c r="D63" s="1009"/>
      <c r="E63" s="1009"/>
      <c r="F63" s="1009"/>
      <c r="G63" s="1009"/>
      <c r="H63" s="1009"/>
      <c r="I63" s="1010"/>
      <c r="J63" s="801">
        <f>J58+J61</f>
        <v>0</v>
      </c>
      <c r="K63" s="802"/>
    </row>
    <row r="64" spans="1:11" ht="11.25" customHeight="1">
      <c r="A64" s="754"/>
      <c r="B64" s="1219"/>
      <c r="C64" s="1009"/>
      <c r="D64" s="1009"/>
      <c r="E64" s="1009"/>
      <c r="F64" s="1009"/>
      <c r="G64" s="1009"/>
      <c r="H64" s="1009"/>
      <c r="I64" s="1009"/>
      <c r="J64" s="1010"/>
      <c r="K64" s="803"/>
    </row>
    <row r="65" spans="1:11" ht="11.25" customHeight="1">
      <c r="A65" s="754"/>
      <c r="B65" s="1222" t="s">
        <v>586</v>
      </c>
      <c r="C65" s="1009"/>
      <c r="D65" s="1009"/>
      <c r="E65" s="1009"/>
      <c r="F65" s="1009"/>
      <c r="G65" s="1009"/>
      <c r="H65" s="1009"/>
      <c r="I65" s="1009"/>
      <c r="J65" s="1010"/>
      <c r="K65" s="804"/>
    </row>
    <row r="66" spans="1:11" ht="11.25" customHeight="1">
      <c r="A66" s="754"/>
      <c r="B66" s="1219"/>
      <c r="C66" s="1009"/>
      <c r="D66" s="1009"/>
      <c r="E66" s="1009"/>
      <c r="F66" s="1009"/>
      <c r="G66" s="1009"/>
      <c r="H66" s="1009"/>
      <c r="I66" s="1009"/>
      <c r="J66" s="1010"/>
      <c r="K66" s="803"/>
    </row>
    <row r="67" spans="1:11" ht="11.25" customHeight="1">
      <c r="A67" s="754"/>
      <c r="B67" s="1201" t="s">
        <v>587</v>
      </c>
      <c r="C67" s="1009"/>
      <c r="D67" s="1009"/>
      <c r="E67" s="1009"/>
      <c r="F67" s="1009"/>
      <c r="G67" s="1009"/>
      <c r="H67" s="1009"/>
      <c r="I67" s="1009"/>
      <c r="J67" s="1010"/>
      <c r="K67" s="805"/>
    </row>
    <row r="68" spans="1:11" ht="11.25" customHeight="1">
      <c r="A68" s="754"/>
      <c r="B68" s="1112" t="s">
        <v>1329</v>
      </c>
      <c r="C68" s="1009"/>
      <c r="D68" s="1009"/>
      <c r="E68" s="1009"/>
      <c r="F68" s="1009"/>
      <c r="G68" s="1009"/>
      <c r="H68" s="1009"/>
      <c r="I68" s="1009"/>
      <c r="J68" s="1010"/>
      <c r="K68" s="646"/>
    </row>
    <row r="69" spans="1:11" ht="15" customHeight="1">
      <c r="A69" s="754"/>
      <c r="B69" s="647" t="s">
        <v>589</v>
      </c>
      <c r="C69" s="1113" t="s">
        <v>1330</v>
      </c>
      <c r="D69" s="1009"/>
      <c r="E69" s="1009"/>
      <c r="F69" s="1009"/>
      <c r="G69" s="1009"/>
      <c r="H69" s="1009"/>
      <c r="I69" s="1010"/>
      <c r="J69" s="604" t="s">
        <v>591</v>
      </c>
      <c r="K69" s="487"/>
    </row>
    <row r="70" spans="1:11" ht="11.25" customHeight="1">
      <c r="A70" s="754"/>
      <c r="B70" s="647" t="s">
        <v>514</v>
      </c>
      <c r="C70" s="1215" t="s">
        <v>1331</v>
      </c>
      <c r="D70" s="1009"/>
      <c r="E70" s="1009"/>
      <c r="F70" s="1009"/>
      <c r="G70" s="1009"/>
      <c r="H70" s="1010"/>
      <c r="I70" s="648">
        <v>8.3299999999999999E-2</v>
      </c>
      <c r="J70" s="806">
        <f>ROUND(J58*I70,2)</f>
        <v>0</v>
      </c>
      <c r="K70" s="807"/>
    </row>
    <row r="71" spans="1:11" ht="14.25" customHeight="1">
      <c r="A71" s="754"/>
      <c r="B71" s="647" t="s">
        <v>516</v>
      </c>
      <c r="C71" s="1216" t="s">
        <v>1332</v>
      </c>
      <c r="D71" s="1009"/>
      <c r="E71" s="1009"/>
      <c r="F71" s="1009"/>
      <c r="G71" s="1009"/>
      <c r="H71" s="1010"/>
      <c r="I71" s="651">
        <v>3.0249999999999999E-2</v>
      </c>
      <c r="J71" s="806">
        <f>ROUND(J58*I71,2)</f>
        <v>0</v>
      </c>
      <c r="K71" s="807"/>
    </row>
    <row r="72" spans="1:11" ht="11.25" customHeight="1">
      <c r="A72" s="754"/>
      <c r="B72" s="1199" t="s">
        <v>594</v>
      </c>
      <c r="C72" s="1009"/>
      <c r="D72" s="1009"/>
      <c r="E72" s="1009"/>
      <c r="F72" s="1009"/>
      <c r="G72" s="1009"/>
      <c r="H72" s="1009"/>
      <c r="I72" s="1010"/>
      <c r="J72" s="808">
        <f>SUM(J70+J71)</f>
        <v>0</v>
      </c>
      <c r="K72" s="809"/>
    </row>
    <row r="73" spans="1:11" ht="14.25" customHeight="1">
      <c r="A73" s="754"/>
      <c r="B73" s="1217"/>
      <c r="C73" s="1009"/>
      <c r="D73" s="1009"/>
      <c r="E73" s="1009"/>
      <c r="F73" s="1009"/>
      <c r="G73" s="1009"/>
      <c r="H73" s="1009"/>
      <c r="I73" s="1009"/>
      <c r="J73" s="1010"/>
      <c r="K73" s="810"/>
    </row>
    <row r="74" spans="1:11" ht="11.25" customHeight="1">
      <c r="A74" s="754"/>
      <c r="B74" s="1214" t="s">
        <v>1333</v>
      </c>
      <c r="C74" s="1009"/>
      <c r="D74" s="1009"/>
      <c r="E74" s="1009"/>
      <c r="F74" s="1009"/>
      <c r="G74" s="1009"/>
      <c r="H74" s="1009"/>
      <c r="I74" s="1009"/>
      <c r="J74" s="1010"/>
      <c r="K74" s="782"/>
    </row>
    <row r="75" spans="1:11" ht="14.25" customHeight="1">
      <c r="A75" s="754"/>
      <c r="B75" s="1218"/>
      <c r="C75" s="1009"/>
      <c r="D75" s="1009"/>
      <c r="E75" s="1009"/>
      <c r="F75" s="1009"/>
      <c r="G75" s="1009"/>
      <c r="H75" s="1009"/>
      <c r="I75" s="1009"/>
      <c r="J75" s="1010"/>
      <c r="K75" s="782"/>
    </row>
    <row r="76" spans="1:11" ht="14.25" customHeight="1">
      <c r="A76" s="754"/>
      <c r="B76" s="1108" t="s">
        <v>1334</v>
      </c>
      <c r="C76" s="1009"/>
      <c r="D76" s="1009"/>
      <c r="E76" s="1009"/>
      <c r="F76" s="1009"/>
      <c r="G76" s="1009"/>
      <c r="H76" s="1009"/>
      <c r="I76" s="1009"/>
      <c r="J76" s="1010"/>
      <c r="K76" s="655"/>
    </row>
    <row r="77" spans="1:11" ht="11.25" customHeight="1">
      <c r="A77" s="754"/>
      <c r="B77" s="656" t="s">
        <v>597</v>
      </c>
      <c r="C77" s="1165" t="s">
        <v>598</v>
      </c>
      <c r="D77" s="1009"/>
      <c r="E77" s="1009"/>
      <c r="F77" s="1009"/>
      <c r="G77" s="1009"/>
      <c r="H77" s="1010"/>
      <c r="I77" s="811" t="s">
        <v>556</v>
      </c>
      <c r="J77" s="657" t="s">
        <v>599</v>
      </c>
      <c r="K77" s="487"/>
    </row>
    <row r="78" spans="1:11" ht="11.25" customHeight="1">
      <c r="A78" s="754"/>
      <c r="B78" s="812" t="s">
        <v>514</v>
      </c>
      <c r="C78" s="1178" t="s">
        <v>600</v>
      </c>
      <c r="D78" s="1009"/>
      <c r="E78" s="1009"/>
      <c r="F78" s="1009"/>
      <c r="G78" s="1009"/>
      <c r="H78" s="1010"/>
      <c r="I78" s="813">
        <v>0.2</v>
      </c>
      <c r="J78" s="814">
        <f>ROUND((J58+J72)*I78,2)</f>
        <v>0</v>
      </c>
      <c r="K78" s="809"/>
    </row>
    <row r="79" spans="1:11" ht="11.25" customHeight="1">
      <c r="A79" s="754"/>
      <c r="B79" s="812" t="s">
        <v>516</v>
      </c>
      <c r="C79" s="1178" t="s">
        <v>601</v>
      </c>
      <c r="D79" s="1009"/>
      <c r="E79" s="1009"/>
      <c r="F79" s="1009"/>
      <c r="G79" s="1009"/>
      <c r="H79" s="1010"/>
      <c r="I79" s="813">
        <v>2.5000000000000001E-2</v>
      </c>
      <c r="J79" s="814">
        <f>ROUND((J58+J72)*I79,2)</f>
        <v>0</v>
      </c>
      <c r="K79" s="809"/>
    </row>
    <row r="80" spans="1:11" ht="11.25" customHeight="1">
      <c r="A80" s="754"/>
      <c r="B80" s="812" t="s">
        <v>518</v>
      </c>
      <c r="C80" s="1178" t="s">
        <v>1335</v>
      </c>
      <c r="D80" s="1010"/>
      <c r="E80" s="815" t="s">
        <v>603</v>
      </c>
      <c r="F80" s="816">
        <f>'1-ABA-DE-CARREGAMENTO'!N57</f>
        <v>0.03</v>
      </c>
      <c r="G80" s="815" t="s">
        <v>604</v>
      </c>
      <c r="H80" s="817">
        <f>'1-ABA-DE-CARREGAMENTO'!N58</f>
        <v>1</v>
      </c>
      <c r="I80" s="818">
        <f>ROUND((F80*H80),6)</f>
        <v>0.03</v>
      </c>
      <c r="J80" s="814">
        <f>ROUND((J58+J72)*I80,2)</f>
        <v>0</v>
      </c>
      <c r="K80" s="809"/>
    </row>
    <row r="81" spans="1:11" ht="16.5" customHeight="1">
      <c r="A81" s="754"/>
      <c r="B81" s="812" t="s">
        <v>520</v>
      </c>
      <c r="C81" s="1178" t="s">
        <v>605</v>
      </c>
      <c r="D81" s="1009"/>
      <c r="E81" s="1009"/>
      <c r="F81" s="1009"/>
      <c r="G81" s="1009"/>
      <c r="H81" s="1010"/>
      <c r="I81" s="813">
        <v>1.4999999999999999E-2</v>
      </c>
      <c r="J81" s="814">
        <f>ROUND((J58+J72)*I81,2)</f>
        <v>0</v>
      </c>
      <c r="K81" s="809"/>
    </row>
    <row r="82" spans="1:11" ht="16.5" customHeight="1">
      <c r="A82" s="754"/>
      <c r="B82" s="812" t="s">
        <v>562</v>
      </c>
      <c r="C82" s="1178" t="s">
        <v>606</v>
      </c>
      <c r="D82" s="1009"/>
      <c r="E82" s="1009"/>
      <c r="F82" s="1009"/>
      <c r="G82" s="1009"/>
      <c r="H82" s="1010"/>
      <c r="I82" s="813">
        <v>0.01</v>
      </c>
      <c r="J82" s="814">
        <f>ROUND((J58+J72)*I82,2)</f>
        <v>0</v>
      </c>
      <c r="K82" s="809"/>
    </row>
    <row r="83" spans="1:11" ht="16.5" customHeight="1">
      <c r="A83" s="754"/>
      <c r="B83" s="812" t="s">
        <v>566</v>
      </c>
      <c r="C83" s="1178" t="s">
        <v>607</v>
      </c>
      <c r="D83" s="1009"/>
      <c r="E83" s="1009"/>
      <c r="F83" s="1009"/>
      <c r="G83" s="1009"/>
      <c r="H83" s="1010"/>
      <c r="I83" s="813">
        <v>6.0000000000000001E-3</v>
      </c>
      <c r="J83" s="814">
        <f>ROUND((J58+J72)*I83,2)</f>
        <v>0</v>
      </c>
      <c r="K83" s="809"/>
    </row>
    <row r="84" spans="1:11" ht="16.5" customHeight="1">
      <c r="A84" s="754"/>
      <c r="B84" s="812" t="s">
        <v>568</v>
      </c>
      <c r="C84" s="1178" t="s">
        <v>608</v>
      </c>
      <c r="D84" s="1009"/>
      <c r="E84" s="1009"/>
      <c r="F84" s="1009"/>
      <c r="G84" s="1009"/>
      <c r="H84" s="1010"/>
      <c r="I84" s="813">
        <v>2E-3</v>
      </c>
      <c r="J84" s="814">
        <f>ROUND((J58+J72)*I84,2)</f>
        <v>0</v>
      </c>
      <c r="K84" s="809"/>
    </row>
    <row r="85" spans="1:11" ht="28.5" customHeight="1">
      <c r="A85" s="754"/>
      <c r="B85" s="812" t="s">
        <v>570</v>
      </c>
      <c r="C85" s="1178" t="s">
        <v>609</v>
      </c>
      <c r="D85" s="1009"/>
      <c r="E85" s="1009"/>
      <c r="F85" s="1009"/>
      <c r="G85" s="1009"/>
      <c r="H85" s="1010"/>
      <c r="I85" s="813">
        <v>0.08</v>
      </c>
      <c r="J85" s="814">
        <f>ROUND((J58+J72)*I85,2)</f>
        <v>0</v>
      </c>
      <c r="K85" s="809"/>
    </row>
    <row r="86" spans="1:11" ht="12" customHeight="1">
      <c r="A86" s="754"/>
      <c r="B86" s="1204" t="s">
        <v>594</v>
      </c>
      <c r="C86" s="1009"/>
      <c r="D86" s="1009"/>
      <c r="E86" s="1009"/>
      <c r="F86" s="1009"/>
      <c r="G86" s="1009"/>
      <c r="H86" s="1010"/>
      <c r="I86" s="819">
        <f t="shared" ref="I86:J86" si="0">SUM(I78:I85)</f>
        <v>0.36800000000000005</v>
      </c>
      <c r="J86" s="808">
        <f t="shared" si="0"/>
        <v>0</v>
      </c>
      <c r="K86" s="809"/>
    </row>
    <row r="87" spans="1:11" ht="12" customHeight="1">
      <c r="A87" s="754"/>
      <c r="B87" s="820"/>
      <c r="C87" s="666"/>
      <c r="D87" s="666"/>
      <c r="E87" s="666"/>
      <c r="F87" s="666"/>
      <c r="G87" s="666"/>
      <c r="H87" s="666"/>
      <c r="I87" s="821"/>
      <c r="J87" s="822"/>
      <c r="K87" s="809"/>
    </row>
    <row r="88" spans="1:11" ht="36" customHeight="1">
      <c r="A88" s="754"/>
      <c r="B88" s="1214" t="s">
        <v>610</v>
      </c>
      <c r="C88" s="1009"/>
      <c r="D88" s="1009"/>
      <c r="E88" s="1009"/>
      <c r="F88" s="1009"/>
      <c r="G88" s="1009"/>
      <c r="H88" s="1009"/>
      <c r="I88" s="1009"/>
      <c r="J88" s="1010"/>
      <c r="K88" s="782"/>
    </row>
    <row r="89" spans="1:11" ht="18.75" customHeight="1">
      <c r="A89" s="754"/>
      <c r="B89" s="1225"/>
      <c r="C89" s="1009"/>
      <c r="D89" s="1009"/>
      <c r="E89" s="1009"/>
      <c r="F89" s="1009"/>
      <c r="G89" s="1009"/>
      <c r="H89" s="1009"/>
      <c r="I89" s="1009"/>
      <c r="J89" s="1010"/>
      <c r="K89" s="376"/>
    </row>
    <row r="90" spans="1:11" ht="15" customHeight="1">
      <c r="A90" s="754"/>
      <c r="B90" s="1096" t="s">
        <v>611</v>
      </c>
      <c r="C90" s="1009"/>
      <c r="D90" s="1009"/>
      <c r="E90" s="1009"/>
      <c r="F90" s="1009"/>
      <c r="G90" s="1009"/>
      <c r="H90" s="1009"/>
      <c r="I90" s="1009"/>
      <c r="J90" s="1010"/>
      <c r="K90" s="646"/>
    </row>
    <row r="91" spans="1:11" ht="15" customHeight="1">
      <c r="A91" s="754"/>
      <c r="B91" s="669" t="s">
        <v>612</v>
      </c>
      <c r="C91" s="1083" t="s">
        <v>613</v>
      </c>
      <c r="D91" s="1009"/>
      <c r="E91" s="1009"/>
      <c r="F91" s="1009"/>
      <c r="G91" s="1009"/>
      <c r="H91" s="1009"/>
      <c r="I91" s="1010"/>
      <c r="J91" s="670" t="s">
        <v>591</v>
      </c>
      <c r="K91" s="592"/>
    </row>
    <row r="92" spans="1:11" ht="15" customHeight="1">
      <c r="A92" s="754"/>
      <c r="B92" s="823" t="s">
        <v>514</v>
      </c>
      <c r="C92" s="1178" t="s">
        <v>1336</v>
      </c>
      <c r="D92" s="1009"/>
      <c r="E92" s="1009"/>
      <c r="F92" s="1009"/>
      <c r="G92" s="1009"/>
      <c r="H92" s="1010"/>
      <c r="I92" s="794">
        <f>J47</f>
        <v>0</v>
      </c>
      <c r="J92" s="824">
        <f>IF(ROUND((I93*I95*I94)-(J47*I96),2)&lt;0,0,ROUND((I93*I95*I94)-(J47*I96),2))</f>
        <v>0</v>
      </c>
      <c r="K92" s="809"/>
    </row>
    <row r="93" spans="1:11" ht="28.5" customHeight="1">
      <c r="A93" s="754"/>
      <c r="B93" s="823" t="s">
        <v>516</v>
      </c>
      <c r="C93" s="1178" t="s">
        <v>1337</v>
      </c>
      <c r="D93" s="1009"/>
      <c r="E93" s="1009"/>
      <c r="F93" s="1009"/>
      <c r="G93" s="1009"/>
      <c r="H93" s="1009"/>
      <c r="I93" s="825">
        <f>'1-ABA-DE-CARREGAMENTO'!N72</f>
        <v>3.2</v>
      </c>
      <c r="J93" s="826" t="s">
        <v>527</v>
      </c>
      <c r="K93" s="799"/>
    </row>
    <row r="94" spans="1:11" ht="24" customHeight="1">
      <c r="A94" s="754"/>
      <c r="B94" s="823" t="s">
        <v>518</v>
      </c>
      <c r="C94" s="1178" t="s">
        <v>1338</v>
      </c>
      <c r="D94" s="1009"/>
      <c r="E94" s="1009"/>
      <c r="F94" s="1009"/>
      <c r="G94" s="1009"/>
      <c r="H94" s="1010"/>
      <c r="I94" s="827">
        <f>'1-ABA-DE-CARREGAMENTO'!N73</f>
        <v>2</v>
      </c>
      <c r="J94" s="826" t="s">
        <v>527</v>
      </c>
      <c r="K94" s="799"/>
    </row>
    <row r="95" spans="1:11" ht="19.5" customHeight="1">
      <c r="A95" s="754"/>
      <c r="B95" s="823" t="s">
        <v>520</v>
      </c>
      <c r="C95" s="1229" t="s">
        <v>617</v>
      </c>
      <c r="D95" s="1009"/>
      <c r="E95" s="1009"/>
      <c r="F95" s="1009"/>
      <c r="G95" s="1009"/>
      <c r="H95" s="1010"/>
      <c r="I95" s="827">
        <f>'1-ABA-DE-CARREGAMENTO'!N74</f>
        <v>0</v>
      </c>
      <c r="J95" s="826" t="s">
        <v>527</v>
      </c>
      <c r="K95" s="799"/>
    </row>
    <row r="96" spans="1:11" ht="24.75" customHeight="1">
      <c r="A96" s="754"/>
      <c r="B96" s="823" t="s">
        <v>562</v>
      </c>
      <c r="C96" s="1229" t="s">
        <v>1339</v>
      </c>
      <c r="D96" s="1009"/>
      <c r="E96" s="1009"/>
      <c r="F96" s="1009"/>
      <c r="G96" s="1009"/>
      <c r="H96" s="1010"/>
      <c r="I96" s="832">
        <f>'1-ABA-DE-CARREGAMENTO'!N75</f>
        <v>0.06</v>
      </c>
      <c r="J96" s="830" t="s">
        <v>527</v>
      </c>
      <c r="K96" s="799"/>
    </row>
    <row r="97" spans="1:11" ht="15" customHeight="1">
      <c r="A97" s="754"/>
      <c r="B97" s="823" t="s">
        <v>566</v>
      </c>
      <c r="C97" s="1178" t="s">
        <v>1340</v>
      </c>
      <c r="D97" s="1009"/>
      <c r="E97" s="1009"/>
      <c r="F97" s="1009"/>
      <c r="G97" s="1009"/>
      <c r="H97" s="1009"/>
      <c r="I97" s="1009"/>
      <c r="J97" s="824">
        <f>ROUND(I98*I99,2)-ROUND((I98*I99)*I100,2)</f>
        <v>0</v>
      </c>
      <c r="K97" s="809"/>
    </row>
    <row r="98" spans="1:11" ht="15" customHeight="1">
      <c r="A98" s="754"/>
      <c r="B98" s="823" t="s">
        <v>568</v>
      </c>
      <c r="C98" s="1178" t="s">
        <v>1341</v>
      </c>
      <c r="D98" s="1009"/>
      <c r="E98" s="1009"/>
      <c r="F98" s="1009"/>
      <c r="G98" s="1009"/>
      <c r="H98" s="1009"/>
      <c r="I98" s="825">
        <f>IF('1-ABA-DE-CARREGAMENTO'!N60&gt;0,'1-ABA-DE-CARREGAMENTO'!N60,'1-ABA-DE-CARREGAMENTO'!N63)</f>
        <v>0</v>
      </c>
      <c r="J98" s="831"/>
      <c r="K98" s="799"/>
    </row>
    <row r="99" spans="1:11" ht="15" customHeight="1">
      <c r="A99" s="754"/>
      <c r="B99" s="823" t="s">
        <v>570</v>
      </c>
      <c r="C99" s="1178" t="s">
        <v>1342</v>
      </c>
      <c r="D99" s="1009"/>
      <c r="E99" s="1009"/>
      <c r="F99" s="1009"/>
      <c r="G99" s="1009"/>
      <c r="H99" s="1009"/>
      <c r="I99" s="827">
        <f>'1-ABA-DE-CARREGAMENTO'!N62</f>
        <v>22</v>
      </c>
      <c r="J99" s="831"/>
      <c r="K99" s="799"/>
    </row>
    <row r="100" spans="1:11" ht="30" customHeight="1">
      <c r="A100" s="754"/>
      <c r="B100" s="823" t="s">
        <v>574</v>
      </c>
      <c r="C100" s="1266" t="s">
        <v>1343</v>
      </c>
      <c r="D100" s="1009"/>
      <c r="E100" s="1009"/>
      <c r="F100" s="1009"/>
      <c r="G100" s="1009"/>
      <c r="H100" s="1010"/>
      <c r="I100" s="832">
        <f>'1-ABA-DE-CARREGAMENTO'!N61</f>
        <v>0</v>
      </c>
      <c r="J100" s="833"/>
      <c r="K100" s="799"/>
    </row>
    <row r="101" spans="1:11" ht="15" customHeight="1">
      <c r="A101" s="754"/>
      <c r="B101" s="823" t="s">
        <v>578</v>
      </c>
      <c r="C101" s="1178" t="s">
        <v>1114</v>
      </c>
      <c r="D101" s="1009"/>
      <c r="E101" s="1009"/>
      <c r="F101" s="1009"/>
      <c r="G101" s="1009"/>
      <c r="H101" s="1009"/>
      <c r="I101" s="1009"/>
      <c r="J101" s="814">
        <v>0</v>
      </c>
      <c r="K101" s="809"/>
    </row>
    <row r="102" spans="1:11" ht="36.75" customHeight="1">
      <c r="A102" s="754"/>
      <c r="B102" s="823" t="s">
        <v>580</v>
      </c>
      <c r="C102" s="1178" t="s">
        <v>1344</v>
      </c>
      <c r="D102" s="1009"/>
      <c r="E102" s="1009"/>
      <c r="F102" s="1009"/>
      <c r="G102" s="1009"/>
      <c r="H102" s="1009"/>
      <c r="I102" s="1009"/>
      <c r="J102" s="814">
        <f>'1-ABA-DE-CARREGAMENTO'!N77</f>
        <v>0.06</v>
      </c>
      <c r="K102" s="809"/>
    </row>
    <row r="103" spans="1:11" ht="36.75" customHeight="1">
      <c r="A103" s="754"/>
      <c r="B103" s="823" t="s">
        <v>625</v>
      </c>
      <c r="C103" s="1178" t="s">
        <v>1345</v>
      </c>
      <c r="D103" s="1009"/>
      <c r="E103" s="1009"/>
      <c r="F103" s="1009"/>
      <c r="G103" s="1009"/>
      <c r="H103" s="1009"/>
      <c r="I103" s="1010"/>
      <c r="J103" s="814">
        <f>'1-ABA-DE-CARREGAMENTO'!N78</f>
        <v>0.06</v>
      </c>
      <c r="K103" s="809"/>
    </row>
    <row r="104" spans="1:11" ht="16.5" customHeight="1">
      <c r="A104" s="754"/>
      <c r="B104" s="823" t="s">
        <v>627</v>
      </c>
      <c r="C104" s="1178" t="s">
        <v>818</v>
      </c>
      <c r="D104" s="1009"/>
      <c r="E104" s="1009"/>
      <c r="F104" s="1009"/>
      <c r="G104" s="1009"/>
      <c r="H104" s="1009"/>
      <c r="I104" s="1010"/>
      <c r="J104" s="814">
        <f>'1-ABA-DE-CARREGAMENTO'!N76</f>
        <v>0.06</v>
      </c>
      <c r="K104" s="809"/>
    </row>
    <row r="105" spans="1:11" ht="17.25" customHeight="1">
      <c r="A105" s="754"/>
      <c r="B105" s="823" t="s">
        <v>129</v>
      </c>
      <c r="C105" s="1212" t="s">
        <v>668</v>
      </c>
      <c r="D105" s="1009"/>
      <c r="E105" s="1009"/>
      <c r="F105" s="1009"/>
      <c r="G105" s="1009"/>
      <c r="H105" s="1009"/>
      <c r="I105" s="1009"/>
      <c r="J105" s="834">
        <v>0</v>
      </c>
      <c r="K105" s="835"/>
    </row>
    <row r="106" spans="1:11" ht="21.75" customHeight="1">
      <c r="A106" s="754"/>
      <c r="B106" s="836"/>
      <c r="C106" s="1204" t="s">
        <v>594</v>
      </c>
      <c r="D106" s="1009"/>
      <c r="E106" s="1009"/>
      <c r="F106" s="1009"/>
      <c r="G106" s="1009"/>
      <c r="H106" s="1009"/>
      <c r="I106" s="1030"/>
      <c r="J106" s="808">
        <f>SUM(J92:J105)</f>
        <v>0.18</v>
      </c>
      <c r="K106" s="809"/>
    </row>
    <row r="107" spans="1:11" ht="9.75" customHeight="1">
      <c r="A107" s="754"/>
      <c r="B107" s="1225"/>
      <c r="C107" s="1009"/>
      <c r="D107" s="1009"/>
      <c r="E107" s="1009"/>
      <c r="F107" s="1009"/>
      <c r="G107" s="1009"/>
      <c r="H107" s="1009"/>
      <c r="I107" s="1009"/>
      <c r="J107" s="1010"/>
      <c r="K107" s="376"/>
    </row>
    <row r="108" spans="1:11" ht="33" customHeight="1">
      <c r="A108" s="754"/>
      <c r="B108" s="1214" t="s">
        <v>630</v>
      </c>
      <c r="C108" s="1009"/>
      <c r="D108" s="1009"/>
      <c r="E108" s="1009"/>
      <c r="F108" s="1009"/>
      <c r="G108" s="1009"/>
      <c r="H108" s="1009"/>
      <c r="I108" s="1009"/>
      <c r="J108" s="1010"/>
      <c r="K108" s="782"/>
    </row>
    <row r="109" spans="1:11" ht="7.5" customHeight="1">
      <c r="A109" s="754"/>
      <c r="B109" s="1220"/>
      <c r="C109" s="1009"/>
      <c r="D109" s="1009"/>
      <c r="E109" s="1009"/>
      <c r="F109" s="1009"/>
      <c r="G109" s="1009"/>
      <c r="H109" s="1009"/>
      <c r="I109" s="1009"/>
      <c r="J109" s="1010"/>
      <c r="K109" s="763"/>
    </row>
    <row r="110" spans="1:11" ht="19.5" customHeight="1">
      <c r="A110" s="754"/>
      <c r="B110" s="1265" t="s">
        <v>631</v>
      </c>
      <c r="C110" s="1009"/>
      <c r="D110" s="1009"/>
      <c r="E110" s="1009"/>
      <c r="F110" s="1009"/>
      <c r="G110" s="1009"/>
      <c r="H110" s="1009"/>
      <c r="I110" s="1009"/>
      <c r="J110" s="1010"/>
      <c r="K110" s="837"/>
    </row>
    <row r="111" spans="1:11" ht="19.5" customHeight="1">
      <c r="A111" s="754"/>
      <c r="B111" s="657">
        <v>2</v>
      </c>
      <c r="C111" s="1165" t="s">
        <v>632</v>
      </c>
      <c r="D111" s="1009"/>
      <c r="E111" s="1009"/>
      <c r="F111" s="1009"/>
      <c r="G111" s="1009"/>
      <c r="H111" s="1009"/>
      <c r="I111" s="1010"/>
      <c r="J111" s="657" t="s">
        <v>591</v>
      </c>
      <c r="K111" s="487"/>
    </row>
    <row r="112" spans="1:11" ht="19.5" customHeight="1">
      <c r="A112" s="754"/>
      <c r="B112" s="769" t="s">
        <v>589</v>
      </c>
      <c r="C112" s="1215" t="s">
        <v>1346</v>
      </c>
      <c r="D112" s="1009"/>
      <c r="E112" s="1009"/>
      <c r="F112" s="1009"/>
      <c r="G112" s="1009"/>
      <c r="H112" s="1009"/>
      <c r="I112" s="1010"/>
      <c r="J112" s="838">
        <f>J72</f>
        <v>0</v>
      </c>
      <c r="K112" s="839"/>
    </row>
    <row r="113" spans="1:11" ht="19.5" customHeight="1">
      <c r="A113" s="754"/>
      <c r="B113" s="769" t="s">
        <v>597</v>
      </c>
      <c r="C113" s="1215" t="s">
        <v>598</v>
      </c>
      <c r="D113" s="1009"/>
      <c r="E113" s="1009"/>
      <c r="F113" s="1009"/>
      <c r="G113" s="1009"/>
      <c r="H113" s="1009"/>
      <c r="I113" s="1010"/>
      <c r="J113" s="838">
        <f>J86</f>
        <v>0</v>
      </c>
      <c r="K113" s="839"/>
    </row>
    <row r="114" spans="1:11" ht="19.5" customHeight="1">
      <c r="A114" s="754"/>
      <c r="B114" s="769" t="s">
        <v>612</v>
      </c>
      <c r="C114" s="1215" t="s">
        <v>613</v>
      </c>
      <c r="D114" s="1009"/>
      <c r="E114" s="1009"/>
      <c r="F114" s="1009"/>
      <c r="G114" s="1009"/>
      <c r="H114" s="1009"/>
      <c r="I114" s="1010"/>
      <c r="J114" s="838">
        <f>J106</f>
        <v>0.18</v>
      </c>
      <c r="K114" s="839"/>
    </row>
    <row r="115" spans="1:11" ht="14.25" customHeight="1">
      <c r="A115" s="754"/>
      <c r="B115" s="1261" t="s">
        <v>594</v>
      </c>
      <c r="C115" s="1009"/>
      <c r="D115" s="1009"/>
      <c r="E115" s="1009"/>
      <c r="F115" s="1009"/>
      <c r="G115" s="1009"/>
      <c r="H115" s="1009"/>
      <c r="I115" s="1010"/>
      <c r="J115" s="840">
        <f>SUM(J112+J113+J114)</f>
        <v>0.18</v>
      </c>
      <c r="K115" s="839"/>
    </row>
    <row r="116" spans="1:11" ht="14.25" customHeight="1">
      <c r="A116" s="754"/>
      <c r="B116" s="1262"/>
      <c r="C116" s="1009"/>
      <c r="D116" s="1009"/>
      <c r="E116" s="1009"/>
      <c r="F116" s="1009"/>
      <c r="G116" s="1009"/>
      <c r="H116" s="1009"/>
      <c r="I116" s="1009"/>
      <c r="J116" s="1010"/>
      <c r="K116" s="841"/>
    </row>
    <row r="117" spans="1:11" ht="18.75" customHeight="1">
      <c r="A117" s="754"/>
      <c r="B117" s="1252" t="s">
        <v>634</v>
      </c>
      <c r="C117" s="1009"/>
      <c r="D117" s="1009"/>
      <c r="E117" s="1009"/>
      <c r="F117" s="1009"/>
      <c r="G117" s="1009"/>
      <c r="H117" s="1009"/>
      <c r="I117" s="1009"/>
      <c r="J117" s="1010"/>
      <c r="K117" s="842"/>
    </row>
    <row r="118" spans="1:11" ht="15.75" customHeight="1">
      <c r="A118" s="754"/>
      <c r="B118" s="669">
        <v>3</v>
      </c>
      <c r="C118" s="1162" t="s">
        <v>635</v>
      </c>
      <c r="D118" s="1009"/>
      <c r="E118" s="1009"/>
      <c r="F118" s="1009"/>
      <c r="G118" s="1009"/>
      <c r="H118" s="1009"/>
      <c r="I118" s="1010"/>
      <c r="J118" s="669" t="s">
        <v>591</v>
      </c>
      <c r="K118" s="601"/>
    </row>
    <row r="119" spans="1:11" ht="40.5" customHeight="1">
      <c r="A119" s="754"/>
      <c r="B119" s="823" t="s">
        <v>514</v>
      </c>
      <c r="C119" s="1178" t="s">
        <v>1347</v>
      </c>
      <c r="D119" s="1009"/>
      <c r="E119" s="1009"/>
      <c r="F119" s="1009"/>
      <c r="G119" s="1009"/>
      <c r="H119" s="1009"/>
      <c r="I119" s="1010"/>
      <c r="J119" s="814">
        <f>ROUND((($J$58/12)+($J$70/12)+(J58/12/12)+($J$71/12))*(30/30)*0.05,2)</f>
        <v>0</v>
      </c>
      <c r="K119" s="809"/>
    </row>
    <row r="120" spans="1:11" ht="15.75" customHeight="1">
      <c r="A120" s="754"/>
      <c r="B120" s="823" t="s">
        <v>516</v>
      </c>
      <c r="C120" s="1212" t="s">
        <v>637</v>
      </c>
      <c r="D120" s="1009"/>
      <c r="E120" s="1009"/>
      <c r="F120" s="1009"/>
      <c r="G120" s="1009"/>
      <c r="H120" s="1009"/>
      <c r="I120" s="1010"/>
      <c r="J120" s="814">
        <f>ROUND($I$85*J119,2)</f>
        <v>0</v>
      </c>
      <c r="K120" s="809"/>
    </row>
    <row r="121" spans="1:11" ht="28.5" customHeight="1">
      <c r="A121" s="754"/>
      <c r="B121" s="823" t="s">
        <v>518</v>
      </c>
      <c r="C121" s="1178" t="s">
        <v>1348</v>
      </c>
      <c r="D121" s="1009"/>
      <c r="E121" s="1009"/>
      <c r="F121" s="1009"/>
      <c r="G121" s="1009"/>
      <c r="H121" s="1009"/>
      <c r="I121" s="1010"/>
      <c r="J121" s="814">
        <f>ROUND(((7/30)/$I$11)*$J$58*1,2)</f>
        <v>0</v>
      </c>
      <c r="K121" s="809"/>
    </row>
    <row r="122" spans="1:11" ht="18.75" customHeight="1">
      <c r="A122" s="754"/>
      <c r="B122" s="823" t="s">
        <v>520</v>
      </c>
      <c r="C122" s="1212" t="s">
        <v>639</v>
      </c>
      <c r="D122" s="1009"/>
      <c r="E122" s="1009"/>
      <c r="F122" s="1009"/>
      <c r="G122" s="1009"/>
      <c r="H122" s="1009"/>
      <c r="I122" s="1010"/>
      <c r="J122" s="814">
        <f>ROUND($I$86*J121,2)</f>
        <v>0</v>
      </c>
      <c r="K122" s="809"/>
    </row>
    <row r="123" spans="1:11" ht="32.25" customHeight="1">
      <c r="A123" s="754"/>
      <c r="B123" s="823" t="s">
        <v>562</v>
      </c>
      <c r="C123" s="1178" t="s">
        <v>1349</v>
      </c>
      <c r="D123" s="1009"/>
      <c r="E123" s="1009"/>
      <c r="F123" s="1009"/>
      <c r="G123" s="1009"/>
      <c r="H123" s="1010"/>
      <c r="I123" s="843">
        <v>0.04</v>
      </c>
      <c r="J123" s="814">
        <f>ROUND(J58*I123,2)</f>
        <v>0</v>
      </c>
      <c r="K123" s="809"/>
    </row>
    <row r="124" spans="1:11" ht="9.75" customHeight="1">
      <c r="A124" s="754"/>
      <c r="B124" s="1204" t="s">
        <v>641</v>
      </c>
      <c r="C124" s="1009"/>
      <c r="D124" s="1009"/>
      <c r="E124" s="1009"/>
      <c r="F124" s="1009"/>
      <c r="G124" s="1009"/>
      <c r="H124" s="1009"/>
      <c r="I124" s="1010"/>
      <c r="J124" s="808">
        <f>SUM(J119:J123)</f>
        <v>0</v>
      </c>
      <c r="K124" s="809"/>
    </row>
    <row r="125" spans="1:11" ht="15.75" customHeight="1">
      <c r="A125" s="754"/>
      <c r="B125" s="1186"/>
      <c r="C125" s="1009"/>
      <c r="D125" s="1009"/>
      <c r="E125" s="1009"/>
      <c r="F125" s="1009"/>
      <c r="G125" s="1009"/>
      <c r="H125" s="1009"/>
      <c r="I125" s="1009"/>
      <c r="J125" s="1010"/>
      <c r="K125" s="844"/>
    </row>
    <row r="126" spans="1:11" ht="17.25" customHeight="1">
      <c r="A126" s="754"/>
      <c r="B126" s="1187" t="s">
        <v>642</v>
      </c>
      <c r="C126" s="1009"/>
      <c r="D126" s="1009"/>
      <c r="E126" s="1009"/>
      <c r="F126" s="1009"/>
      <c r="G126" s="1009"/>
      <c r="H126" s="1009"/>
      <c r="I126" s="1009"/>
      <c r="J126" s="1010"/>
      <c r="K126" s="845"/>
    </row>
    <row r="127" spans="1:11" ht="30" customHeight="1">
      <c r="A127" s="754"/>
      <c r="B127" s="1214" t="s">
        <v>643</v>
      </c>
      <c r="C127" s="1009"/>
      <c r="D127" s="1009"/>
      <c r="E127" s="1009"/>
      <c r="F127" s="1009"/>
      <c r="G127" s="1009"/>
      <c r="H127" s="1009"/>
      <c r="I127" s="1009"/>
      <c r="J127" s="1010"/>
      <c r="K127" s="782"/>
    </row>
    <row r="128" spans="1:11" ht="58.5" customHeight="1">
      <c r="A128" s="754"/>
      <c r="B128" s="1108" t="s">
        <v>1350</v>
      </c>
      <c r="C128" s="1009"/>
      <c r="D128" s="1009"/>
      <c r="E128" s="1009"/>
      <c r="F128" s="1009"/>
      <c r="G128" s="1009"/>
      <c r="H128" s="1009"/>
      <c r="I128" s="1009"/>
      <c r="J128" s="1010"/>
      <c r="K128" s="655"/>
    </row>
    <row r="129" spans="1:11" ht="36.75" customHeight="1">
      <c r="A129" s="754"/>
      <c r="B129" s="694" t="s">
        <v>645</v>
      </c>
      <c r="C129" s="695">
        <f>J58</f>
        <v>0</v>
      </c>
      <c r="D129" s="846" t="s">
        <v>646</v>
      </c>
      <c r="E129" s="694" t="s">
        <v>1351</v>
      </c>
      <c r="F129" s="695">
        <f>J115-J92-J97</f>
        <v>0.18</v>
      </c>
      <c r="G129" s="846" t="s">
        <v>646</v>
      </c>
      <c r="H129" s="694" t="s">
        <v>648</v>
      </c>
      <c r="I129" s="695">
        <f>J124</f>
        <v>0</v>
      </c>
      <c r="J129" s="847">
        <f>C129+F129+I129</f>
        <v>0.18</v>
      </c>
      <c r="K129" s="848"/>
    </row>
    <row r="130" spans="1:11" ht="14.25" customHeight="1">
      <c r="A130" s="754"/>
      <c r="B130" s="1263"/>
      <c r="C130" s="1009"/>
      <c r="D130" s="1009"/>
      <c r="E130" s="1009"/>
      <c r="F130" s="1009"/>
      <c r="G130" s="1009"/>
      <c r="H130" s="1009"/>
      <c r="I130" s="1009"/>
      <c r="J130" s="1010"/>
      <c r="K130" s="849"/>
    </row>
    <row r="131" spans="1:11" ht="15.75" customHeight="1">
      <c r="A131" s="754"/>
      <c r="B131" s="1069" t="s">
        <v>649</v>
      </c>
      <c r="C131" s="1009"/>
      <c r="D131" s="1009"/>
      <c r="E131" s="1009"/>
      <c r="F131" s="1009"/>
      <c r="G131" s="1009"/>
      <c r="H131" s="1009"/>
      <c r="I131" s="1009"/>
      <c r="J131" s="1010"/>
      <c r="K131" s="698"/>
    </row>
    <row r="132" spans="1:11" ht="17.25" customHeight="1">
      <c r="A132" s="754"/>
      <c r="B132" s="699" t="s">
        <v>650</v>
      </c>
      <c r="C132" s="1162" t="s">
        <v>651</v>
      </c>
      <c r="D132" s="1009"/>
      <c r="E132" s="1009"/>
      <c r="F132" s="1009"/>
      <c r="G132" s="1009"/>
      <c r="H132" s="1009"/>
      <c r="I132" s="1010"/>
      <c r="J132" s="699" t="s">
        <v>591</v>
      </c>
      <c r="K132" s="700"/>
    </row>
    <row r="133" spans="1:11" ht="45.75" customHeight="1">
      <c r="A133" s="754"/>
      <c r="B133" s="823" t="s">
        <v>514</v>
      </c>
      <c r="C133" s="1215" t="s">
        <v>1352</v>
      </c>
      <c r="D133" s="1009"/>
      <c r="E133" s="1009"/>
      <c r="F133" s="1009"/>
      <c r="G133" s="1009"/>
      <c r="H133" s="701">
        <v>9.0749999999999997E-2</v>
      </c>
      <c r="I133" s="702">
        <f>I86</f>
        <v>0.36800000000000005</v>
      </c>
      <c r="J133" s="814">
        <f>ROUND(H133*J58,2)*(1+I133)</f>
        <v>0</v>
      </c>
      <c r="K133" s="809"/>
    </row>
    <row r="134" spans="1:11" ht="17.25" customHeight="1">
      <c r="A134" s="754"/>
      <c r="B134" s="823" t="s">
        <v>516</v>
      </c>
      <c r="C134" s="1178" t="s">
        <v>1353</v>
      </c>
      <c r="D134" s="1009"/>
      <c r="E134" s="1009"/>
      <c r="F134" s="1009"/>
      <c r="G134" s="1009"/>
      <c r="H134" s="1009"/>
      <c r="I134" s="1010"/>
      <c r="J134" s="814">
        <f>ROUND((1/30)/12*(J129),2)</f>
        <v>0</v>
      </c>
      <c r="K134" s="809"/>
    </row>
    <row r="135" spans="1:11" ht="29.25" customHeight="1">
      <c r="A135" s="754"/>
      <c r="B135" s="823" t="s">
        <v>518</v>
      </c>
      <c r="C135" s="1178" t="s">
        <v>1354</v>
      </c>
      <c r="D135" s="1009"/>
      <c r="E135" s="1009"/>
      <c r="F135" s="1009"/>
      <c r="G135" s="1009"/>
      <c r="H135" s="1009"/>
      <c r="I135" s="1010"/>
      <c r="J135" s="814">
        <f>ROUND((5/30)/12*0.015*(J129),2)</f>
        <v>0</v>
      </c>
      <c r="K135" s="809"/>
    </row>
    <row r="136" spans="1:11" ht="28.5" customHeight="1">
      <c r="A136" s="754"/>
      <c r="B136" s="823" t="s">
        <v>520</v>
      </c>
      <c r="C136" s="1178" t="s">
        <v>1355</v>
      </c>
      <c r="D136" s="1009"/>
      <c r="E136" s="1009"/>
      <c r="F136" s="1009"/>
      <c r="G136" s="1009"/>
      <c r="H136" s="1009"/>
      <c r="I136" s="1010"/>
      <c r="J136" s="814">
        <f>ROUND(((15/30)/12)*0.0078*(J129),2)</f>
        <v>0</v>
      </c>
      <c r="K136" s="809"/>
    </row>
    <row r="137" spans="1:11" ht="30.75" customHeight="1">
      <c r="A137" s="754"/>
      <c r="B137" s="850" t="s">
        <v>562</v>
      </c>
      <c r="C137" s="1264" t="s">
        <v>1356</v>
      </c>
      <c r="D137" s="1009"/>
      <c r="E137" s="1009"/>
      <c r="F137" s="1009"/>
      <c r="G137" s="1009"/>
      <c r="H137" s="1009"/>
      <c r="I137" s="1010"/>
      <c r="J137" s="704">
        <f>ROUND(((((C129+C129/3)+(I86)*(C129+C129/3))*(4/12))/12)*0.02,2) + ((J106 -J92-J97+ J124)*4/12)*0.02</f>
        <v>1.1999999999999999E-3</v>
      </c>
      <c r="K137" s="653"/>
    </row>
    <row r="138" spans="1:11" ht="38.25" customHeight="1">
      <c r="A138" s="754"/>
      <c r="B138" s="823" t="s">
        <v>566</v>
      </c>
      <c r="C138" s="1178" t="s">
        <v>1357</v>
      </c>
      <c r="D138" s="1009"/>
      <c r="E138" s="1009"/>
      <c r="F138" s="1009"/>
      <c r="G138" s="1009"/>
      <c r="H138" s="1009"/>
      <c r="I138" s="1010"/>
      <c r="J138" s="814">
        <f>ROUND(((3/30)/12)*(J129),2)</f>
        <v>0</v>
      </c>
      <c r="K138" s="809"/>
    </row>
    <row r="139" spans="1:11" ht="19.5" customHeight="1">
      <c r="A139" s="754"/>
      <c r="B139" s="1204" t="s">
        <v>594</v>
      </c>
      <c r="C139" s="1009"/>
      <c r="D139" s="1009"/>
      <c r="E139" s="1009"/>
      <c r="F139" s="1009"/>
      <c r="G139" s="1009"/>
      <c r="H139" s="1009"/>
      <c r="I139" s="1010"/>
      <c r="J139" s="808">
        <f>SUM(J133:J138)</f>
        <v>1.1999999999999999E-3</v>
      </c>
      <c r="K139" s="809"/>
    </row>
    <row r="140" spans="1:11" ht="12.75" customHeight="1">
      <c r="A140" s="754"/>
      <c r="B140" s="1186"/>
      <c r="C140" s="1009"/>
      <c r="D140" s="1009"/>
      <c r="E140" s="1009"/>
      <c r="F140" s="1009"/>
      <c r="G140" s="1009"/>
      <c r="H140" s="1009"/>
      <c r="I140" s="1009"/>
      <c r="J140" s="1010"/>
      <c r="K140" s="844"/>
    </row>
    <row r="141" spans="1:11" ht="19.5" customHeight="1">
      <c r="A141" s="754"/>
      <c r="B141" s="1096" t="s">
        <v>658</v>
      </c>
      <c r="C141" s="1009"/>
      <c r="D141" s="1009"/>
      <c r="E141" s="1009"/>
      <c r="F141" s="1009"/>
      <c r="G141" s="1009"/>
      <c r="H141" s="1009"/>
      <c r="I141" s="1009"/>
      <c r="J141" s="1010"/>
      <c r="K141" s="646"/>
    </row>
    <row r="142" spans="1:11" ht="19.5" customHeight="1">
      <c r="A142" s="754"/>
      <c r="B142" s="705" t="s">
        <v>659</v>
      </c>
      <c r="C142" s="1097" t="s">
        <v>660</v>
      </c>
      <c r="D142" s="1009"/>
      <c r="E142" s="1009"/>
      <c r="F142" s="1009"/>
      <c r="G142" s="1009"/>
      <c r="H142" s="1009"/>
      <c r="I142" s="1010"/>
      <c r="J142" s="706" t="s">
        <v>591</v>
      </c>
      <c r="K142" s="707"/>
    </row>
    <row r="143" spans="1:11" ht="19.5" customHeight="1">
      <c r="A143" s="754"/>
      <c r="B143" s="851" t="s">
        <v>514</v>
      </c>
      <c r="C143" s="1202" t="s">
        <v>661</v>
      </c>
      <c r="D143" s="1009"/>
      <c r="E143" s="1009"/>
      <c r="F143" s="1009"/>
      <c r="G143" s="1009"/>
      <c r="H143" s="1009"/>
      <c r="I143" s="1010"/>
      <c r="J143" s="852">
        <v>0</v>
      </c>
      <c r="K143" s="853"/>
    </row>
    <row r="144" spans="1:11" ht="19.5" customHeight="1">
      <c r="A144" s="754"/>
      <c r="B144" s="1199" t="s">
        <v>594</v>
      </c>
      <c r="C144" s="1009"/>
      <c r="D144" s="1009"/>
      <c r="E144" s="1009"/>
      <c r="F144" s="1009"/>
      <c r="G144" s="1009"/>
      <c r="H144" s="1009"/>
      <c r="I144" s="1010"/>
      <c r="J144" s="854">
        <v>0</v>
      </c>
      <c r="K144" s="853"/>
    </row>
    <row r="145" spans="1:11" ht="12" customHeight="1">
      <c r="A145" s="754"/>
      <c r="B145" s="1200"/>
      <c r="C145" s="1009"/>
      <c r="D145" s="1009"/>
      <c r="E145" s="1009"/>
      <c r="F145" s="1009"/>
      <c r="G145" s="1009"/>
      <c r="H145" s="1009"/>
      <c r="I145" s="1009"/>
      <c r="J145" s="1010"/>
      <c r="K145" s="855"/>
    </row>
    <row r="146" spans="1:11" ht="19.5" customHeight="1">
      <c r="A146" s="754"/>
      <c r="B146" s="1201" t="s">
        <v>662</v>
      </c>
      <c r="C146" s="1009"/>
      <c r="D146" s="1009"/>
      <c r="E146" s="1009"/>
      <c r="F146" s="1009"/>
      <c r="G146" s="1009"/>
      <c r="H146" s="1009"/>
      <c r="I146" s="1009"/>
      <c r="J146" s="1010"/>
      <c r="K146" s="805"/>
    </row>
    <row r="147" spans="1:11" ht="19.5" customHeight="1">
      <c r="A147" s="754"/>
      <c r="B147" s="657">
        <v>4</v>
      </c>
      <c r="C147" s="1097" t="s">
        <v>663</v>
      </c>
      <c r="D147" s="1009"/>
      <c r="E147" s="1009"/>
      <c r="F147" s="1009"/>
      <c r="G147" s="1009"/>
      <c r="H147" s="1009"/>
      <c r="I147" s="1010"/>
      <c r="J147" s="706" t="s">
        <v>591</v>
      </c>
      <c r="K147" s="707"/>
    </row>
    <row r="148" spans="1:11" ht="15.75" customHeight="1">
      <c r="A148" s="754"/>
      <c r="B148" s="769" t="s">
        <v>650</v>
      </c>
      <c r="C148" s="1202" t="s">
        <v>651</v>
      </c>
      <c r="D148" s="1009"/>
      <c r="E148" s="1009"/>
      <c r="F148" s="1009"/>
      <c r="G148" s="1009"/>
      <c r="H148" s="1009"/>
      <c r="I148" s="1010"/>
      <c r="J148" s="852">
        <f>J139</f>
        <v>1.1999999999999999E-3</v>
      </c>
      <c r="K148" s="853"/>
    </row>
    <row r="149" spans="1:11" ht="16.5" customHeight="1">
      <c r="A149" s="754"/>
      <c r="B149" s="769" t="s">
        <v>664</v>
      </c>
      <c r="C149" s="1202" t="s">
        <v>660</v>
      </c>
      <c r="D149" s="1009"/>
      <c r="E149" s="1009"/>
      <c r="F149" s="1009"/>
      <c r="G149" s="1009"/>
      <c r="H149" s="1009"/>
      <c r="I149" s="1010"/>
      <c r="J149" s="852">
        <f>J144</f>
        <v>0</v>
      </c>
      <c r="K149" s="853"/>
    </row>
    <row r="150" spans="1:11" ht="24" customHeight="1">
      <c r="A150" s="754"/>
      <c r="B150" s="1261" t="s">
        <v>594</v>
      </c>
      <c r="C150" s="1009"/>
      <c r="D150" s="1009"/>
      <c r="E150" s="1009"/>
      <c r="F150" s="1009"/>
      <c r="G150" s="1009"/>
      <c r="H150" s="1009"/>
      <c r="I150" s="1010"/>
      <c r="J150" s="854">
        <f>SUM(J148+J149)</f>
        <v>1.1999999999999999E-3</v>
      </c>
      <c r="K150" s="853"/>
    </row>
    <row r="151" spans="1:11" ht="11.25" customHeight="1">
      <c r="A151" s="754"/>
      <c r="B151" s="1200"/>
      <c r="C151" s="1009"/>
      <c r="D151" s="1009"/>
      <c r="E151" s="1009"/>
      <c r="F151" s="1009"/>
      <c r="G151" s="1009"/>
      <c r="H151" s="1009"/>
      <c r="I151" s="1009"/>
      <c r="J151" s="1010"/>
      <c r="K151" s="855"/>
    </row>
    <row r="152" spans="1:11" ht="15.75" customHeight="1">
      <c r="A152" s="754"/>
      <c r="B152" s="1187" t="s">
        <v>665</v>
      </c>
      <c r="C152" s="1009"/>
      <c r="D152" s="1009"/>
      <c r="E152" s="1009"/>
      <c r="F152" s="1009"/>
      <c r="G152" s="1009"/>
      <c r="H152" s="1009"/>
      <c r="I152" s="1009"/>
      <c r="J152" s="1010"/>
      <c r="K152" s="845"/>
    </row>
    <row r="153" spans="1:11" ht="15.75" customHeight="1">
      <c r="A153" s="754"/>
      <c r="B153" s="669">
        <v>3</v>
      </c>
      <c r="C153" s="1083" t="s">
        <v>666</v>
      </c>
      <c r="D153" s="1009"/>
      <c r="E153" s="1009"/>
      <c r="F153" s="1009"/>
      <c r="G153" s="1009"/>
      <c r="H153" s="1009"/>
      <c r="I153" s="1010"/>
      <c r="J153" s="669" t="s">
        <v>591</v>
      </c>
      <c r="K153" s="601"/>
    </row>
    <row r="154" spans="1:11" ht="20.25" customHeight="1">
      <c r="A154" s="754"/>
      <c r="B154" s="823" t="s">
        <v>514</v>
      </c>
      <c r="C154" s="1178" t="s">
        <v>769</v>
      </c>
      <c r="D154" s="1009"/>
      <c r="E154" s="1009"/>
      <c r="F154" s="1009"/>
      <c r="G154" s="1009"/>
      <c r="H154" s="1009"/>
      <c r="I154" s="1010"/>
      <c r="J154" s="814">
        <v>0</v>
      </c>
      <c r="K154" s="809"/>
    </row>
    <row r="155" spans="1:11" ht="15.75" customHeight="1">
      <c r="A155" s="754"/>
      <c r="B155" s="823" t="s">
        <v>516</v>
      </c>
      <c r="C155" s="1178" t="s">
        <v>770</v>
      </c>
      <c r="D155" s="1009"/>
      <c r="E155" s="1009"/>
      <c r="F155" s="1009"/>
      <c r="G155" s="1009"/>
      <c r="H155" s="1009"/>
      <c r="I155" s="1010"/>
      <c r="J155" s="834">
        <v>0</v>
      </c>
      <c r="K155" s="835"/>
    </row>
    <row r="156" spans="1:11" ht="15.75" customHeight="1">
      <c r="A156" s="754"/>
      <c r="B156" s="823" t="s">
        <v>518</v>
      </c>
      <c r="C156" s="1178" t="s">
        <v>668</v>
      </c>
      <c r="D156" s="1009"/>
      <c r="E156" s="1009"/>
      <c r="F156" s="1009"/>
      <c r="G156" s="1009"/>
      <c r="H156" s="1009"/>
      <c r="I156" s="1010"/>
      <c r="J156" s="834" t="s">
        <v>669</v>
      </c>
      <c r="K156" s="835"/>
    </row>
    <row r="157" spans="1:11" ht="19.5" customHeight="1">
      <c r="A157" s="754"/>
      <c r="B157" s="1204" t="s">
        <v>670</v>
      </c>
      <c r="C157" s="1009"/>
      <c r="D157" s="1009"/>
      <c r="E157" s="1009"/>
      <c r="F157" s="1009"/>
      <c r="G157" s="1009"/>
      <c r="H157" s="1009"/>
      <c r="I157" s="1010"/>
      <c r="J157" s="857">
        <f>ROUND(SUM(J154:J156),2)</f>
        <v>0</v>
      </c>
      <c r="K157" s="835"/>
    </row>
    <row r="158" spans="1:11" ht="9" customHeight="1">
      <c r="A158" s="754"/>
      <c r="B158" s="1267"/>
      <c r="C158" s="1009"/>
      <c r="D158" s="1009"/>
      <c r="E158" s="1009"/>
      <c r="F158" s="1009"/>
      <c r="G158" s="1009"/>
      <c r="H158" s="1009"/>
      <c r="I158" s="1009"/>
      <c r="J158" s="1010"/>
      <c r="K158" s="858"/>
    </row>
    <row r="159" spans="1:11" ht="27.75" customHeight="1">
      <c r="A159" s="754"/>
      <c r="B159" s="1268" t="s">
        <v>671</v>
      </c>
      <c r="C159" s="1009"/>
      <c r="D159" s="1009"/>
      <c r="E159" s="1009"/>
      <c r="F159" s="1009"/>
      <c r="G159" s="1009"/>
      <c r="H159" s="1009"/>
      <c r="I159" s="1009"/>
      <c r="J159" s="1010"/>
      <c r="K159" s="859"/>
    </row>
    <row r="160" spans="1:11" ht="11.25" customHeight="1">
      <c r="A160" s="754"/>
      <c r="B160" s="860"/>
      <c r="C160" s="714"/>
      <c r="D160" s="714"/>
      <c r="E160" s="714"/>
      <c r="F160" s="714"/>
      <c r="G160" s="714"/>
      <c r="H160" s="714"/>
      <c r="I160" s="714"/>
      <c r="J160" s="715"/>
      <c r="K160" s="329"/>
    </row>
    <row r="161" spans="1:11" ht="24" customHeight="1">
      <c r="A161" s="754"/>
      <c r="B161" s="1252" t="s">
        <v>672</v>
      </c>
      <c r="C161" s="1009"/>
      <c r="D161" s="1009"/>
      <c r="E161" s="1009"/>
      <c r="F161" s="1009"/>
      <c r="G161" s="1009"/>
      <c r="H161" s="1009"/>
      <c r="I161" s="1009"/>
      <c r="J161" s="1010"/>
      <c r="K161" s="842"/>
    </row>
    <row r="162" spans="1:11" ht="24" customHeight="1">
      <c r="A162" s="754"/>
      <c r="B162" s="669">
        <v>6</v>
      </c>
      <c r="C162" s="1162" t="s">
        <v>673</v>
      </c>
      <c r="D162" s="1009"/>
      <c r="E162" s="1009"/>
      <c r="F162" s="1009"/>
      <c r="G162" s="1009"/>
      <c r="H162" s="1010"/>
      <c r="I162" s="861" t="s">
        <v>556</v>
      </c>
      <c r="J162" s="716" t="s">
        <v>599</v>
      </c>
      <c r="K162" s="717"/>
    </row>
    <row r="163" spans="1:11" ht="56.25" customHeight="1">
      <c r="A163" s="754"/>
      <c r="B163" s="1229" t="s">
        <v>674</v>
      </c>
      <c r="C163" s="1009"/>
      <c r="D163" s="1009"/>
      <c r="E163" s="1009"/>
      <c r="F163" s="1009"/>
      <c r="G163" s="1009"/>
      <c r="H163" s="1010"/>
      <c r="I163" s="355" t="s">
        <v>527</v>
      </c>
      <c r="J163" s="862">
        <f>SUM(J63+J115+J124+J150+J157)</f>
        <v>0.1812</v>
      </c>
      <c r="K163" s="863"/>
    </row>
    <row r="164" spans="1:11" ht="23.25" customHeight="1">
      <c r="A164" s="754"/>
      <c r="B164" s="823" t="s">
        <v>514</v>
      </c>
      <c r="C164" s="1109" t="s">
        <v>675</v>
      </c>
      <c r="D164" s="1009"/>
      <c r="E164" s="1009"/>
      <c r="F164" s="1009"/>
      <c r="G164" s="1009"/>
      <c r="H164" s="1010"/>
      <c r="I164" s="813">
        <f>'1-ABA-DE-CARREGAMENTO'!N85</f>
        <v>0.06</v>
      </c>
      <c r="J164" s="814">
        <f>ROUND(I164*J163,2)</f>
        <v>0.01</v>
      </c>
      <c r="K164" s="809"/>
    </row>
    <row r="165" spans="1:11" ht="50.25" customHeight="1">
      <c r="A165" s="754"/>
      <c r="B165" s="1229" t="s">
        <v>676</v>
      </c>
      <c r="C165" s="1009"/>
      <c r="D165" s="1009"/>
      <c r="E165" s="1009"/>
      <c r="F165" s="1009"/>
      <c r="G165" s="1009"/>
      <c r="H165" s="1010"/>
      <c r="I165" s="864" t="s">
        <v>527</v>
      </c>
      <c r="J165" s="862">
        <f>SUM(J63+J115+J124+J150+J157+J164)</f>
        <v>0.19120000000000001</v>
      </c>
      <c r="K165" s="863"/>
    </row>
    <row r="166" spans="1:11" ht="19.5" customHeight="1">
      <c r="A166" s="754"/>
      <c r="B166" s="823" t="s">
        <v>516</v>
      </c>
      <c r="C166" s="1109" t="s">
        <v>312</v>
      </c>
      <c r="D166" s="1009"/>
      <c r="E166" s="1009"/>
      <c r="F166" s="1009"/>
      <c r="G166" s="1009"/>
      <c r="H166" s="1010"/>
      <c r="I166" s="813">
        <f>'1-ABA-DE-CARREGAMENTO'!N86</f>
        <v>0.06</v>
      </c>
      <c r="J166" s="814">
        <f>ROUND(I166*J165,2)</f>
        <v>0.01</v>
      </c>
      <c r="K166" s="809"/>
    </row>
    <row r="167" spans="1:11" ht="51.75" customHeight="1">
      <c r="A167" s="754"/>
      <c r="B167" s="1229" t="s">
        <v>677</v>
      </c>
      <c r="C167" s="1009"/>
      <c r="D167" s="1009"/>
      <c r="E167" s="1009"/>
      <c r="F167" s="1009"/>
      <c r="G167" s="1009"/>
      <c r="H167" s="1010"/>
      <c r="I167" s="864" t="s">
        <v>527</v>
      </c>
      <c r="J167" s="862">
        <f>SUM(J163+J164+J166)</f>
        <v>0.20120000000000002</v>
      </c>
      <c r="K167" s="863"/>
    </row>
    <row r="168" spans="1:11" ht="18.75" customHeight="1">
      <c r="A168" s="754"/>
      <c r="B168" s="865" t="s">
        <v>518</v>
      </c>
      <c r="C168" s="1252" t="s">
        <v>678</v>
      </c>
      <c r="D168" s="1009"/>
      <c r="E168" s="1009"/>
      <c r="F168" s="1009"/>
      <c r="G168" s="1009"/>
      <c r="H168" s="1010"/>
      <c r="I168" s="792" t="s">
        <v>527</v>
      </c>
      <c r="J168" s="798" t="s">
        <v>527</v>
      </c>
      <c r="K168" s="799"/>
    </row>
    <row r="169" spans="1:11" ht="18" customHeight="1">
      <c r="A169" s="754"/>
      <c r="B169" s="823"/>
      <c r="C169" s="1212" t="s">
        <v>679</v>
      </c>
      <c r="D169" s="1009"/>
      <c r="E169" s="1009"/>
      <c r="F169" s="1009"/>
      <c r="G169" s="1009"/>
      <c r="H169" s="1010"/>
      <c r="I169" s="792" t="s">
        <v>527</v>
      </c>
      <c r="J169" s="798" t="s">
        <v>527</v>
      </c>
      <c r="K169" s="799"/>
    </row>
    <row r="170" spans="1:11" ht="21" customHeight="1">
      <c r="A170" s="754"/>
      <c r="B170" s="823"/>
      <c r="C170" s="1099" t="s">
        <v>1358</v>
      </c>
      <c r="D170" s="1009"/>
      <c r="E170" s="1009"/>
      <c r="F170" s="1009"/>
      <c r="G170" s="1009"/>
      <c r="H170" s="1010"/>
      <c r="I170" s="866">
        <f>'1-ABA-DE-CARREGAMENTO'!E28</f>
        <v>1.6500000000000001E-2</v>
      </c>
      <c r="J170" s="867">
        <f t="shared" ref="J170:J171" si="1">ROUND(($J$167/(1-$I$179))*I170,2)</f>
        <v>0</v>
      </c>
      <c r="K170" s="868"/>
    </row>
    <row r="171" spans="1:11" ht="21" customHeight="1">
      <c r="A171" s="754"/>
      <c r="B171" s="823"/>
      <c r="C171" s="1099" t="s">
        <v>1359</v>
      </c>
      <c r="D171" s="1009"/>
      <c r="E171" s="1009"/>
      <c r="F171" s="1009"/>
      <c r="G171" s="1009"/>
      <c r="H171" s="1010"/>
      <c r="I171" s="866">
        <f>'1-ABA-DE-CARREGAMENTO'!F28</f>
        <v>7.5999999999999998E-2</v>
      </c>
      <c r="J171" s="867">
        <f t="shared" si="1"/>
        <v>0.02</v>
      </c>
      <c r="K171" s="868"/>
    </row>
    <row r="172" spans="1:11" ht="24" customHeight="1">
      <c r="A172" s="754"/>
      <c r="B172" s="823"/>
      <c r="C172" s="1178" t="s">
        <v>1360</v>
      </c>
      <c r="D172" s="1009"/>
      <c r="E172" s="1009"/>
      <c r="F172" s="1009"/>
      <c r="G172" s="1009"/>
      <c r="H172" s="1010"/>
      <c r="I172" s="869" t="s">
        <v>527</v>
      </c>
      <c r="J172" s="798" t="s">
        <v>527</v>
      </c>
      <c r="K172" s="799"/>
    </row>
    <row r="173" spans="1:11" ht="24" customHeight="1">
      <c r="A173" s="754"/>
      <c r="B173" s="823"/>
      <c r="C173" s="1178" t="s">
        <v>1361</v>
      </c>
      <c r="D173" s="1009"/>
      <c r="E173" s="1009"/>
      <c r="F173" s="1009"/>
      <c r="G173" s="1009"/>
      <c r="H173" s="1010"/>
      <c r="I173" s="869" t="s">
        <v>527</v>
      </c>
      <c r="J173" s="798" t="s">
        <v>527</v>
      </c>
      <c r="K173" s="799"/>
    </row>
    <row r="174" spans="1:11" ht="15.75" customHeight="1">
      <c r="A174" s="754"/>
      <c r="B174" s="823"/>
      <c r="C174" s="1178" t="s">
        <v>684</v>
      </c>
      <c r="D174" s="1009"/>
      <c r="E174" s="1009"/>
      <c r="F174" s="1009"/>
      <c r="G174" s="1009"/>
      <c r="H174" s="1009"/>
      <c r="I174" s="870" t="s">
        <v>527</v>
      </c>
      <c r="J174" s="871" t="s">
        <v>527</v>
      </c>
      <c r="K174" s="872"/>
    </row>
    <row r="175" spans="1:11" ht="15.75" customHeight="1">
      <c r="A175" s="754"/>
      <c r="B175" s="823"/>
      <c r="C175" s="1178" t="s">
        <v>685</v>
      </c>
      <c r="D175" s="1009"/>
      <c r="E175" s="1009"/>
      <c r="F175" s="1009"/>
      <c r="G175" s="1009"/>
      <c r="H175" s="1009"/>
      <c r="I175" s="870" t="s">
        <v>527</v>
      </c>
      <c r="J175" s="871" t="s">
        <v>527</v>
      </c>
      <c r="K175" s="872"/>
    </row>
    <row r="176" spans="1:11" ht="15.75" customHeight="1">
      <c r="A176" s="754"/>
      <c r="B176" s="823"/>
      <c r="C176" s="1178" t="s">
        <v>1362</v>
      </c>
      <c r="D176" s="1009"/>
      <c r="E176" s="1009"/>
      <c r="F176" s="1009"/>
      <c r="G176" s="1009"/>
      <c r="H176" s="1010"/>
      <c r="I176" s="873">
        <f>'1-ABA-DE-CARREGAMENTO'!D87</f>
        <v>0.04</v>
      </c>
      <c r="J176" s="867">
        <f>ROUND(($J$167/(1-$I$179))*I176,2)</f>
        <v>0.01</v>
      </c>
      <c r="K176" s="868"/>
    </row>
    <row r="177" spans="1:11" ht="15.75" customHeight="1">
      <c r="A177" s="754"/>
      <c r="B177" s="1204" t="s">
        <v>641</v>
      </c>
      <c r="C177" s="1009"/>
      <c r="D177" s="1009"/>
      <c r="E177" s="1009"/>
      <c r="F177" s="1009"/>
      <c r="G177" s="1009"/>
      <c r="H177" s="1009"/>
      <c r="I177" s="1010"/>
      <c r="J177" s="808">
        <f>SUM(J164+J166+J170+J171+J176)</f>
        <v>0.05</v>
      </c>
      <c r="K177" s="809"/>
    </row>
    <row r="178" spans="1:11" ht="9" customHeight="1">
      <c r="A178" s="754"/>
      <c r="B178" s="1186"/>
      <c r="C178" s="1009"/>
      <c r="D178" s="1009"/>
      <c r="E178" s="1009"/>
      <c r="F178" s="1009"/>
      <c r="G178" s="1009"/>
      <c r="H178" s="1009"/>
      <c r="I178" s="1009"/>
      <c r="J178" s="1010"/>
      <c r="K178" s="844"/>
    </row>
    <row r="179" spans="1:11" ht="15.75" customHeight="1">
      <c r="A179" s="754"/>
      <c r="B179" s="1205" t="s">
        <v>687</v>
      </c>
      <c r="C179" s="1009"/>
      <c r="D179" s="1009"/>
      <c r="E179" s="1009"/>
      <c r="F179" s="1009"/>
      <c r="G179" s="1009"/>
      <c r="H179" s="1010"/>
      <c r="I179" s="874">
        <f t="shared" ref="I179:J179" si="2">SUM(I170:I176)</f>
        <v>0.13250000000000001</v>
      </c>
      <c r="J179" s="862">
        <f t="shared" si="2"/>
        <v>0.03</v>
      </c>
      <c r="K179" s="863"/>
    </row>
    <row r="180" spans="1:11" ht="15.75" customHeight="1">
      <c r="A180" s="754"/>
      <c r="B180" s="1206" t="s">
        <v>688</v>
      </c>
      <c r="C180" s="1023"/>
      <c r="D180" s="1207" t="s">
        <v>689</v>
      </c>
      <c r="E180" s="1023"/>
      <c r="F180" s="1023"/>
      <c r="G180" s="1023"/>
      <c r="H180" s="1023"/>
      <c r="I180" s="1023"/>
      <c r="J180" s="1040"/>
      <c r="K180" s="875"/>
    </row>
    <row r="181" spans="1:11" ht="15.75" customHeight="1">
      <c r="A181" s="754"/>
      <c r="B181" s="1102"/>
      <c r="C181" s="1023"/>
      <c r="D181" s="1208" t="s">
        <v>690</v>
      </c>
      <c r="E181" s="1023"/>
      <c r="F181" s="1023"/>
      <c r="G181" s="1023"/>
      <c r="H181" s="1023"/>
      <c r="I181" s="1023"/>
      <c r="J181" s="1040"/>
      <c r="K181" s="876"/>
    </row>
    <row r="182" spans="1:11" ht="15.75" customHeight="1">
      <c r="A182" s="754"/>
      <c r="B182" s="1103"/>
      <c r="C182" s="1060"/>
      <c r="D182" s="1209" t="s">
        <v>691</v>
      </c>
      <c r="E182" s="1060"/>
      <c r="F182" s="1060"/>
      <c r="G182" s="1060"/>
      <c r="H182" s="1060"/>
      <c r="I182" s="1060"/>
      <c r="J182" s="1062"/>
      <c r="K182" s="875"/>
    </row>
    <row r="183" spans="1:11" ht="9" customHeight="1">
      <c r="A183" s="754"/>
      <c r="B183" s="1210"/>
      <c r="C183" s="1009"/>
      <c r="D183" s="1009"/>
      <c r="E183" s="1009"/>
      <c r="F183" s="1009"/>
      <c r="G183" s="1009"/>
      <c r="H183" s="1009"/>
      <c r="I183" s="1009"/>
      <c r="J183" s="1010"/>
      <c r="K183" s="877"/>
    </row>
    <row r="184" spans="1:11" ht="30" customHeight="1">
      <c r="A184" s="754"/>
      <c r="B184" s="1211" t="s">
        <v>692</v>
      </c>
      <c r="C184" s="1009"/>
      <c r="D184" s="1009"/>
      <c r="E184" s="1009"/>
      <c r="F184" s="1009"/>
      <c r="G184" s="1009"/>
      <c r="H184" s="1009"/>
      <c r="I184" s="1009"/>
      <c r="J184" s="1010"/>
      <c r="K184" s="766"/>
    </row>
    <row r="185" spans="1:11" ht="9.75" customHeight="1">
      <c r="A185" s="754"/>
      <c r="B185" s="1186"/>
      <c r="C185" s="1009"/>
      <c r="D185" s="1009"/>
      <c r="E185" s="1009"/>
      <c r="F185" s="1009"/>
      <c r="G185" s="1009"/>
      <c r="H185" s="1009"/>
      <c r="I185" s="1009"/>
      <c r="J185" s="1010"/>
      <c r="K185" s="844"/>
    </row>
    <row r="186" spans="1:11" ht="15.75" customHeight="1">
      <c r="A186" s="754"/>
      <c r="B186" s="1187" t="s">
        <v>1363</v>
      </c>
      <c r="C186" s="1009"/>
      <c r="D186" s="1009"/>
      <c r="E186" s="1009"/>
      <c r="F186" s="1009"/>
      <c r="G186" s="1009"/>
      <c r="H186" s="1009"/>
      <c r="I186" s="1009"/>
      <c r="J186" s="1010"/>
      <c r="K186" s="845"/>
    </row>
    <row r="187" spans="1:11" ht="15.75" customHeight="1">
      <c r="A187" s="754"/>
      <c r="B187" s="1086" t="s">
        <v>694</v>
      </c>
      <c r="C187" s="1009"/>
      <c r="D187" s="1009"/>
      <c r="E187" s="1009"/>
      <c r="F187" s="1009"/>
      <c r="G187" s="1009"/>
      <c r="H187" s="1009"/>
      <c r="I187" s="1010"/>
      <c r="J187" s="861" t="s">
        <v>591</v>
      </c>
      <c r="K187" s="763"/>
    </row>
    <row r="188" spans="1:11" ht="15.75" customHeight="1">
      <c r="A188" s="754"/>
      <c r="B188" s="878" t="s">
        <v>514</v>
      </c>
      <c r="C188" s="1181" t="s">
        <v>695</v>
      </c>
      <c r="D188" s="1009"/>
      <c r="E188" s="1009"/>
      <c r="F188" s="1009"/>
      <c r="G188" s="1009"/>
      <c r="H188" s="1009"/>
      <c r="I188" s="1009"/>
      <c r="J188" s="834">
        <f>J63</f>
        <v>0</v>
      </c>
      <c r="K188" s="835"/>
    </row>
    <row r="189" spans="1:11" ht="15.75" customHeight="1">
      <c r="A189" s="754"/>
      <c r="B189" s="878" t="s">
        <v>516</v>
      </c>
      <c r="C189" s="1181" t="s">
        <v>696</v>
      </c>
      <c r="D189" s="1009"/>
      <c r="E189" s="1009"/>
      <c r="F189" s="1009"/>
      <c r="G189" s="1009"/>
      <c r="H189" s="1009"/>
      <c r="I189" s="1009"/>
      <c r="J189" s="834">
        <f>J115</f>
        <v>0.18</v>
      </c>
      <c r="K189" s="835"/>
    </row>
    <row r="190" spans="1:11" ht="15.75" customHeight="1">
      <c r="A190" s="754"/>
      <c r="B190" s="878" t="s">
        <v>518</v>
      </c>
      <c r="C190" s="1181" t="s">
        <v>697</v>
      </c>
      <c r="D190" s="1009"/>
      <c r="E190" s="1009"/>
      <c r="F190" s="1009"/>
      <c r="G190" s="1009"/>
      <c r="H190" s="1009"/>
      <c r="I190" s="1009"/>
      <c r="J190" s="834">
        <f>J124</f>
        <v>0</v>
      </c>
      <c r="K190" s="835"/>
    </row>
    <row r="191" spans="1:11" ht="15.75" customHeight="1">
      <c r="A191" s="754"/>
      <c r="B191" s="878" t="s">
        <v>520</v>
      </c>
      <c r="C191" s="1181" t="s">
        <v>698</v>
      </c>
      <c r="D191" s="1009"/>
      <c r="E191" s="1009"/>
      <c r="F191" s="1009"/>
      <c r="G191" s="1009"/>
      <c r="H191" s="1009"/>
      <c r="I191" s="1009"/>
      <c r="J191" s="834">
        <f>J150</f>
        <v>1.1999999999999999E-3</v>
      </c>
      <c r="K191" s="835"/>
    </row>
    <row r="192" spans="1:11" ht="15.75" customHeight="1">
      <c r="A192" s="754"/>
      <c r="B192" s="878" t="s">
        <v>562</v>
      </c>
      <c r="C192" s="1181" t="s">
        <v>699</v>
      </c>
      <c r="D192" s="1009"/>
      <c r="E192" s="1009"/>
      <c r="F192" s="1009"/>
      <c r="G192" s="1009"/>
      <c r="H192" s="1009"/>
      <c r="I192" s="1009"/>
      <c r="J192" s="834">
        <f>J157</f>
        <v>0</v>
      </c>
      <c r="K192" s="835"/>
    </row>
    <row r="193" spans="1:11" ht="15.75" customHeight="1">
      <c r="A193" s="754"/>
      <c r="B193" s="1182" t="s">
        <v>700</v>
      </c>
      <c r="C193" s="1009"/>
      <c r="D193" s="1009"/>
      <c r="E193" s="1009"/>
      <c r="F193" s="1009"/>
      <c r="G193" s="1009"/>
      <c r="H193" s="1009"/>
      <c r="I193" s="1030"/>
      <c r="J193" s="857">
        <f>ROUND(SUM(J188:J192),2)</f>
        <v>0.18</v>
      </c>
      <c r="K193" s="835"/>
    </row>
    <row r="194" spans="1:11" ht="15.75" customHeight="1">
      <c r="A194" s="754"/>
      <c r="B194" s="879" t="s">
        <v>566</v>
      </c>
      <c r="C194" s="1181" t="s">
        <v>672</v>
      </c>
      <c r="D194" s="1009"/>
      <c r="E194" s="1009"/>
      <c r="F194" s="1009"/>
      <c r="G194" s="1009"/>
      <c r="H194" s="1009"/>
      <c r="I194" s="1009"/>
      <c r="J194" s="834">
        <f>J177</f>
        <v>0.05</v>
      </c>
      <c r="K194" s="835"/>
    </row>
    <row r="195" spans="1:11" ht="15.75" customHeight="1">
      <c r="A195" s="754"/>
      <c r="B195" s="1182" t="s">
        <v>777</v>
      </c>
      <c r="C195" s="1009"/>
      <c r="D195" s="1009"/>
      <c r="E195" s="1009"/>
      <c r="F195" s="1009"/>
      <c r="G195" s="1009"/>
      <c r="H195" s="1009"/>
      <c r="I195" s="1030"/>
      <c r="J195" s="857">
        <f>J193+J194</f>
        <v>0.22999999999999998</v>
      </c>
      <c r="K195" s="835"/>
    </row>
    <row r="196" spans="1:11" ht="43.5" customHeight="1">
      <c r="A196" s="754"/>
      <c r="B196" s="1183" t="s">
        <v>702</v>
      </c>
      <c r="C196" s="1009"/>
      <c r="D196" s="1009"/>
      <c r="E196" s="1009"/>
      <c r="F196" s="1009"/>
      <c r="G196" s="1009"/>
      <c r="H196" s="1009"/>
      <c r="I196" s="1009"/>
      <c r="J196" s="1010"/>
      <c r="K196" s="880"/>
    </row>
    <row r="197" spans="1:11" ht="15.75" customHeight="1">
      <c r="A197" s="754"/>
      <c r="B197" s="1184"/>
      <c r="C197" s="1009"/>
      <c r="D197" s="1009"/>
      <c r="E197" s="1009"/>
      <c r="F197" s="1009"/>
      <c r="G197" s="1009"/>
      <c r="H197" s="1009"/>
      <c r="I197" s="1009"/>
      <c r="J197" s="1010"/>
      <c r="K197" s="881"/>
    </row>
    <row r="198" spans="1:11" ht="15.75" customHeight="1">
      <c r="A198" s="754"/>
      <c r="B198" s="882"/>
      <c r="C198" s="760"/>
      <c r="D198" s="760"/>
      <c r="E198" s="760"/>
      <c r="F198" s="760"/>
      <c r="G198" s="760"/>
      <c r="H198" s="760"/>
      <c r="I198" s="883"/>
      <c r="J198" s="884"/>
      <c r="K198" s="883"/>
    </row>
    <row r="199" spans="1:11" ht="15.75" customHeight="1">
      <c r="A199" s="754"/>
      <c r="B199" s="1082" t="s">
        <v>1135</v>
      </c>
      <c r="C199" s="1023"/>
      <c r="D199" s="1023"/>
      <c r="E199" s="1023"/>
      <c r="F199" s="1023"/>
      <c r="G199" s="1023"/>
      <c r="H199" s="1023"/>
      <c r="I199" s="1023"/>
      <c r="J199" s="1040"/>
      <c r="K199" s="594"/>
    </row>
    <row r="200" spans="1:11" ht="40.5" customHeight="1">
      <c r="A200" s="754"/>
      <c r="B200" s="1185" t="s">
        <v>704</v>
      </c>
      <c r="C200" s="1009"/>
      <c r="D200" s="1009"/>
      <c r="E200" s="1010"/>
      <c r="F200" s="1185" t="s">
        <v>778</v>
      </c>
      <c r="G200" s="1010"/>
      <c r="H200" s="861" t="s">
        <v>707</v>
      </c>
      <c r="I200" s="1185" t="s">
        <v>708</v>
      </c>
      <c r="J200" s="1010"/>
      <c r="K200" s="763"/>
    </row>
    <row r="201" spans="1:11" ht="32.25" hidden="1" customHeight="1" outlineLevel="1">
      <c r="A201" s="754"/>
      <c r="B201" s="1178" t="s">
        <v>709</v>
      </c>
      <c r="C201" s="1009"/>
      <c r="D201" s="1009"/>
      <c r="E201" s="1010"/>
      <c r="F201" s="1176">
        <v>0</v>
      </c>
      <c r="G201" s="1010"/>
      <c r="H201" s="885">
        <f t="shared" ref="H201:H202" si="3">E201*F201</f>
        <v>0</v>
      </c>
      <c r="I201" s="1176">
        <f t="shared" ref="I201:I203" si="4">F201*H201</f>
        <v>0</v>
      </c>
      <c r="J201" s="1010"/>
      <c r="K201" s="886"/>
    </row>
    <row r="202" spans="1:11" ht="32.25" hidden="1" customHeight="1" outlineLevel="1">
      <c r="A202" s="754"/>
      <c r="B202" s="1178" t="s">
        <v>710</v>
      </c>
      <c r="C202" s="1009"/>
      <c r="D202" s="1009"/>
      <c r="E202" s="1010"/>
      <c r="F202" s="1176">
        <v>0</v>
      </c>
      <c r="G202" s="1010"/>
      <c r="H202" s="885">
        <f t="shared" si="3"/>
        <v>0</v>
      </c>
      <c r="I202" s="1176">
        <f t="shared" si="4"/>
        <v>0</v>
      </c>
      <c r="J202" s="1010"/>
      <c r="K202" s="886"/>
    </row>
    <row r="203" spans="1:11" ht="32.25" customHeight="1" collapsed="1">
      <c r="A203" s="754"/>
      <c r="B203" s="1179" t="str">
        <f>B3</f>
        <v>A NÃO TEM MAIS POSTOS-99</v>
      </c>
      <c r="C203" s="1009"/>
      <c r="D203" s="1009"/>
      <c r="E203" s="1010"/>
      <c r="F203" s="1180">
        <f>J195</f>
        <v>0.22999999999999998</v>
      </c>
      <c r="G203" s="1010"/>
      <c r="H203" s="885">
        <f>I17</f>
        <v>0</v>
      </c>
      <c r="I203" s="1176">
        <f t="shared" si="4"/>
        <v>0</v>
      </c>
      <c r="J203" s="1010"/>
      <c r="K203" s="886"/>
    </row>
    <row r="204" spans="1:11" ht="32.25" hidden="1" customHeight="1" outlineLevel="1">
      <c r="A204" s="754"/>
      <c r="B204" s="1178" t="s">
        <v>711</v>
      </c>
      <c r="C204" s="1009"/>
      <c r="D204" s="1009"/>
      <c r="E204" s="1010"/>
      <c r="F204" s="1180">
        <v>0</v>
      </c>
      <c r="G204" s="1010"/>
      <c r="H204" s="885">
        <f t="shared" ref="H204:I204" si="5">E204*G204</f>
        <v>0</v>
      </c>
      <c r="I204" s="1176">
        <f t="shared" si="5"/>
        <v>0</v>
      </c>
      <c r="J204" s="1010"/>
      <c r="K204" s="886"/>
    </row>
    <row r="205" spans="1:11" ht="32.25" hidden="1" customHeight="1" outlineLevel="1">
      <c r="A205" s="754"/>
      <c r="B205" s="1178" t="s">
        <v>712</v>
      </c>
      <c r="C205" s="1009"/>
      <c r="D205" s="1009"/>
      <c r="E205" s="1010"/>
      <c r="F205" s="1180">
        <v>0</v>
      </c>
      <c r="G205" s="1010"/>
      <c r="H205" s="885">
        <f t="shared" ref="H205:I205" si="6">E205*G205</f>
        <v>0</v>
      </c>
      <c r="I205" s="1176">
        <f t="shared" si="6"/>
        <v>0</v>
      </c>
      <c r="J205" s="1010"/>
      <c r="K205" s="886"/>
    </row>
    <row r="206" spans="1:11" ht="15.75" hidden="1" customHeight="1" outlineLevel="1">
      <c r="A206" s="754"/>
      <c r="B206" s="1203" t="s">
        <v>1364</v>
      </c>
      <c r="C206" s="1009"/>
      <c r="D206" s="1009"/>
      <c r="E206" s="1010"/>
      <c r="F206" s="1176">
        <v>0</v>
      </c>
      <c r="G206" s="1010"/>
      <c r="H206" s="885">
        <f t="shared" ref="H206:I206" si="7">E206*G206</f>
        <v>0</v>
      </c>
      <c r="I206" s="1176">
        <f t="shared" si="7"/>
        <v>0</v>
      </c>
      <c r="J206" s="1010"/>
      <c r="K206" s="886"/>
    </row>
    <row r="207" spans="1:11" ht="15.75" customHeight="1" collapsed="1">
      <c r="A207" s="754"/>
      <c r="B207" s="1188" t="s">
        <v>714</v>
      </c>
      <c r="C207" s="1009"/>
      <c r="D207" s="1009"/>
      <c r="E207" s="1009"/>
      <c r="F207" s="1009"/>
      <c r="G207" s="1010"/>
      <c r="H207" s="887">
        <f>SUM(H201:H206)</f>
        <v>0</v>
      </c>
      <c r="I207" s="1177">
        <f>SUM(I201:J206)</f>
        <v>0</v>
      </c>
      <c r="J207" s="1010"/>
      <c r="K207" s="888"/>
    </row>
    <row r="208" spans="1:11" ht="9" customHeight="1">
      <c r="A208" s="754"/>
      <c r="B208" s="1189"/>
      <c r="C208" s="1092"/>
      <c r="D208" s="1092"/>
      <c r="E208" s="1092"/>
      <c r="F208" s="1092"/>
      <c r="G208" s="1092"/>
      <c r="H208" s="1092"/>
      <c r="I208" s="1092"/>
      <c r="J208" s="1093"/>
      <c r="K208" s="844"/>
    </row>
    <row r="209" spans="1:11" ht="15.75" customHeight="1">
      <c r="A209" s="754"/>
      <c r="B209" s="1190" t="s">
        <v>715</v>
      </c>
      <c r="C209" s="1060"/>
      <c r="D209" s="1060"/>
      <c r="E209" s="1060"/>
      <c r="F209" s="1060"/>
      <c r="G209" s="1060"/>
      <c r="H209" s="1060"/>
      <c r="I209" s="1060"/>
      <c r="J209" s="1062"/>
      <c r="K209" s="766"/>
    </row>
    <row r="210" spans="1:11" ht="9" customHeight="1">
      <c r="A210" s="754"/>
      <c r="B210" s="1194"/>
      <c r="C210" s="1009"/>
      <c r="D210" s="1009"/>
      <c r="E210" s="1009"/>
      <c r="F210" s="1009"/>
      <c r="G210" s="1009"/>
      <c r="H210" s="1009"/>
      <c r="I210" s="1009"/>
      <c r="J210" s="1010"/>
      <c r="K210" s="889"/>
    </row>
    <row r="211" spans="1:11" ht="15.75" customHeight="1">
      <c r="A211" s="754"/>
      <c r="B211" s="1191" t="s">
        <v>716</v>
      </c>
      <c r="C211" s="1009"/>
      <c r="D211" s="1009"/>
      <c r="E211" s="1009"/>
      <c r="F211" s="1009"/>
      <c r="G211" s="1010"/>
      <c r="H211" s="1195">
        <f>$I$207</f>
        <v>0</v>
      </c>
      <c r="I211" s="1009"/>
      <c r="J211" s="1010"/>
      <c r="K211" s="890"/>
    </row>
    <row r="212" spans="1:11" ht="9" customHeight="1">
      <c r="A212" s="754"/>
      <c r="B212" s="1196"/>
      <c r="C212" s="1015"/>
      <c r="D212" s="1015"/>
      <c r="E212" s="1015"/>
      <c r="F212" s="1015"/>
      <c r="G212" s="1015"/>
      <c r="H212" s="1015"/>
      <c r="I212" s="1015"/>
      <c r="J212" s="1075"/>
      <c r="K212" s="891"/>
    </row>
    <row r="213" spans="1:11" ht="15.75" customHeight="1">
      <c r="A213" s="754"/>
      <c r="B213" s="1191" t="s">
        <v>717</v>
      </c>
      <c r="C213" s="1009"/>
      <c r="D213" s="1009"/>
      <c r="E213" s="1009"/>
      <c r="F213" s="1009"/>
      <c r="G213" s="1010"/>
      <c r="H213" s="1197">
        <f>$I$11</f>
        <v>30</v>
      </c>
      <c r="I213" s="1009"/>
      <c r="J213" s="1010"/>
      <c r="K213" s="892"/>
    </row>
    <row r="214" spans="1:11" ht="9" customHeight="1">
      <c r="A214" s="754"/>
      <c r="B214" s="1198"/>
      <c r="C214" s="1009"/>
      <c r="D214" s="1009"/>
      <c r="E214" s="1009"/>
      <c r="F214" s="1009"/>
      <c r="G214" s="1009"/>
      <c r="H214" s="1009"/>
      <c r="I214" s="1009"/>
      <c r="J214" s="1010"/>
      <c r="K214" s="893"/>
    </row>
    <row r="215" spans="1:11" ht="15.75" customHeight="1">
      <c r="A215" s="754"/>
      <c r="B215" s="1191" t="s">
        <v>1365</v>
      </c>
      <c r="C215" s="1009"/>
      <c r="D215" s="1009"/>
      <c r="E215" s="1009"/>
      <c r="F215" s="1009"/>
      <c r="G215" s="1010"/>
      <c r="H215" s="1192">
        <f>ROUND(H211*H213,2)</f>
        <v>0</v>
      </c>
      <c r="I215" s="1009"/>
      <c r="J215" s="1010"/>
      <c r="K215" s="894"/>
    </row>
    <row r="216" spans="1:11" ht="9" customHeight="1">
      <c r="A216" s="754"/>
      <c r="B216" s="1193"/>
      <c r="C216" s="1009"/>
      <c r="D216" s="1009"/>
      <c r="E216" s="1009"/>
      <c r="F216" s="1009"/>
      <c r="G216" s="1009"/>
      <c r="H216" s="1009"/>
      <c r="I216" s="1009"/>
      <c r="J216" s="1010"/>
      <c r="K216" s="760"/>
    </row>
    <row r="217" spans="1:11" ht="15.75" customHeight="1">
      <c r="A217" s="754"/>
      <c r="B217" s="754"/>
      <c r="C217" s="754"/>
      <c r="D217" s="754"/>
      <c r="E217" s="754"/>
      <c r="F217" s="754"/>
      <c r="G217" s="754"/>
      <c r="H217" s="754"/>
      <c r="I217" s="754"/>
      <c r="J217" s="754"/>
      <c r="K217" s="754"/>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47:I147"/>
    <mergeCell ref="C148:I148"/>
    <mergeCell ref="C149:I149"/>
    <mergeCell ref="B150:I150"/>
    <mergeCell ref="B151:J151"/>
    <mergeCell ref="B152:J152"/>
    <mergeCell ref="C153:I153"/>
    <mergeCell ref="C154:I154"/>
    <mergeCell ref="C155:I155"/>
    <mergeCell ref="C156:I156"/>
    <mergeCell ref="B157:I157"/>
    <mergeCell ref="B158:J158"/>
    <mergeCell ref="B159:J159"/>
    <mergeCell ref="B161:J161"/>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C104:I104"/>
    <mergeCell ref="C105:I105"/>
    <mergeCell ref="C106:I106"/>
    <mergeCell ref="B107:J107"/>
    <mergeCell ref="B108:J108"/>
    <mergeCell ref="B109:J109"/>
    <mergeCell ref="B110:J110"/>
    <mergeCell ref="C111:I111"/>
    <mergeCell ref="C112:I112"/>
    <mergeCell ref="C113:I113"/>
    <mergeCell ref="C114:I114"/>
    <mergeCell ref="B115:I115"/>
    <mergeCell ref="B116:J116"/>
    <mergeCell ref="B117:J117"/>
    <mergeCell ref="C118:I118"/>
    <mergeCell ref="C119:I119"/>
    <mergeCell ref="C120:I120"/>
    <mergeCell ref="C121:I121"/>
    <mergeCell ref="C122:I122"/>
    <mergeCell ref="C123:H123"/>
    <mergeCell ref="B124:I124"/>
    <mergeCell ref="B125:J125"/>
    <mergeCell ref="B126:J126"/>
    <mergeCell ref="B127:J12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36:H36"/>
    <mergeCell ref="I36:J36"/>
    <mergeCell ref="C37:H37"/>
    <mergeCell ref="I37:J37"/>
    <mergeCell ref="C38:H38"/>
    <mergeCell ref="I38:J38"/>
    <mergeCell ref="I39:J39"/>
    <mergeCell ref="C39:H39"/>
    <mergeCell ref="C40:H40"/>
    <mergeCell ref="I40:J40"/>
    <mergeCell ref="C57:I57"/>
    <mergeCell ref="B58:I58"/>
    <mergeCell ref="C59:I59"/>
    <mergeCell ref="C60:I60"/>
    <mergeCell ref="B61:I61"/>
    <mergeCell ref="B62:J62"/>
    <mergeCell ref="B63:I63"/>
    <mergeCell ref="B64:J64"/>
    <mergeCell ref="B65:J65"/>
    <mergeCell ref="B66:J66"/>
    <mergeCell ref="B67:J67"/>
    <mergeCell ref="C97:I97"/>
    <mergeCell ref="C98:H98"/>
    <mergeCell ref="C99:H99"/>
    <mergeCell ref="C100:H100"/>
    <mergeCell ref="C101:I101"/>
    <mergeCell ref="C102:I102"/>
    <mergeCell ref="C103:I103"/>
    <mergeCell ref="B89:J89"/>
    <mergeCell ref="B90:J90"/>
    <mergeCell ref="C91:I91"/>
    <mergeCell ref="C92:H92"/>
    <mergeCell ref="C93:H93"/>
    <mergeCell ref="C94:H94"/>
    <mergeCell ref="C95:H95"/>
    <mergeCell ref="C96:H96"/>
    <mergeCell ref="C82:H82"/>
    <mergeCell ref="C83:H83"/>
    <mergeCell ref="C84:H84"/>
    <mergeCell ref="C85:H85"/>
    <mergeCell ref="B86:H86"/>
    <mergeCell ref="B88:J88"/>
  </mergeCells>
  <conditionalFormatting sqref="I49:I50">
    <cfRule type="cellIs" dxfId="1" priority="1" operator="equal">
      <formula>0</formula>
    </cfRule>
  </conditionalFormatting>
  <conditionalFormatting sqref="I48">
    <cfRule type="cellIs" dxfId="0" priority="2" operator="equal">
      <formula>0</formula>
    </cfRule>
  </conditionalFormatting>
  <pageMargins left="0.511811024" right="0.511811024"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E3BC"/>
    <pageSetUpPr fitToPage="1"/>
  </sheetPr>
  <dimension ref="A1:HN244"/>
  <sheetViews>
    <sheetView workbookViewId="0">
      <pane xSplit="4" topLeftCell="E1" activePane="topRight" state="frozen"/>
      <selection pane="topRight" activeCell="F2" sqref="F2"/>
    </sheetView>
  </sheetViews>
  <sheetFormatPr defaultColWidth="14.42578125" defaultRowHeight="15" customHeight="1"/>
  <cols>
    <col min="1" max="1" width="1.5703125" hidden="1" customWidth="1"/>
    <col min="2" max="2" width="11.42578125" customWidth="1"/>
    <col min="3" max="3" width="26.85546875" customWidth="1"/>
    <col min="4" max="4" width="19.7109375" customWidth="1"/>
    <col min="5" max="5" width="13.28515625" customWidth="1"/>
    <col min="6" max="6" width="9.5703125" customWidth="1"/>
    <col min="7" max="7" width="5.28515625" customWidth="1"/>
    <col min="8" max="8" width="9.7109375" customWidth="1"/>
    <col min="9" max="9" width="22.140625" customWidth="1"/>
    <col min="10" max="10" width="20" customWidth="1"/>
    <col min="11" max="11" width="13.28515625" customWidth="1"/>
    <col min="12" max="12" width="20" customWidth="1"/>
    <col min="13" max="13" width="16.85546875" customWidth="1"/>
    <col min="14" max="14" width="16.5703125" customWidth="1"/>
    <col min="15" max="15" width="27.85546875" customWidth="1"/>
    <col min="16" max="16" width="20.140625" customWidth="1"/>
    <col min="17" max="17" width="19.5703125" customWidth="1"/>
    <col min="18" max="18" width="24.42578125" customWidth="1"/>
    <col min="19" max="20" width="13.7109375" customWidth="1"/>
    <col min="21" max="21" width="9.140625" customWidth="1"/>
    <col min="22" max="22" width="13.7109375" customWidth="1"/>
    <col min="23" max="23" width="15.28515625" customWidth="1"/>
    <col min="24" max="24" width="6.5703125" customWidth="1"/>
    <col min="25" max="25" width="9.7109375" customWidth="1"/>
    <col min="26" max="26" width="22.140625" customWidth="1"/>
    <col min="27" max="27" width="20" customWidth="1"/>
    <col min="28" max="28" width="10.5703125" customWidth="1"/>
    <col min="29" max="30" width="15.28515625" customWidth="1"/>
    <col min="31" max="31" width="17.28515625" customWidth="1"/>
    <col min="32" max="32" width="27.85546875" customWidth="1"/>
    <col min="33" max="33" width="20.140625" customWidth="1"/>
    <col min="34" max="34" width="19.5703125" customWidth="1"/>
    <col min="35" max="35" width="24.42578125" customWidth="1"/>
    <col min="36" max="37" width="15.28515625" customWidth="1"/>
    <col min="38" max="38" width="8" customWidth="1"/>
    <col min="39" max="39" width="15.28515625" customWidth="1"/>
    <col min="40" max="40" width="9.7109375" customWidth="1"/>
    <col min="41" max="41" width="7.28515625" customWidth="1"/>
    <col min="42" max="42" width="10" customWidth="1"/>
    <col min="43" max="43" width="22.140625" customWidth="1"/>
    <col min="44" max="44" width="20" customWidth="1"/>
    <col min="45" max="45" width="14.42578125" customWidth="1"/>
    <col min="46" max="46" width="18.5703125" customWidth="1"/>
    <col min="47" max="48" width="14.42578125" customWidth="1"/>
    <col min="49" max="49" width="27.85546875" customWidth="1"/>
    <col min="50" max="50" width="20.140625" customWidth="1"/>
    <col min="51" max="51" width="19.5703125" customWidth="1"/>
    <col min="52" max="52" width="24.42578125" customWidth="1"/>
    <col min="53" max="53" width="18.42578125" customWidth="1"/>
    <col min="54" max="54" width="15.28515625" customWidth="1"/>
    <col min="55" max="55" width="8" customWidth="1"/>
    <col min="56" max="56" width="15.28515625" customWidth="1"/>
    <col min="57" max="57" width="11.7109375" customWidth="1"/>
    <col min="58" max="58" width="7" customWidth="1"/>
    <col min="59" max="59" width="9.7109375" customWidth="1"/>
    <col min="60" max="60" width="22.140625" customWidth="1"/>
    <col min="61" max="61" width="20" customWidth="1"/>
    <col min="62" max="63" width="14.42578125" customWidth="1"/>
    <col min="64" max="64" width="17.28515625" customWidth="1"/>
    <col min="65" max="65" width="14.42578125" customWidth="1"/>
    <col min="66" max="66" width="27.85546875" customWidth="1"/>
    <col min="67" max="67" width="20.140625" customWidth="1"/>
    <col min="68" max="68" width="19.5703125" customWidth="1"/>
    <col min="69" max="69" width="24.85546875" customWidth="1"/>
    <col min="70" max="70" width="18.42578125" customWidth="1"/>
    <col min="71" max="71" width="15.28515625" customWidth="1"/>
    <col min="72" max="72" width="8" customWidth="1"/>
    <col min="73" max="73" width="15.28515625" customWidth="1"/>
    <col min="74" max="74" width="11.7109375" customWidth="1"/>
    <col min="75" max="75" width="6.28515625" customWidth="1"/>
    <col min="76" max="76" width="10" customWidth="1"/>
    <col min="77" max="77" width="22.140625" customWidth="1"/>
    <col min="78" max="78" width="20" customWidth="1"/>
    <col min="79" max="82" width="14.42578125" customWidth="1"/>
    <col min="83" max="83" width="27.85546875" customWidth="1"/>
    <col min="84" max="84" width="20.140625" customWidth="1"/>
    <col min="85" max="85" width="19.5703125" customWidth="1"/>
    <col min="86" max="86" width="24.85546875" customWidth="1"/>
    <col min="87" max="87" width="18.42578125" customWidth="1"/>
    <col min="88" max="88" width="15.28515625" customWidth="1"/>
    <col min="89" max="89" width="8" customWidth="1"/>
    <col min="90" max="90" width="15.28515625" customWidth="1"/>
    <col min="91" max="91" width="11.7109375" customWidth="1"/>
    <col min="92" max="92" width="7" customWidth="1"/>
    <col min="93" max="93" width="9.7109375" customWidth="1"/>
    <col min="94" max="94" width="22.140625" customWidth="1"/>
    <col min="95" max="95" width="20" customWidth="1"/>
    <col min="96" max="99" width="14.42578125" customWidth="1"/>
    <col min="100" max="100" width="27.85546875" customWidth="1"/>
    <col min="101" max="101" width="20.140625" customWidth="1"/>
    <col min="102" max="102" width="19.5703125" customWidth="1"/>
    <col min="103" max="103" width="24.42578125" customWidth="1"/>
    <col min="104" max="104" width="18.42578125" customWidth="1"/>
    <col min="105" max="105" width="15.28515625" customWidth="1"/>
    <col min="106" max="106" width="8" customWidth="1"/>
    <col min="107" max="107" width="15.28515625" customWidth="1"/>
    <col min="108" max="108" width="11.7109375" customWidth="1"/>
    <col min="109" max="109" width="7.28515625" customWidth="1"/>
    <col min="110" max="110" width="9.7109375" customWidth="1"/>
    <col min="111" max="111" width="22.140625" customWidth="1"/>
    <col min="112" max="112" width="20" customWidth="1"/>
    <col min="113" max="116" width="14.42578125" customWidth="1"/>
    <col min="117" max="117" width="27.85546875" customWidth="1"/>
    <col min="118" max="118" width="20.140625" customWidth="1"/>
    <col min="119" max="119" width="19.5703125" customWidth="1"/>
    <col min="120" max="120" width="24.42578125" customWidth="1"/>
    <col min="121" max="121" width="18.42578125" customWidth="1"/>
    <col min="122" max="122" width="15.28515625" customWidth="1"/>
    <col min="123" max="123" width="8" customWidth="1"/>
    <col min="124" max="124" width="15.28515625" customWidth="1"/>
    <col min="125" max="125" width="11.7109375" customWidth="1"/>
    <col min="126" max="126" width="7.28515625" customWidth="1"/>
    <col min="127" max="127" width="9.7109375" customWidth="1"/>
    <col min="128" max="128" width="15.28515625" customWidth="1"/>
    <col min="129" max="129" width="20" customWidth="1"/>
    <col min="130" max="133" width="14.42578125" customWidth="1"/>
    <col min="134" max="134" width="27.85546875" customWidth="1"/>
    <col min="135" max="135" width="20.140625" customWidth="1"/>
    <col min="136" max="136" width="19.5703125" customWidth="1"/>
    <col min="137" max="137" width="24.42578125" customWidth="1"/>
    <col min="138" max="138" width="18.42578125" customWidth="1"/>
    <col min="139" max="139" width="15.28515625" customWidth="1"/>
    <col min="140" max="140" width="8" customWidth="1"/>
    <col min="141" max="141" width="15.28515625" customWidth="1"/>
    <col min="142" max="142" width="11.7109375" customWidth="1"/>
    <col min="143" max="143" width="9" customWidth="1"/>
    <col min="144" max="144" width="9.7109375" customWidth="1"/>
    <col min="145" max="145" width="15.28515625" customWidth="1"/>
    <col min="146" max="146" width="20" customWidth="1"/>
    <col min="147" max="150" width="14.42578125" customWidth="1"/>
    <col min="151" max="151" width="27.85546875" customWidth="1"/>
    <col min="152" max="152" width="20.140625" customWidth="1"/>
    <col min="153" max="153" width="19.5703125" customWidth="1"/>
    <col min="154" max="154" width="24.42578125" customWidth="1"/>
    <col min="155" max="155" width="18.42578125" customWidth="1"/>
    <col min="156" max="156" width="15.28515625" customWidth="1"/>
    <col min="157" max="157" width="8" customWidth="1"/>
    <col min="158" max="158" width="15.28515625" customWidth="1"/>
    <col min="159" max="159" width="11.7109375" customWidth="1"/>
    <col min="160" max="160" width="8.7109375" customWidth="1"/>
    <col min="161" max="161" width="9.7109375" customWidth="1"/>
    <col min="162" max="162" width="15.28515625" customWidth="1"/>
    <col min="163" max="163" width="20" customWidth="1"/>
    <col min="164" max="167" width="14.42578125" customWidth="1"/>
    <col min="168" max="168" width="27.85546875" customWidth="1"/>
    <col min="169" max="169" width="20.140625" customWidth="1"/>
    <col min="170" max="170" width="19.5703125" customWidth="1"/>
    <col min="171" max="171" width="24.42578125" customWidth="1"/>
    <col min="172" max="172" width="18.42578125" customWidth="1"/>
    <col min="173" max="173" width="15.28515625" customWidth="1"/>
    <col min="174" max="174" width="8" customWidth="1"/>
    <col min="175" max="175" width="15.28515625" customWidth="1"/>
    <col min="176" max="176" width="11.7109375" customWidth="1"/>
    <col min="177" max="177" width="8.42578125" customWidth="1"/>
    <col min="178" max="178" width="9.7109375" customWidth="1"/>
    <col min="179" max="179" width="15.28515625" customWidth="1"/>
    <col min="180" max="180" width="20" customWidth="1"/>
    <col min="181" max="184" width="14.42578125" customWidth="1"/>
    <col min="185" max="185" width="27.85546875" customWidth="1"/>
    <col min="186" max="186" width="20.140625" customWidth="1"/>
    <col min="187" max="187" width="19.5703125" customWidth="1"/>
    <col min="188" max="188" width="24.42578125" customWidth="1"/>
    <col min="189" max="189" width="18.42578125" customWidth="1"/>
    <col min="190" max="190" width="15.28515625" customWidth="1"/>
    <col min="191" max="191" width="8" customWidth="1"/>
    <col min="192" max="192" width="15.28515625" customWidth="1"/>
    <col min="193" max="193" width="11.7109375" customWidth="1"/>
    <col min="194" max="194" width="7.28515625" customWidth="1"/>
    <col min="195" max="195" width="9.7109375" customWidth="1"/>
    <col min="196" max="196" width="15.28515625" customWidth="1"/>
    <col min="197" max="197" width="20" customWidth="1"/>
    <col min="198" max="201" width="14.42578125" customWidth="1"/>
    <col min="202" max="202" width="27.85546875" customWidth="1"/>
    <col min="203" max="203" width="20.140625" customWidth="1"/>
    <col min="204" max="204" width="15.28515625" customWidth="1"/>
    <col min="205" max="205" width="24.42578125" customWidth="1"/>
    <col min="206" max="206" width="18.42578125" customWidth="1"/>
    <col min="207" max="207" width="15.28515625" customWidth="1"/>
    <col min="208" max="208" width="9.7109375" customWidth="1"/>
    <col min="209" max="209" width="15.28515625" customWidth="1"/>
    <col min="210" max="210" width="11.7109375" customWidth="1"/>
    <col min="211" max="212" width="14.42578125" customWidth="1"/>
    <col min="213" max="222" width="14.42578125" hidden="1" customWidth="1"/>
  </cols>
  <sheetData>
    <row r="1" spans="1:222" ht="35.25" customHeight="1">
      <c r="A1" s="1"/>
      <c r="B1" s="1006" t="s">
        <v>150</v>
      </c>
      <c r="C1" s="977"/>
      <c r="D1" s="1007"/>
      <c r="E1" s="1">
        <v>5</v>
      </c>
      <c r="F1" s="1">
        <f t="shared" ref="F1:HC1" si="0">E1+1</f>
        <v>6</v>
      </c>
      <c r="G1" s="1">
        <f t="shared" si="0"/>
        <v>7</v>
      </c>
      <c r="H1" s="1">
        <f t="shared" si="0"/>
        <v>8</v>
      </c>
      <c r="I1" s="1">
        <f t="shared" si="0"/>
        <v>9</v>
      </c>
      <c r="J1" s="1">
        <f t="shared" si="0"/>
        <v>10</v>
      </c>
      <c r="K1" s="1">
        <f t="shared" si="0"/>
        <v>11</v>
      </c>
      <c r="L1" s="1">
        <f t="shared" si="0"/>
        <v>12</v>
      </c>
      <c r="M1" s="1">
        <f t="shared" si="0"/>
        <v>13</v>
      </c>
      <c r="N1" s="1">
        <f t="shared" si="0"/>
        <v>14</v>
      </c>
      <c r="O1" s="1">
        <f t="shared" si="0"/>
        <v>15</v>
      </c>
      <c r="P1" s="1">
        <f t="shared" si="0"/>
        <v>16</v>
      </c>
      <c r="Q1" s="1">
        <f t="shared" si="0"/>
        <v>17</v>
      </c>
      <c r="R1" s="1">
        <f t="shared" si="0"/>
        <v>18</v>
      </c>
      <c r="S1" s="1">
        <f t="shared" si="0"/>
        <v>19</v>
      </c>
      <c r="T1" s="1">
        <f t="shared" si="0"/>
        <v>20</v>
      </c>
      <c r="U1" s="1">
        <f t="shared" si="0"/>
        <v>21</v>
      </c>
      <c r="V1" s="1">
        <f t="shared" si="0"/>
        <v>22</v>
      </c>
      <c r="W1" s="1">
        <f t="shared" si="0"/>
        <v>23</v>
      </c>
      <c r="X1" s="1">
        <f t="shared" si="0"/>
        <v>24</v>
      </c>
      <c r="Y1" s="1">
        <f t="shared" si="0"/>
        <v>25</v>
      </c>
      <c r="Z1" s="1">
        <f t="shared" si="0"/>
        <v>26</v>
      </c>
      <c r="AA1" s="1">
        <f t="shared" si="0"/>
        <v>27</v>
      </c>
      <c r="AB1" s="1">
        <f t="shared" si="0"/>
        <v>28</v>
      </c>
      <c r="AC1" s="1">
        <f t="shared" si="0"/>
        <v>29</v>
      </c>
      <c r="AD1" s="1">
        <f t="shared" si="0"/>
        <v>30</v>
      </c>
      <c r="AE1" s="1">
        <f t="shared" si="0"/>
        <v>31</v>
      </c>
      <c r="AF1" s="1">
        <f t="shared" si="0"/>
        <v>32</v>
      </c>
      <c r="AG1" s="1">
        <f t="shared" si="0"/>
        <v>33</v>
      </c>
      <c r="AH1" s="1">
        <f t="shared" si="0"/>
        <v>34</v>
      </c>
      <c r="AI1" s="1">
        <f t="shared" si="0"/>
        <v>35</v>
      </c>
      <c r="AJ1" s="1">
        <f t="shared" si="0"/>
        <v>36</v>
      </c>
      <c r="AK1" s="1">
        <f t="shared" si="0"/>
        <v>37</v>
      </c>
      <c r="AL1" s="1">
        <f t="shared" si="0"/>
        <v>38</v>
      </c>
      <c r="AM1" s="1">
        <f t="shared" si="0"/>
        <v>39</v>
      </c>
      <c r="AN1" s="1">
        <f t="shared" si="0"/>
        <v>40</v>
      </c>
      <c r="AO1" s="1">
        <f t="shared" si="0"/>
        <v>41</v>
      </c>
      <c r="AP1" s="1">
        <f t="shared" si="0"/>
        <v>42</v>
      </c>
      <c r="AQ1" s="1">
        <f t="shared" si="0"/>
        <v>43</v>
      </c>
      <c r="AR1" s="1">
        <f t="shared" si="0"/>
        <v>44</v>
      </c>
      <c r="AS1" s="1">
        <f t="shared" si="0"/>
        <v>45</v>
      </c>
      <c r="AT1" s="1">
        <f t="shared" si="0"/>
        <v>46</v>
      </c>
      <c r="AU1" s="1">
        <f t="shared" si="0"/>
        <v>47</v>
      </c>
      <c r="AV1" s="1">
        <f t="shared" si="0"/>
        <v>48</v>
      </c>
      <c r="AW1" s="1">
        <f t="shared" si="0"/>
        <v>49</v>
      </c>
      <c r="AX1" s="1">
        <f t="shared" si="0"/>
        <v>50</v>
      </c>
      <c r="AY1" s="1">
        <f t="shared" si="0"/>
        <v>51</v>
      </c>
      <c r="AZ1" s="1">
        <f t="shared" si="0"/>
        <v>52</v>
      </c>
      <c r="BA1" s="1">
        <f t="shared" si="0"/>
        <v>53</v>
      </c>
      <c r="BB1" s="1">
        <f t="shared" si="0"/>
        <v>54</v>
      </c>
      <c r="BC1" s="1">
        <f t="shared" si="0"/>
        <v>55</v>
      </c>
      <c r="BD1" s="1">
        <f t="shared" si="0"/>
        <v>56</v>
      </c>
      <c r="BE1" s="1">
        <f t="shared" si="0"/>
        <v>57</v>
      </c>
      <c r="BF1" s="1">
        <f t="shared" si="0"/>
        <v>58</v>
      </c>
      <c r="BG1" s="1">
        <f t="shared" si="0"/>
        <v>59</v>
      </c>
      <c r="BH1" s="1">
        <f t="shared" si="0"/>
        <v>60</v>
      </c>
      <c r="BI1" s="1">
        <f t="shared" si="0"/>
        <v>61</v>
      </c>
      <c r="BJ1" s="1">
        <f t="shared" si="0"/>
        <v>62</v>
      </c>
      <c r="BK1" s="1">
        <f t="shared" si="0"/>
        <v>63</v>
      </c>
      <c r="BL1" s="1">
        <f t="shared" si="0"/>
        <v>64</v>
      </c>
      <c r="BM1" s="1">
        <f t="shared" si="0"/>
        <v>65</v>
      </c>
      <c r="BN1" s="1">
        <f t="shared" si="0"/>
        <v>66</v>
      </c>
      <c r="BO1" s="1">
        <f t="shared" si="0"/>
        <v>67</v>
      </c>
      <c r="BP1" s="1">
        <f t="shared" si="0"/>
        <v>68</v>
      </c>
      <c r="BQ1" s="1">
        <f t="shared" si="0"/>
        <v>69</v>
      </c>
      <c r="BR1" s="1">
        <f t="shared" si="0"/>
        <v>70</v>
      </c>
      <c r="BS1" s="1">
        <f t="shared" si="0"/>
        <v>71</v>
      </c>
      <c r="BT1" s="1">
        <f t="shared" si="0"/>
        <v>72</v>
      </c>
      <c r="BU1" s="1">
        <f t="shared" si="0"/>
        <v>73</v>
      </c>
      <c r="BV1" s="1">
        <f t="shared" si="0"/>
        <v>74</v>
      </c>
      <c r="BW1" s="1">
        <f t="shared" si="0"/>
        <v>75</v>
      </c>
      <c r="BX1" s="1">
        <f t="shared" si="0"/>
        <v>76</v>
      </c>
      <c r="BY1" s="1">
        <f t="shared" si="0"/>
        <v>77</v>
      </c>
      <c r="BZ1" s="1">
        <f t="shared" si="0"/>
        <v>78</v>
      </c>
      <c r="CA1" s="1">
        <f t="shared" si="0"/>
        <v>79</v>
      </c>
      <c r="CB1" s="1">
        <f t="shared" si="0"/>
        <v>80</v>
      </c>
      <c r="CC1" s="1">
        <f t="shared" si="0"/>
        <v>81</v>
      </c>
      <c r="CD1" s="1">
        <f t="shared" si="0"/>
        <v>82</v>
      </c>
      <c r="CE1" s="1">
        <f t="shared" si="0"/>
        <v>83</v>
      </c>
      <c r="CF1" s="1">
        <f t="shared" si="0"/>
        <v>84</v>
      </c>
      <c r="CG1" s="1">
        <f t="shared" si="0"/>
        <v>85</v>
      </c>
      <c r="CH1" s="1">
        <f t="shared" si="0"/>
        <v>86</v>
      </c>
      <c r="CI1" s="1">
        <f t="shared" si="0"/>
        <v>87</v>
      </c>
      <c r="CJ1" s="1">
        <f t="shared" si="0"/>
        <v>88</v>
      </c>
      <c r="CK1" s="1">
        <f t="shared" si="0"/>
        <v>89</v>
      </c>
      <c r="CL1" s="1">
        <f t="shared" si="0"/>
        <v>90</v>
      </c>
      <c r="CM1" s="1">
        <f t="shared" si="0"/>
        <v>91</v>
      </c>
      <c r="CN1" s="1">
        <f t="shared" si="0"/>
        <v>92</v>
      </c>
      <c r="CO1" s="1">
        <f t="shared" si="0"/>
        <v>93</v>
      </c>
      <c r="CP1" s="1">
        <f t="shared" si="0"/>
        <v>94</v>
      </c>
      <c r="CQ1" s="1">
        <f t="shared" si="0"/>
        <v>95</v>
      </c>
      <c r="CR1" s="1">
        <f t="shared" si="0"/>
        <v>96</v>
      </c>
      <c r="CS1" s="1">
        <f t="shared" si="0"/>
        <v>97</v>
      </c>
      <c r="CT1" s="1">
        <f t="shared" si="0"/>
        <v>98</v>
      </c>
      <c r="CU1" s="1">
        <f t="shared" si="0"/>
        <v>99</v>
      </c>
      <c r="CV1" s="1">
        <f t="shared" si="0"/>
        <v>100</v>
      </c>
      <c r="CW1" s="1">
        <f t="shared" si="0"/>
        <v>101</v>
      </c>
      <c r="CX1" s="1">
        <f t="shared" si="0"/>
        <v>102</v>
      </c>
      <c r="CY1" s="1">
        <f t="shared" si="0"/>
        <v>103</v>
      </c>
      <c r="CZ1" s="1">
        <f t="shared" si="0"/>
        <v>104</v>
      </c>
      <c r="DA1" s="1">
        <f t="shared" si="0"/>
        <v>105</v>
      </c>
      <c r="DB1" s="1">
        <f t="shared" si="0"/>
        <v>106</v>
      </c>
      <c r="DC1" s="1">
        <f t="shared" si="0"/>
        <v>107</v>
      </c>
      <c r="DD1" s="1">
        <f t="shared" si="0"/>
        <v>108</v>
      </c>
      <c r="DE1" s="1">
        <f t="shared" si="0"/>
        <v>109</v>
      </c>
      <c r="DF1" s="1">
        <f t="shared" si="0"/>
        <v>110</v>
      </c>
      <c r="DG1" s="1">
        <f t="shared" si="0"/>
        <v>111</v>
      </c>
      <c r="DH1" s="1">
        <f t="shared" si="0"/>
        <v>112</v>
      </c>
      <c r="DI1" s="1">
        <f t="shared" si="0"/>
        <v>113</v>
      </c>
      <c r="DJ1" s="1">
        <f t="shared" si="0"/>
        <v>114</v>
      </c>
      <c r="DK1" s="1">
        <f t="shared" si="0"/>
        <v>115</v>
      </c>
      <c r="DL1" s="1">
        <f t="shared" si="0"/>
        <v>116</v>
      </c>
      <c r="DM1" s="1">
        <f t="shared" si="0"/>
        <v>117</v>
      </c>
      <c r="DN1" s="1">
        <f t="shared" si="0"/>
        <v>118</v>
      </c>
      <c r="DO1" s="1">
        <f t="shared" si="0"/>
        <v>119</v>
      </c>
      <c r="DP1" s="1">
        <f t="shared" si="0"/>
        <v>120</v>
      </c>
      <c r="DQ1" s="1">
        <f t="shared" si="0"/>
        <v>121</v>
      </c>
      <c r="DR1" s="1">
        <f t="shared" si="0"/>
        <v>122</v>
      </c>
      <c r="DS1" s="1">
        <f t="shared" si="0"/>
        <v>123</v>
      </c>
      <c r="DT1" s="1">
        <f t="shared" si="0"/>
        <v>124</v>
      </c>
      <c r="DU1" s="1">
        <f t="shared" si="0"/>
        <v>125</v>
      </c>
      <c r="DV1" s="1">
        <f t="shared" si="0"/>
        <v>126</v>
      </c>
      <c r="DW1" s="1">
        <f t="shared" si="0"/>
        <v>127</v>
      </c>
      <c r="DX1" s="1">
        <f t="shared" si="0"/>
        <v>128</v>
      </c>
      <c r="DY1" s="1">
        <f t="shared" si="0"/>
        <v>129</v>
      </c>
      <c r="DZ1" s="1">
        <f t="shared" si="0"/>
        <v>130</v>
      </c>
      <c r="EA1" s="1">
        <f t="shared" si="0"/>
        <v>131</v>
      </c>
      <c r="EB1" s="1">
        <f t="shared" si="0"/>
        <v>132</v>
      </c>
      <c r="EC1" s="1">
        <f t="shared" si="0"/>
        <v>133</v>
      </c>
      <c r="ED1" s="1">
        <f t="shared" si="0"/>
        <v>134</v>
      </c>
      <c r="EE1" s="1">
        <f t="shared" si="0"/>
        <v>135</v>
      </c>
      <c r="EF1" s="1">
        <f t="shared" si="0"/>
        <v>136</v>
      </c>
      <c r="EG1" s="1">
        <f t="shared" si="0"/>
        <v>137</v>
      </c>
      <c r="EH1" s="1">
        <f t="shared" si="0"/>
        <v>138</v>
      </c>
      <c r="EI1" s="1">
        <f t="shared" si="0"/>
        <v>139</v>
      </c>
      <c r="EJ1" s="1">
        <f t="shared" si="0"/>
        <v>140</v>
      </c>
      <c r="EK1" s="1">
        <f t="shared" si="0"/>
        <v>141</v>
      </c>
      <c r="EL1" s="1">
        <f t="shared" si="0"/>
        <v>142</v>
      </c>
      <c r="EM1" s="1">
        <f t="shared" si="0"/>
        <v>143</v>
      </c>
      <c r="EN1" s="1">
        <f t="shared" si="0"/>
        <v>144</v>
      </c>
      <c r="EO1" s="1">
        <f t="shared" si="0"/>
        <v>145</v>
      </c>
      <c r="EP1" s="1">
        <f t="shared" si="0"/>
        <v>146</v>
      </c>
      <c r="EQ1" s="1">
        <f t="shared" si="0"/>
        <v>147</v>
      </c>
      <c r="ER1" s="1">
        <f t="shared" si="0"/>
        <v>148</v>
      </c>
      <c r="ES1" s="1">
        <f t="shared" si="0"/>
        <v>149</v>
      </c>
      <c r="ET1" s="1">
        <f t="shared" si="0"/>
        <v>150</v>
      </c>
      <c r="EU1" s="1">
        <f t="shared" si="0"/>
        <v>151</v>
      </c>
      <c r="EV1" s="1">
        <f t="shared" si="0"/>
        <v>152</v>
      </c>
      <c r="EW1" s="1">
        <f t="shared" si="0"/>
        <v>153</v>
      </c>
      <c r="EX1" s="1">
        <f t="shared" si="0"/>
        <v>154</v>
      </c>
      <c r="EY1" s="1">
        <f t="shared" si="0"/>
        <v>155</v>
      </c>
      <c r="EZ1" s="1">
        <f t="shared" si="0"/>
        <v>156</v>
      </c>
      <c r="FA1" s="1">
        <f t="shared" si="0"/>
        <v>157</v>
      </c>
      <c r="FB1" s="1">
        <f t="shared" si="0"/>
        <v>158</v>
      </c>
      <c r="FC1" s="1">
        <f t="shared" si="0"/>
        <v>159</v>
      </c>
      <c r="FD1" s="1">
        <f t="shared" si="0"/>
        <v>160</v>
      </c>
      <c r="FE1" s="1">
        <f t="shared" si="0"/>
        <v>161</v>
      </c>
      <c r="FF1" s="1">
        <f t="shared" si="0"/>
        <v>162</v>
      </c>
      <c r="FG1" s="1">
        <f t="shared" si="0"/>
        <v>163</v>
      </c>
      <c r="FH1" s="1">
        <f t="shared" si="0"/>
        <v>164</v>
      </c>
      <c r="FI1" s="1">
        <f t="shared" si="0"/>
        <v>165</v>
      </c>
      <c r="FJ1" s="1">
        <f t="shared" si="0"/>
        <v>166</v>
      </c>
      <c r="FK1" s="1">
        <f t="shared" si="0"/>
        <v>167</v>
      </c>
      <c r="FL1" s="1">
        <f t="shared" si="0"/>
        <v>168</v>
      </c>
      <c r="FM1" s="1">
        <f t="shared" si="0"/>
        <v>169</v>
      </c>
      <c r="FN1" s="1">
        <f t="shared" si="0"/>
        <v>170</v>
      </c>
      <c r="FO1" s="1">
        <f t="shared" si="0"/>
        <v>171</v>
      </c>
      <c r="FP1" s="1">
        <f t="shared" si="0"/>
        <v>172</v>
      </c>
      <c r="FQ1" s="1">
        <f t="shared" si="0"/>
        <v>173</v>
      </c>
      <c r="FR1" s="1">
        <f t="shared" si="0"/>
        <v>174</v>
      </c>
      <c r="FS1" s="1">
        <f t="shared" si="0"/>
        <v>175</v>
      </c>
      <c r="FT1" s="1">
        <f t="shared" si="0"/>
        <v>176</v>
      </c>
      <c r="FU1" s="1">
        <f t="shared" si="0"/>
        <v>177</v>
      </c>
      <c r="FV1" s="1">
        <f t="shared" si="0"/>
        <v>178</v>
      </c>
      <c r="FW1" s="1">
        <f t="shared" si="0"/>
        <v>179</v>
      </c>
      <c r="FX1" s="1">
        <f t="shared" si="0"/>
        <v>180</v>
      </c>
      <c r="FY1" s="1">
        <f t="shared" si="0"/>
        <v>181</v>
      </c>
      <c r="FZ1" s="1">
        <f t="shared" si="0"/>
        <v>182</v>
      </c>
      <c r="GA1" s="1">
        <f t="shared" si="0"/>
        <v>183</v>
      </c>
      <c r="GB1" s="1">
        <f t="shared" si="0"/>
        <v>184</v>
      </c>
      <c r="GC1" s="1">
        <f t="shared" si="0"/>
        <v>185</v>
      </c>
      <c r="GD1" s="1">
        <f t="shared" si="0"/>
        <v>186</v>
      </c>
      <c r="GE1" s="1">
        <f t="shared" si="0"/>
        <v>187</v>
      </c>
      <c r="GF1" s="1">
        <f t="shared" si="0"/>
        <v>188</v>
      </c>
      <c r="GG1" s="1">
        <f t="shared" si="0"/>
        <v>189</v>
      </c>
      <c r="GH1" s="1">
        <f t="shared" si="0"/>
        <v>190</v>
      </c>
      <c r="GI1" s="1">
        <f t="shared" si="0"/>
        <v>191</v>
      </c>
      <c r="GJ1" s="1">
        <f t="shared" si="0"/>
        <v>192</v>
      </c>
      <c r="GK1" s="1">
        <f t="shared" si="0"/>
        <v>193</v>
      </c>
      <c r="GL1" s="1">
        <f t="shared" si="0"/>
        <v>194</v>
      </c>
      <c r="GM1" s="1">
        <f t="shared" si="0"/>
        <v>195</v>
      </c>
      <c r="GN1" s="1">
        <f t="shared" si="0"/>
        <v>196</v>
      </c>
      <c r="GO1" s="1">
        <f t="shared" si="0"/>
        <v>197</v>
      </c>
      <c r="GP1" s="1">
        <f t="shared" si="0"/>
        <v>198</v>
      </c>
      <c r="GQ1" s="1">
        <f t="shared" si="0"/>
        <v>199</v>
      </c>
      <c r="GR1" s="1">
        <f t="shared" si="0"/>
        <v>200</v>
      </c>
      <c r="GS1" s="1">
        <f t="shared" si="0"/>
        <v>201</v>
      </c>
      <c r="GT1" s="1">
        <f t="shared" si="0"/>
        <v>202</v>
      </c>
      <c r="GU1" s="1">
        <f t="shared" si="0"/>
        <v>203</v>
      </c>
      <c r="GV1" s="1">
        <f t="shared" si="0"/>
        <v>204</v>
      </c>
      <c r="GW1" s="1">
        <f t="shared" si="0"/>
        <v>205</v>
      </c>
      <c r="GX1" s="1">
        <f t="shared" si="0"/>
        <v>206</v>
      </c>
      <c r="GY1" s="1">
        <f t="shared" si="0"/>
        <v>207</v>
      </c>
      <c r="GZ1" s="1">
        <f t="shared" si="0"/>
        <v>208</v>
      </c>
      <c r="HA1" s="1">
        <f t="shared" si="0"/>
        <v>209</v>
      </c>
      <c r="HB1" s="1">
        <f t="shared" si="0"/>
        <v>210</v>
      </c>
      <c r="HC1" s="1">
        <f t="shared" si="0"/>
        <v>211</v>
      </c>
      <c r="HD1" s="1"/>
      <c r="HE1" s="1"/>
      <c r="HF1" s="1"/>
      <c r="HG1" s="1"/>
      <c r="HH1" s="1"/>
      <c r="HI1" s="1"/>
      <c r="HJ1" s="1"/>
      <c r="HK1" s="1"/>
      <c r="HL1" s="1"/>
      <c r="HM1" s="1"/>
      <c r="HN1" s="1"/>
    </row>
    <row r="2" spans="1:222" ht="36" customHeight="1">
      <c r="A2" s="1"/>
      <c r="B2" s="62"/>
      <c r="C2" s="62"/>
      <c r="D2" s="62"/>
      <c r="E2" s="63"/>
      <c r="F2" s="64"/>
      <c r="G2" s="65"/>
      <c r="H2" s="65"/>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row>
    <row r="3" spans="1:222" ht="39.75" customHeight="1">
      <c r="A3" s="1"/>
      <c r="B3" s="62" t="s">
        <v>151</v>
      </c>
      <c r="C3" s="62"/>
      <c r="D3" s="62"/>
      <c r="E3" s="64"/>
      <c r="F3" s="64"/>
      <c r="G3" s="65">
        <v>1</v>
      </c>
      <c r="H3" s="65"/>
      <c r="I3" s="65">
        <f t="shared" ref="I3:W3" si="1">H3+1</f>
        <v>1</v>
      </c>
      <c r="J3" s="65">
        <f t="shared" si="1"/>
        <v>2</v>
      </c>
      <c r="K3" s="65">
        <f t="shared" si="1"/>
        <v>3</v>
      </c>
      <c r="L3" s="65">
        <f t="shared" si="1"/>
        <v>4</v>
      </c>
      <c r="M3" s="65">
        <f t="shared" si="1"/>
        <v>5</v>
      </c>
      <c r="N3" s="65">
        <f t="shared" si="1"/>
        <v>6</v>
      </c>
      <c r="O3" s="65">
        <f t="shared" si="1"/>
        <v>7</v>
      </c>
      <c r="P3" s="65">
        <f t="shared" si="1"/>
        <v>8</v>
      </c>
      <c r="Q3" s="65">
        <f t="shared" si="1"/>
        <v>9</v>
      </c>
      <c r="R3" s="65">
        <f t="shared" si="1"/>
        <v>10</v>
      </c>
      <c r="S3" s="65">
        <f t="shared" si="1"/>
        <v>11</v>
      </c>
      <c r="T3" s="65">
        <f t="shared" si="1"/>
        <v>12</v>
      </c>
      <c r="U3" s="65">
        <f t="shared" si="1"/>
        <v>13</v>
      </c>
      <c r="V3" s="65">
        <f t="shared" si="1"/>
        <v>14</v>
      </c>
      <c r="W3" s="65">
        <f t="shared" si="1"/>
        <v>15</v>
      </c>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f>56+17</f>
        <v>73</v>
      </c>
      <c r="BH3" s="66"/>
      <c r="BI3" s="66"/>
      <c r="BJ3" s="66"/>
      <c r="BK3" s="66"/>
      <c r="BL3" s="66"/>
      <c r="BM3" s="66"/>
      <c r="BN3" s="66"/>
      <c r="BO3" s="66"/>
      <c r="BP3" s="66"/>
      <c r="BQ3" s="66"/>
      <c r="BR3" s="66"/>
      <c r="BS3" s="66"/>
      <c r="BT3" s="66"/>
      <c r="BU3" s="66"/>
      <c r="BV3" s="66"/>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1"/>
      <c r="GO3" s="1"/>
      <c r="GP3" s="1"/>
      <c r="GQ3" s="1"/>
      <c r="GR3" s="1"/>
      <c r="GS3" s="1"/>
      <c r="GT3" s="1"/>
      <c r="GU3" s="1"/>
      <c r="GV3" s="1"/>
      <c r="GW3" s="1"/>
      <c r="GX3" s="1"/>
      <c r="GY3" s="1"/>
      <c r="GZ3" s="1"/>
      <c r="HA3" s="1"/>
      <c r="HB3" s="1"/>
      <c r="HC3" s="1"/>
      <c r="HD3" s="1"/>
      <c r="HE3" s="1"/>
      <c r="HF3" s="1"/>
      <c r="HG3" s="1"/>
      <c r="HH3" s="1"/>
      <c r="HI3" s="1"/>
      <c r="HJ3" s="1"/>
      <c r="HK3" s="1"/>
      <c r="HL3" s="1"/>
      <c r="HM3" s="1"/>
      <c r="HN3" s="1"/>
    </row>
    <row r="4" spans="1:222" ht="52.5" customHeight="1">
      <c r="A4" s="67"/>
      <c r="B4" s="68"/>
      <c r="C4" s="68"/>
      <c r="D4" s="68"/>
      <c r="E4" s="67">
        <v>2</v>
      </c>
      <c r="F4" s="67">
        <f t="shared" ref="F4:HC4" si="2">E4+1</f>
        <v>3</v>
      </c>
      <c r="G4" s="69">
        <f t="shared" si="2"/>
        <v>4</v>
      </c>
      <c r="H4" s="67">
        <f t="shared" si="2"/>
        <v>5</v>
      </c>
      <c r="I4" s="67">
        <f t="shared" si="2"/>
        <v>6</v>
      </c>
      <c r="J4" s="67">
        <f t="shared" si="2"/>
        <v>7</v>
      </c>
      <c r="K4" s="67">
        <f t="shared" si="2"/>
        <v>8</v>
      </c>
      <c r="L4" s="67">
        <f t="shared" si="2"/>
        <v>9</v>
      </c>
      <c r="M4" s="67">
        <f t="shared" si="2"/>
        <v>10</v>
      </c>
      <c r="N4" s="67">
        <f t="shared" si="2"/>
        <v>11</v>
      </c>
      <c r="O4" s="70">
        <f t="shared" si="2"/>
        <v>12</v>
      </c>
      <c r="P4" s="67">
        <f t="shared" si="2"/>
        <v>13</v>
      </c>
      <c r="Q4" s="67">
        <f t="shared" si="2"/>
        <v>14</v>
      </c>
      <c r="R4" s="67">
        <f t="shared" si="2"/>
        <v>15</v>
      </c>
      <c r="S4" s="67">
        <f t="shared" si="2"/>
        <v>16</v>
      </c>
      <c r="T4" s="67">
        <f t="shared" si="2"/>
        <v>17</v>
      </c>
      <c r="U4" s="67">
        <f t="shared" si="2"/>
        <v>18</v>
      </c>
      <c r="V4" s="67">
        <f t="shared" si="2"/>
        <v>19</v>
      </c>
      <c r="W4" s="67">
        <f t="shared" si="2"/>
        <v>20</v>
      </c>
      <c r="X4" s="67">
        <f t="shared" si="2"/>
        <v>21</v>
      </c>
      <c r="Y4" s="67">
        <f t="shared" si="2"/>
        <v>22</v>
      </c>
      <c r="Z4" s="67">
        <f t="shared" si="2"/>
        <v>23</v>
      </c>
      <c r="AA4" s="67">
        <f t="shared" si="2"/>
        <v>24</v>
      </c>
      <c r="AB4" s="67">
        <f t="shared" si="2"/>
        <v>25</v>
      </c>
      <c r="AC4" s="67">
        <f t="shared" si="2"/>
        <v>26</v>
      </c>
      <c r="AD4" s="67">
        <f t="shared" si="2"/>
        <v>27</v>
      </c>
      <c r="AE4" s="67">
        <f t="shared" si="2"/>
        <v>28</v>
      </c>
      <c r="AF4" s="70">
        <f t="shared" si="2"/>
        <v>29</v>
      </c>
      <c r="AG4" s="67">
        <f t="shared" si="2"/>
        <v>30</v>
      </c>
      <c r="AH4" s="67">
        <f t="shared" si="2"/>
        <v>31</v>
      </c>
      <c r="AI4" s="67">
        <f t="shared" si="2"/>
        <v>32</v>
      </c>
      <c r="AJ4" s="67">
        <f t="shared" si="2"/>
        <v>33</v>
      </c>
      <c r="AK4" s="67">
        <f t="shared" si="2"/>
        <v>34</v>
      </c>
      <c r="AL4" s="67">
        <f t="shared" si="2"/>
        <v>35</v>
      </c>
      <c r="AM4" s="67">
        <f t="shared" si="2"/>
        <v>36</v>
      </c>
      <c r="AN4" s="67">
        <f t="shared" si="2"/>
        <v>37</v>
      </c>
      <c r="AO4" s="67">
        <f t="shared" si="2"/>
        <v>38</v>
      </c>
      <c r="AP4" s="67">
        <f t="shared" si="2"/>
        <v>39</v>
      </c>
      <c r="AQ4" s="67">
        <f t="shared" si="2"/>
        <v>40</v>
      </c>
      <c r="AR4" s="67">
        <f t="shared" si="2"/>
        <v>41</v>
      </c>
      <c r="AS4" s="67">
        <f t="shared" si="2"/>
        <v>42</v>
      </c>
      <c r="AT4" s="67">
        <f t="shared" si="2"/>
        <v>43</v>
      </c>
      <c r="AU4" s="67">
        <f t="shared" si="2"/>
        <v>44</v>
      </c>
      <c r="AV4" s="67">
        <f t="shared" si="2"/>
        <v>45</v>
      </c>
      <c r="AW4" s="70">
        <f t="shared" si="2"/>
        <v>46</v>
      </c>
      <c r="AX4" s="67">
        <f t="shared" si="2"/>
        <v>47</v>
      </c>
      <c r="AY4" s="67">
        <f t="shared" si="2"/>
        <v>48</v>
      </c>
      <c r="AZ4" s="67">
        <f t="shared" si="2"/>
        <v>49</v>
      </c>
      <c r="BA4" s="67">
        <f t="shared" si="2"/>
        <v>50</v>
      </c>
      <c r="BB4" s="67">
        <f t="shared" si="2"/>
        <v>51</v>
      </c>
      <c r="BC4" s="67">
        <f t="shared" si="2"/>
        <v>52</v>
      </c>
      <c r="BD4" s="67">
        <f t="shared" si="2"/>
        <v>53</v>
      </c>
      <c r="BE4" s="67">
        <f t="shared" si="2"/>
        <v>54</v>
      </c>
      <c r="BF4" s="67">
        <f t="shared" si="2"/>
        <v>55</v>
      </c>
      <c r="BG4" s="67">
        <f t="shared" si="2"/>
        <v>56</v>
      </c>
      <c r="BH4" s="67">
        <f t="shared" si="2"/>
        <v>57</v>
      </c>
      <c r="BI4" s="67">
        <f t="shared" si="2"/>
        <v>58</v>
      </c>
      <c r="BJ4" s="67">
        <f t="shared" si="2"/>
        <v>59</v>
      </c>
      <c r="BK4" s="67">
        <f t="shared" si="2"/>
        <v>60</v>
      </c>
      <c r="BL4" s="67">
        <f t="shared" si="2"/>
        <v>61</v>
      </c>
      <c r="BM4" s="67">
        <f t="shared" si="2"/>
        <v>62</v>
      </c>
      <c r="BN4" s="70">
        <f t="shared" si="2"/>
        <v>63</v>
      </c>
      <c r="BO4" s="67">
        <f t="shared" si="2"/>
        <v>64</v>
      </c>
      <c r="BP4" s="67">
        <f t="shared" si="2"/>
        <v>65</v>
      </c>
      <c r="BQ4" s="67">
        <f t="shared" si="2"/>
        <v>66</v>
      </c>
      <c r="BR4" s="67">
        <f t="shared" si="2"/>
        <v>67</v>
      </c>
      <c r="BS4" s="67">
        <f t="shared" si="2"/>
        <v>68</v>
      </c>
      <c r="BT4" s="67">
        <f t="shared" si="2"/>
        <v>69</v>
      </c>
      <c r="BU4" s="67">
        <f t="shared" si="2"/>
        <v>70</v>
      </c>
      <c r="BV4" s="67">
        <f t="shared" si="2"/>
        <v>71</v>
      </c>
      <c r="BW4" s="69">
        <f t="shared" si="2"/>
        <v>72</v>
      </c>
      <c r="BX4" s="67">
        <f t="shared" si="2"/>
        <v>73</v>
      </c>
      <c r="BY4" s="67">
        <f t="shared" si="2"/>
        <v>74</v>
      </c>
      <c r="BZ4" s="67">
        <f t="shared" si="2"/>
        <v>75</v>
      </c>
      <c r="CA4" s="67">
        <f t="shared" si="2"/>
        <v>76</v>
      </c>
      <c r="CB4" s="67">
        <f t="shared" si="2"/>
        <v>77</v>
      </c>
      <c r="CC4" s="67">
        <f t="shared" si="2"/>
        <v>78</v>
      </c>
      <c r="CD4" s="67">
        <f t="shared" si="2"/>
        <v>79</v>
      </c>
      <c r="CE4" s="70">
        <f t="shared" si="2"/>
        <v>80</v>
      </c>
      <c r="CF4" s="67">
        <f t="shared" si="2"/>
        <v>81</v>
      </c>
      <c r="CG4" s="67">
        <f t="shared" si="2"/>
        <v>82</v>
      </c>
      <c r="CH4" s="67">
        <f t="shared" si="2"/>
        <v>83</v>
      </c>
      <c r="CI4" s="67">
        <f t="shared" si="2"/>
        <v>84</v>
      </c>
      <c r="CJ4" s="67">
        <f t="shared" si="2"/>
        <v>85</v>
      </c>
      <c r="CK4" s="67">
        <f t="shared" si="2"/>
        <v>86</v>
      </c>
      <c r="CL4" s="67">
        <f t="shared" si="2"/>
        <v>87</v>
      </c>
      <c r="CM4" s="67">
        <f t="shared" si="2"/>
        <v>88</v>
      </c>
      <c r="CN4" s="69">
        <f t="shared" si="2"/>
        <v>89</v>
      </c>
      <c r="CO4" s="67">
        <f t="shared" si="2"/>
        <v>90</v>
      </c>
      <c r="CP4" s="67">
        <f t="shared" si="2"/>
        <v>91</v>
      </c>
      <c r="CQ4" s="67">
        <f t="shared" si="2"/>
        <v>92</v>
      </c>
      <c r="CR4" s="67">
        <f t="shared" si="2"/>
        <v>93</v>
      </c>
      <c r="CS4" s="67">
        <f t="shared" si="2"/>
        <v>94</v>
      </c>
      <c r="CT4" s="67">
        <f t="shared" si="2"/>
        <v>95</v>
      </c>
      <c r="CU4" s="67">
        <f t="shared" si="2"/>
        <v>96</v>
      </c>
      <c r="CV4" s="70">
        <f t="shared" si="2"/>
        <v>97</v>
      </c>
      <c r="CW4" s="67">
        <f t="shared" si="2"/>
        <v>98</v>
      </c>
      <c r="CX4" s="67">
        <f t="shared" si="2"/>
        <v>99</v>
      </c>
      <c r="CY4" s="67">
        <f t="shared" si="2"/>
        <v>100</v>
      </c>
      <c r="CZ4" s="67">
        <f t="shared" si="2"/>
        <v>101</v>
      </c>
      <c r="DA4" s="67">
        <f t="shared" si="2"/>
        <v>102</v>
      </c>
      <c r="DB4" s="67">
        <f t="shared" si="2"/>
        <v>103</v>
      </c>
      <c r="DC4" s="67">
        <f t="shared" si="2"/>
        <v>104</v>
      </c>
      <c r="DD4" s="67">
        <f t="shared" si="2"/>
        <v>105</v>
      </c>
      <c r="DE4" s="69">
        <f t="shared" si="2"/>
        <v>106</v>
      </c>
      <c r="DF4" s="67">
        <f t="shared" si="2"/>
        <v>107</v>
      </c>
      <c r="DG4" s="67">
        <f t="shared" si="2"/>
        <v>108</v>
      </c>
      <c r="DH4" s="67">
        <f t="shared" si="2"/>
        <v>109</v>
      </c>
      <c r="DI4" s="67">
        <f t="shared" si="2"/>
        <v>110</v>
      </c>
      <c r="DJ4" s="67">
        <f t="shared" si="2"/>
        <v>111</v>
      </c>
      <c r="DK4" s="67">
        <f t="shared" si="2"/>
        <v>112</v>
      </c>
      <c r="DL4" s="67">
        <f t="shared" si="2"/>
        <v>113</v>
      </c>
      <c r="DM4" s="70">
        <f t="shared" si="2"/>
        <v>114</v>
      </c>
      <c r="DN4" s="67">
        <f t="shared" si="2"/>
        <v>115</v>
      </c>
      <c r="DO4" s="67">
        <f t="shared" si="2"/>
        <v>116</v>
      </c>
      <c r="DP4" s="67">
        <f t="shared" si="2"/>
        <v>117</v>
      </c>
      <c r="DQ4" s="67">
        <f t="shared" si="2"/>
        <v>118</v>
      </c>
      <c r="DR4" s="67">
        <f t="shared" si="2"/>
        <v>119</v>
      </c>
      <c r="DS4" s="67">
        <f t="shared" si="2"/>
        <v>120</v>
      </c>
      <c r="DT4" s="67">
        <f t="shared" si="2"/>
        <v>121</v>
      </c>
      <c r="DU4" s="67">
        <f t="shared" si="2"/>
        <v>122</v>
      </c>
      <c r="DV4" s="69">
        <f t="shared" si="2"/>
        <v>123</v>
      </c>
      <c r="DW4" s="67">
        <f t="shared" si="2"/>
        <v>124</v>
      </c>
      <c r="DX4" s="67">
        <f t="shared" si="2"/>
        <v>125</v>
      </c>
      <c r="DY4" s="67">
        <f t="shared" si="2"/>
        <v>126</v>
      </c>
      <c r="DZ4" s="67">
        <f t="shared" si="2"/>
        <v>127</v>
      </c>
      <c r="EA4" s="67">
        <f t="shared" si="2"/>
        <v>128</v>
      </c>
      <c r="EB4" s="67">
        <f t="shared" si="2"/>
        <v>129</v>
      </c>
      <c r="EC4" s="67">
        <f t="shared" si="2"/>
        <v>130</v>
      </c>
      <c r="ED4" s="70">
        <f t="shared" si="2"/>
        <v>131</v>
      </c>
      <c r="EE4" s="67">
        <f t="shared" si="2"/>
        <v>132</v>
      </c>
      <c r="EF4" s="67">
        <f t="shared" si="2"/>
        <v>133</v>
      </c>
      <c r="EG4" s="67">
        <f t="shared" si="2"/>
        <v>134</v>
      </c>
      <c r="EH4" s="67">
        <f t="shared" si="2"/>
        <v>135</v>
      </c>
      <c r="EI4" s="67">
        <f t="shared" si="2"/>
        <v>136</v>
      </c>
      <c r="EJ4" s="67">
        <f t="shared" si="2"/>
        <v>137</v>
      </c>
      <c r="EK4" s="67">
        <f t="shared" si="2"/>
        <v>138</v>
      </c>
      <c r="EL4" s="67">
        <f t="shared" si="2"/>
        <v>139</v>
      </c>
      <c r="EM4" s="69">
        <f t="shared" si="2"/>
        <v>140</v>
      </c>
      <c r="EN4" s="67">
        <f t="shared" si="2"/>
        <v>141</v>
      </c>
      <c r="EO4" s="67">
        <f t="shared" si="2"/>
        <v>142</v>
      </c>
      <c r="EP4" s="67">
        <f t="shared" si="2"/>
        <v>143</v>
      </c>
      <c r="EQ4" s="67">
        <f t="shared" si="2"/>
        <v>144</v>
      </c>
      <c r="ER4" s="67">
        <f t="shared" si="2"/>
        <v>145</v>
      </c>
      <c r="ES4" s="67">
        <f t="shared" si="2"/>
        <v>146</v>
      </c>
      <c r="ET4" s="67">
        <f t="shared" si="2"/>
        <v>147</v>
      </c>
      <c r="EU4" s="70">
        <f t="shared" si="2"/>
        <v>148</v>
      </c>
      <c r="EV4" s="67">
        <f t="shared" si="2"/>
        <v>149</v>
      </c>
      <c r="EW4" s="67">
        <f t="shared" si="2"/>
        <v>150</v>
      </c>
      <c r="EX4" s="67">
        <f t="shared" si="2"/>
        <v>151</v>
      </c>
      <c r="EY4" s="67">
        <f t="shared" si="2"/>
        <v>152</v>
      </c>
      <c r="EZ4" s="67">
        <f t="shared" si="2"/>
        <v>153</v>
      </c>
      <c r="FA4" s="67">
        <f t="shared" si="2"/>
        <v>154</v>
      </c>
      <c r="FB4" s="67">
        <f t="shared" si="2"/>
        <v>155</v>
      </c>
      <c r="FC4" s="67">
        <f t="shared" si="2"/>
        <v>156</v>
      </c>
      <c r="FD4" s="69">
        <f t="shared" si="2"/>
        <v>157</v>
      </c>
      <c r="FE4" s="67">
        <f t="shared" si="2"/>
        <v>158</v>
      </c>
      <c r="FF4" s="67">
        <f t="shared" si="2"/>
        <v>159</v>
      </c>
      <c r="FG4" s="67">
        <f t="shared" si="2"/>
        <v>160</v>
      </c>
      <c r="FH4" s="67">
        <f t="shared" si="2"/>
        <v>161</v>
      </c>
      <c r="FI4" s="67">
        <f t="shared" si="2"/>
        <v>162</v>
      </c>
      <c r="FJ4" s="67">
        <f t="shared" si="2"/>
        <v>163</v>
      </c>
      <c r="FK4" s="67">
        <f t="shared" si="2"/>
        <v>164</v>
      </c>
      <c r="FL4" s="70">
        <f t="shared" si="2"/>
        <v>165</v>
      </c>
      <c r="FM4" s="67">
        <f t="shared" si="2"/>
        <v>166</v>
      </c>
      <c r="FN4" s="67">
        <f t="shared" si="2"/>
        <v>167</v>
      </c>
      <c r="FO4" s="67">
        <f t="shared" si="2"/>
        <v>168</v>
      </c>
      <c r="FP4" s="67">
        <f t="shared" si="2"/>
        <v>169</v>
      </c>
      <c r="FQ4" s="67">
        <f t="shared" si="2"/>
        <v>170</v>
      </c>
      <c r="FR4" s="67">
        <f t="shared" si="2"/>
        <v>171</v>
      </c>
      <c r="FS4" s="67">
        <f t="shared" si="2"/>
        <v>172</v>
      </c>
      <c r="FT4" s="67">
        <f t="shared" si="2"/>
        <v>173</v>
      </c>
      <c r="FU4" s="69">
        <f t="shared" si="2"/>
        <v>174</v>
      </c>
      <c r="FV4" s="67">
        <f t="shared" si="2"/>
        <v>175</v>
      </c>
      <c r="FW4" s="67">
        <f t="shared" si="2"/>
        <v>176</v>
      </c>
      <c r="FX4" s="67">
        <f t="shared" si="2"/>
        <v>177</v>
      </c>
      <c r="FY4" s="67">
        <f t="shared" si="2"/>
        <v>178</v>
      </c>
      <c r="FZ4" s="67">
        <f t="shared" si="2"/>
        <v>179</v>
      </c>
      <c r="GA4" s="67">
        <f t="shared" si="2"/>
        <v>180</v>
      </c>
      <c r="GB4" s="67">
        <f t="shared" si="2"/>
        <v>181</v>
      </c>
      <c r="GC4" s="70">
        <f t="shared" si="2"/>
        <v>182</v>
      </c>
      <c r="GD4" s="67">
        <f t="shared" si="2"/>
        <v>183</v>
      </c>
      <c r="GE4" s="67">
        <f t="shared" si="2"/>
        <v>184</v>
      </c>
      <c r="GF4" s="67">
        <f t="shared" si="2"/>
        <v>185</v>
      </c>
      <c r="GG4" s="67">
        <f t="shared" si="2"/>
        <v>186</v>
      </c>
      <c r="GH4" s="67">
        <f t="shared" si="2"/>
        <v>187</v>
      </c>
      <c r="GI4" s="67">
        <f t="shared" si="2"/>
        <v>188</v>
      </c>
      <c r="GJ4" s="67">
        <f t="shared" si="2"/>
        <v>189</v>
      </c>
      <c r="GK4" s="67">
        <f t="shared" si="2"/>
        <v>190</v>
      </c>
      <c r="GL4" s="69">
        <f t="shared" si="2"/>
        <v>191</v>
      </c>
      <c r="GM4" s="67">
        <f t="shared" si="2"/>
        <v>192</v>
      </c>
      <c r="GN4" s="67">
        <f t="shared" si="2"/>
        <v>193</v>
      </c>
      <c r="GO4" s="67">
        <f t="shared" si="2"/>
        <v>194</v>
      </c>
      <c r="GP4" s="67">
        <f t="shared" si="2"/>
        <v>195</v>
      </c>
      <c r="GQ4" s="67">
        <f t="shared" si="2"/>
        <v>196</v>
      </c>
      <c r="GR4" s="67">
        <f t="shared" si="2"/>
        <v>197</v>
      </c>
      <c r="GS4" s="67">
        <f t="shared" si="2"/>
        <v>198</v>
      </c>
      <c r="GT4" s="70">
        <f t="shared" si="2"/>
        <v>199</v>
      </c>
      <c r="GU4" s="67">
        <f t="shared" si="2"/>
        <v>200</v>
      </c>
      <c r="GV4" s="67">
        <f t="shared" si="2"/>
        <v>201</v>
      </c>
      <c r="GW4" s="67">
        <f t="shared" si="2"/>
        <v>202</v>
      </c>
      <c r="GX4" s="67">
        <f t="shared" si="2"/>
        <v>203</v>
      </c>
      <c r="GY4" s="67">
        <f t="shared" si="2"/>
        <v>204</v>
      </c>
      <c r="GZ4" s="67">
        <f t="shared" si="2"/>
        <v>205</v>
      </c>
      <c r="HA4" s="67">
        <f t="shared" si="2"/>
        <v>206</v>
      </c>
      <c r="HB4" s="67">
        <f t="shared" si="2"/>
        <v>207</v>
      </c>
      <c r="HC4" s="67">
        <f t="shared" si="2"/>
        <v>208</v>
      </c>
      <c r="HD4" s="67"/>
      <c r="HE4" s="67"/>
      <c r="HF4" s="67"/>
      <c r="HG4" s="67"/>
      <c r="HH4" s="67"/>
      <c r="HI4" s="67"/>
      <c r="HJ4" s="67"/>
      <c r="HK4" s="67"/>
      <c r="HL4" s="67"/>
      <c r="HM4" s="67"/>
      <c r="HN4" s="67"/>
    </row>
    <row r="5" spans="1:222" ht="22.5" customHeight="1">
      <c r="A5" s="71"/>
      <c r="B5" s="1008" t="s">
        <v>152</v>
      </c>
      <c r="C5" s="1009"/>
      <c r="D5" s="1010"/>
      <c r="E5" s="72" t="s">
        <v>153</v>
      </c>
      <c r="F5" s="73"/>
      <c r="G5" s="1011" t="s">
        <v>154</v>
      </c>
      <c r="H5" s="1004"/>
      <c r="I5" s="1004"/>
      <c r="J5" s="1004"/>
      <c r="K5" s="1004"/>
      <c r="L5" s="1004"/>
      <c r="M5" s="1004"/>
      <c r="N5" s="1004"/>
      <c r="O5" s="1004"/>
      <c r="P5" s="1004"/>
      <c r="Q5" s="1004"/>
      <c r="R5" s="1004"/>
      <c r="S5" s="1004"/>
      <c r="T5" s="1004"/>
      <c r="U5" s="1004"/>
      <c r="V5" s="1004"/>
      <c r="W5" s="1005"/>
      <c r="X5" s="1012" t="str">
        <f>G5</f>
        <v xml:space="preserve"> S E R V I Ç O S     -   REFEITORIO_×_JARDINAGEM</v>
      </c>
      <c r="Y5" s="1004"/>
      <c r="Z5" s="1004"/>
      <c r="AA5" s="1004"/>
      <c r="AB5" s="1004"/>
      <c r="AC5" s="1004"/>
      <c r="AD5" s="1004"/>
      <c r="AE5" s="1004"/>
      <c r="AF5" s="1004"/>
      <c r="AG5" s="1004"/>
      <c r="AH5" s="1004"/>
      <c r="AI5" s="1004"/>
      <c r="AJ5" s="1004"/>
      <c r="AK5" s="1004"/>
      <c r="AL5" s="1004"/>
      <c r="AM5" s="1004"/>
      <c r="AN5" s="1005"/>
      <c r="AO5" s="1013" t="str">
        <f>X5</f>
        <v xml:space="preserve"> S E R V I Ç O S     -   REFEITORIO_×_JARDINAGEM</v>
      </c>
      <c r="AP5" s="1004"/>
      <c r="AQ5" s="1004"/>
      <c r="AR5" s="1004"/>
      <c r="AS5" s="1004"/>
      <c r="AT5" s="1004"/>
      <c r="AU5" s="1004"/>
      <c r="AV5" s="1004"/>
      <c r="AW5" s="1004"/>
      <c r="AX5" s="1004"/>
      <c r="AY5" s="1004"/>
      <c r="AZ5" s="1004"/>
      <c r="BA5" s="1004"/>
      <c r="BB5" s="1004"/>
      <c r="BC5" s="1004"/>
      <c r="BD5" s="1004"/>
      <c r="BE5" s="1005"/>
      <c r="BF5" s="1014" t="str">
        <f>AO5</f>
        <v xml:space="preserve"> S E R V I Ç O S     -   REFEITORIO_×_JARDINAGEM</v>
      </c>
      <c r="BG5" s="1015"/>
      <c r="BH5" s="1015"/>
      <c r="BI5" s="1015"/>
      <c r="BJ5" s="1015"/>
      <c r="BK5" s="1015"/>
      <c r="BL5" s="1015"/>
      <c r="BM5" s="1015"/>
      <c r="BN5" s="1015"/>
      <c r="BO5" s="1015"/>
      <c r="BP5" s="1015"/>
      <c r="BQ5" s="1015"/>
      <c r="BR5" s="1015"/>
      <c r="BS5" s="1015"/>
      <c r="BT5" s="1015"/>
      <c r="BU5" s="1015"/>
      <c r="BV5" s="1016"/>
      <c r="BW5" s="1003" t="str">
        <f>AO5</f>
        <v xml:space="preserve"> S E R V I Ç O S     -   REFEITORIO_×_JARDINAGEM</v>
      </c>
      <c r="BX5" s="1004"/>
      <c r="BY5" s="1004"/>
      <c r="BZ5" s="1004"/>
      <c r="CA5" s="1004"/>
      <c r="CB5" s="1004"/>
      <c r="CC5" s="1004"/>
      <c r="CD5" s="1004"/>
      <c r="CE5" s="1004"/>
      <c r="CF5" s="1004"/>
      <c r="CG5" s="1004"/>
      <c r="CH5" s="1004"/>
      <c r="CI5" s="1004"/>
      <c r="CJ5" s="1004"/>
      <c r="CK5" s="1004"/>
      <c r="CL5" s="1004"/>
      <c r="CM5" s="1005"/>
      <c r="CN5" s="1003" t="str">
        <f>AO5</f>
        <v xml:space="preserve"> S E R V I Ç O S     -   REFEITORIO_×_JARDINAGEM</v>
      </c>
      <c r="CO5" s="1004"/>
      <c r="CP5" s="1004"/>
      <c r="CQ5" s="1004"/>
      <c r="CR5" s="1004"/>
      <c r="CS5" s="1004"/>
      <c r="CT5" s="1004"/>
      <c r="CU5" s="1004"/>
      <c r="CV5" s="1004"/>
      <c r="CW5" s="1004"/>
      <c r="CX5" s="1004"/>
      <c r="CY5" s="1004"/>
      <c r="CZ5" s="1004"/>
      <c r="DA5" s="1004"/>
      <c r="DB5" s="1004"/>
      <c r="DC5" s="1004"/>
      <c r="DD5" s="1005"/>
      <c r="DE5" s="1003" t="str">
        <f>AO5</f>
        <v xml:space="preserve"> S E R V I Ç O S     -   REFEITORIO_×_JARDINAGEM</v>
      </c>
      <c r="DF5" s="1004"/>
      <c r="DG5" s="1004"/>
      <c r="DH5" s="1004"/>
      <c r="DI5" s="1004"/>
      <c r="DJ5" s="1004"/>
      <c r="DK5" s="1004"/>
      <c r="DL5" s="1004"/>
      <c r="DM5" s="1004"/>
      <c r="DN5" s="1004"/>
      <c r="DO5" s="1004"/>
      <c r="DP5" s="1004"/>
      <c r="DQ5" s="1004"/>
      <c r="DR5" s="1004"/>
      <c r="DS5" s="1004"/>
      <c r="DT5" s="1004"/>
      <c r="DU5" s="1005"/>
      <c r="DV5" s="1003" t="str">
        <f>AO5</f>
        <v xml:space="preserve"> S E R V I Ç O S     -   REFEITORIO_×_JARDINAGEM</v>
      </c>
      <c r="DW5" s="1004"/>
      <c r="DX5" s="1004"/>
      <c r="DY5" s="1004"/>
      <c r="DZ5" s="1004"/>
      <c r="EA5" s="1004"/>
      <c r="EB5" s="1004"/>
      <c r="EC5" s="1004"/>
      <c r="ED5" s="1004"/>
      <c r="EE5" s="1004"/>
      <c r="EF5" s="1004"/>
      <c r="EG5" s="1004"/>
      <c r="EH5" s="1004"/>
      <c r="EI5" s="1004"/>
      <c r="EJ5" s="1004"/>
      <c r="EK5" s="1004"/>
      <c r="EL5" s="1005"/>
      <c r="EM5" s="1003" t="str">
        <f>AO5</f>
        <v xml:space="preserve"> S E R V I Ç O S     -   REFEITORIO_×_JARDINAGEM</v>
      </c>
      <c r="EN5" s="1004"/>
      <c r="EO5" s="1004"/>
      <c r="EP5" s="1004"/>
      <c r="EQ5" s="1004"/>
      <c r="ER5" s="1004"/>
      <c r="ES5" s="1004"/>
      <c r="ET5" s="1004"/>
      <c r="EU5" s="1004"/>
      <c r="EV5" s="1004"/>
      <c r="EW5" s="1004"/>
      <c r="EX5" s="1004"/>
      <c r="EY5" s="1004"/>
      <c r="EZ5" s="1004"/>
      <c r="FA5" s="1004"/>
      <c r="FB5" s="1004"/>
      <c r="FC5" s="1005"/>
      <c r="FD5" s="1003" t="str">
        <f>AO5</f>
        <v xml:space="preserve"> S E R V I Ç O S     -   REFEITORIO_×_JARDINAGEM</v>
      </c>
      <c r="FE5" s="1004"/>
      <c r="FF5" s="1004"/>
      <c r="FG5" s="1004"/>
      <c r="FH5" s="1004"/>
      <c r="FI5" s="1004"/>
      <c r="FJ5" s="1004"/>
      <c r="FK5" s="1004"/>
      <c r="FL5" s="1004"/>
      <c r="FM5" s="1004"/>
      <c r="FN5" s="1004"/>
      <c r="FO5" s="1004"/>
      <c r="FP5" s="1004"/>
      <c r="FQ5" s="1004"/>
      <c r="FR5" s="1004"/>
      <c r="FS5" s="1004"/>
      <c r="FT5" s="1005"/>
      <c r="FU5" s="1003" t="str">
        <f>AO5</f>
        <v xml:space="preserve"> S E R V I Ç O S     -   REFEITORIO_×_JARDINAGEM</v>
      </c>
      <c r="FV5" s="1004"/>
      <c r="FW5" s="1004"/>
      <c r="FX5" s="1004"/>
      <c r="FY5" s="1004"/>
      <c r="FZ5" s="1004"/>
      <c r="GA5" s="1004"/>
      <c r="GB5" s="1004"/>
      <c r="GC5" s="1004"/>
      <c r="GD5" s="1004"/>
      <c r="GE5" s="1004"/>
      <c r="GF5" s="1004"/>
      <c r="GG5" s="1004"/>
      <c r="GH5" s="1004"/>
      <c r="GI5" s="1004"/>
      <c r="GJ5" s="1004"/>
      <c r="GK5" s="1005"/>
      <c r="GL5" s="1003" t="str">
        <f>AO5</f>
        <v xml:space="preserve"> S E R V I Ç O S     -   REFEITORIO_×_JARDINAGEM</v>
      </c>
      <c r="GM5" s="1004"/>
      <c r="GN5" s="1004"/>
      <c r="GO5" s="1004"/>
      <c r="GP5" s="1004"/>
      <c r="GQ5" s="1004"/>
      <c r="GR5" s="1004"/>
      <c r="GS5" s="1004"/>
      <c r="GT5" s="1004"/>
      <c r="GU5" s="1004"/>
      <c r="GV5" s="1004"/>
      <c r="GW5" s="1004"/>
      <c r="GX5" s="1004"/>
      <c r="GY5" s="1004"/>
      <c r="GZ5" s="1004"/>
      <c r="HA5" s="1004"/>
      <c r="HB5" s="1005"/>
      <c r="HC5" s="74"/>
      <c r="HD5" s="74"/>
      <c r="HE5" s="74"/>
      <c r="HF5" s="74"/>
      <c r="HG5" s="74"/>
      <c r="HH5" s="74"/>
      <c r="HI5" s="74"/>
      <c r="HJ5" s="74"/>
      <c r="HK5" s="74"/>
      <c r="HL5" s="74"/>
      <c r="HM5" s="74"/>
      <c r="HN5" s="74"/>
    </row>
    <row r="6" spans="1:222" ht="24.75" customHeight="1">
      <c r="A6" s="75"/>
      <c r="B6" s="942" t="s">
        <v>155</v>
      </c>
      <c r="C6" s="942" t="s">
        <v>156</v>
      </c>
      <c r="D6" s="942" t="s">
        <v>157</v>
      </c>
      <c r="E6" s="945" t="s">
        <v>158</v>
      </c>
      <c r="F6" s="946" t="s">
        <v>159</v>
      </c>
      <c r="G6" s="947" t="s">
        <v>160</v>
      </c>
      <c r="H6" s="948"/>
      <c r="I6" s="948"/>
      <c r="J6" s="948"/>
      <c r="K6" s="948"/>
      <c r="L6" s="948"/>
      <c r="M6" s="948"/>
      <c r="N6" s="948"/>
      <c r="O6" s="948"/>
      <c r="P6" s="948"/>
      <c r="Q6" s="948"/>
      <c r="R6" s="948"/>
      <c r="S6" s="948"/>
      <c r="T6" s="948"/>
      <c r="U6" s="948"/>
      <c r="V6" s="948"/>
      <c r="W6" s="949"/>
      <c r="X6" s="950" t="s">
        <v>161</v>
      </c>
      <c r="Y6" s="948"/>
      <c r="Z6" s="948"/>
      <c r="AA6" s="948"/>
      <c r="AB6" s="948"/>
      <c r="AC6" s="948"/>
      <c r="AD6" s="948"/>
      <c r="AE6" s="948"/>
      <c r="AF6" s="948"/>
      <c r="AG6" s="948"/>
      <c r="AH6" s="948"/>
      <c r="AI6" s="948"/>
      <c r="AJ6" s="948"/>
      <c r="AK6" s="948"/>
      <c r="AL6" s="948"/>
      <c r="AM6" s="948"/>
      <c r="AN6" s="949"/>
      <c r="AO6" s="998" t="s">
        <v>162</v>
      </c>
      <c r="AP6" s="948"/>
      <c r="AQ6" s="948"/>
      <c r="AR6" s="948"/>
      <c r="AS6" s="948"/>
      <c r="AT6" s="948"/>
      <c r="AU6" s="948"/>
      <c r="AV6" s="948"/>
      <c r="AW6" s="948"/>
      <c r="AX6" s="948"/>
      <c r="AY6" s="948"/>
      <c r="AZ6" s="948"/>
      <c r="BA6" s="948"/>
      <c r="BB6" s="948"/>
      <c r="BC6" s="948"/>
      <c r="BD6" s="948"/>
      <c r="BE6" s="949"/>
      <c r="BF6" s="950" t="s">
        <v>163</v>
      </c>
      <c r="BG6" s="948"/>
      <c r="BH6" s="948"/>
      <c r="BI6" s="948"/>
      <c r="BJ6" s="948"/>
      <c r="BK6" s="948"/>
      <c r="BL6" s="948"/>
      <c r="BM6" s="948"/>
      <c r="BN6" s="948"/>
      <c r="BO6" s="948"/>
      <c r="BP6" s="948"/>
      <c r="BQ6" s="948"/>
      <c r="BR6" s="948"/>
      <c r="BS6" s="948"/>
      <c r="BT6" s="948"/>
      <c r="BU6" s="948"/>
      <c r="BV6" s="949"/>
      <c r="BW6" s="999" t="s">
        <v>164</v>
      </c>
      <c r="BX6" s="948"/>
      <c r="BY6" s="948"/>
      <c r="BZ6" s="948"/>
      <c r="CA6" s="948"/>
      <c r="CB6" s="948"/>
      <c r="CC6" s="948"/>
      <c r="CD6" s="948"/>
      <c r="CE6" s="948"/>
      <c r="CF6" s="948"/>
      <c r="CG6" s="948"/>
      <c r="CH6" s="948"/>
      <c r="CI6" s="948"/>
      <c r="CJ6" s="948"/>
      <c r="CK6" s="948"/>
      <c r="CL6" s="948"/>
      <c r="CM6" s="949"/>
      <c r="CN6" s="999" t="s">
        <v>165</v>
      </c>
      <c r="CO6" s="948"/>
      <c r="CP6" s="948"/>
      <c r="CQ6" s="948"/>
      <c r="CR6" s="948"/>
      <c r="CS6" s="948"/>
      <c r="CT6" s="948"/>
      <c r="CU6" s="948"/>
      <c r="CV6" s="948"/>
      <c r="CW6" s="948"/>
      <c r="CX6" s="948"/>
      <c r="CY6" s="948"/>
      <c r="CZ6" s="948"/>
      <c r="DA6" s="948"/>
      <c r="DB6" s="948"/>
      <c r="DC6" s="948"/>
      <c r="DD6" s="949"/>
      <c r="DE6" s="999" t="s">
        <v>166</v>
      </c>
      <c r="DF6" s="948"/>
      <c r="DG6" s="948"/>
      <c r="DH6" s="948"/>
      <c r="DI6" s="948"/>
      <c r="DJ6" s="948"/>
      <c r="DK6" s="948"/>
      <c r="DL6" s="948"/>
      <c r="DM6" s="948"/>
      <c r="DN6" s="948"/>
      <c r="DO6" s="948"/>
      <c r="DP6" s="948"/>
      <c r="DQ6" s="948"/>
      <c r="DR6" s="948"/>
      <c r="DS6" s="948"/>
      <c r="DT6" s="948"/>
      <c r="DU6" s="949"/>
      <c r="DV6" s="999" t="s">
        <v>167</v>
      </c>
      <c r="DW6" s="948"/>
      <c r="DX6" s="948"/>
      <c r="DY6" s="948"/>
      <c r="DZ6" s="948"/>
      <c r="EA6" s="948"/>
      <c r="EB6" s="948"/>
      <c r="EC6" s="948"/>
      <c r="ED6" s="948"/>
      <c r="EE6" s="948"/>
      <c r="EF6" s="948"/>
      <c r="EG6" s="948"/>
      <c r="EH6" s="948"/>
      <c r="EI6" s="948"/>
      <c r="EJ6" s="948"/>
      <c r="EK6" s="948"/>
      <c r="EL6" s="949"/>
      <c r="EM6" s="999" t="s">
        <v>168</v>
      </c>
      <c r="EN6" s="948"/>
      <c r="EO6" s="948"/>
      <c r="EP6" s="948"/>
      <c r="EQ6" s="948"/>
      <c r="ER6" s="948"/>
      <c r="ES6" s="948"/>
      <c r="ET6" s="948"/>
      <c r="EU6" s="948"/>
      <c r="EV6" s="948"/>
      <c r="EW6" s="948"/>
      <c r="EX6" s="948"/>
      <c r="EY6" s="948"/>
      <c r="EZ6" s="948"/>
      <c r="FA6" s="948"/>
      <c r="FB6" s="948"/>
      <c r="FC6" s="949"/>
      <c r="FD6" s="1021" t="s">
        <v>169</v>
      </c>
      <c r="FE6" s="948"/>
      <c r="FF6" s="948"/>
      <c r="FG6" s="948"/>
      <c r="FH6" s="948"/>
      <c r="FI6" s="948"/>
      <c r="FJ6" s="948"/>
      <c r="FK6" s="948"/>
      <c r="FL6" s="948"/>
      <c r="FM6" s="948"/>
      <c r="FN6" s="948"/>
      <c r="FO6" s="948"/>
      <c r="FP6" s="948"/>
      <c r="FQ6" s="948"/>
      <c r="FR6" s="948"/>
      <c r="FS6" s="948"/>
      <c r="FT6" s="949"/>
      <c r="FU6" s="1021" t="s">
        <v>170</v>
      </c>
      <c r="FV6" s="948"/>
      <c r="FW6" s="948"/>
      <c r="FX6" s="948"/>
      <c r="FY6" s="948"/>
      <c r="FZ6" s="948"/>
      <c r="GA6" s="948"/>
      <c r="GB6" s="948"/>
      <c r="GC6" s="948"/>
      <c r="GD6" s="948"/>
      <c r="GE6" s="948"/>
      <c r="GF6" s="948"/>
      <c r="GG6" s="948"/>
      <c r="GH6" s="948"/>
      <c r="GI6" s="948"/>
      <c r="GJ6" s="948"/>
      <c r="GK6" s="949"/>
      <c r="GL6" s="1021" t="s">
        <v>171</v>
      </c>
      <c r="GM6" s="948"/>
      <c r="GN6" s="948"/>
      <c r="GO6" s="948"/>
      <c r="GP6" s="948"/>
      <c r="GQ6" s="948"/>
      <c r="GR6" s="948"/>
      <c r="GS6" s="948"/>
      <c r="GT6" s="948"/>
      <c r="GU6" s="948"/>
      <c r="GV6" s="948"/>
      <c r="GW6" s="948"/>
      <c r="GX6" s="948"/>
      <c r="GY6" s="948"/>
      <c r="GZ6" s="948"/>
      <c r="HA6" s="948"/>
      <c r="HB6" s="949"/>
      <c r="HC6" s="76"/>
      <c r="HD6" s="76"/>
      <c r="HE6" s="76"/>
      <c r="HF6" s="76"/>
      <c r="HG6" s="76"/>
      <c r="HH6" s="76"/>
      <c r="HI6" s="76"/>
      <c r="HJ6" s="76"/>
      <c r="HK6" s="76"/>
      <c r="HL6" s="76"/>
      <c r="HM6" s="76"/>
      <c r="HN6" s="76"/>
    </row>
    <row r="7" spans="1:222" ht="97.5" customHeight="1">
      <c r="A7" s="1"/>
      <c r="B7" s="943"/>
      <c r="C7" s="943"/>
      <c r="D7" s="943"/>
      <c r="E7" s="943"/>
      <c r="F7" s="943"/>
      <c r="G7" s="994" t="s">
        <v>172</v>
      </c>
      <c r="H7" s="77" t="s">
        <v>173</v>
      </c>
      <c r="I7" s="997" t="s">
        <v>174</v>
      </c>
      <c r="J7" s="1000" t="s">
        <v>175</v>
      </c>
      <c r="K7" s="976" t="s">
        <v>176</v>
      </c>
      <c r="L7" s="977"/>
      <c r="M7" s="936"/>
      <c r="N7" s="976"/>
      <c r="O7" s="977"/>
      <c r="P7" s="936"/>
      <c r="Q7" s="951" t="s">
        <v>177</v>
      </c>
      <c r="R7" s="951" t="s">
        <v>178</v>
      </c>
      <c r="S7" s="78" t="s">
        <v>179</v>
      </c>
      <c r="T7" s="78" t="s">
        <v>180</v>
      </c>
      <c r="U7" s="79" t="s">
        <v>181</v>
      </c>
      <c r="V7" s="952" t="s">
        <v>182</v>
      </c>
      <c r="W7" s="952" t="s">
        <v>183</v>
      </c>
      <c r="X7" s="987" t="s">
        <v>172</v>
      </c>
      <c r="Y7" s="80" t="s">
        <v>173</v>
      </c>
      <c r="Z7" s="983" t="s">
        <v>174</v>
      </c>
      <c r="AA7" s="984" t="s">
        <v>175</v>
      </c>
      <c r="AB7" s="988" t="s">
        <v>176</v>
      </c>
      <c r="AC7" s="966"/>
      <c r="AD7" s="967"/>
      <c r="AE7" s="988" t="s">
        <v>184</v>
      </c>
      <c r="AF7" s="966"/>
      <c r="AG7" s="967"/>
      <c r="AH7" s="937" t="s">
        <v>177</v>
      </c>
      <c r="AI7" s="989" t="s">
        <v>178</v>
      </c>
      <c r="AJ7" s="81" t="s">
        <v>179</v>
      </c>
      <c r="AK7" s="81" t="s">
        <v>180</v>
      </c>
      <c r="AL7" s="82" t="s">
        <v>181</v>
      </c>
      <c r="AM7" s="937" t="s">
        <v>182</v>
      </c>
      <c r="AN7" s="937" t="s">
        <v>183</v>
      </c>
      <c r="AO7" s="978" t="s">
        <v>172</v>
      </c>
      <c r="AP7" s="83" t="s">
        <v>173</v>
      </c>
      <c r="AQ7" s="979" t="s">
        <v>174</v>
      </c>
      <c r="AR7" s="980" t="s">
        <v>175</v>
      </c>
      <c r="AS7" s="981" t="s">
        <v>176</v>
      </c>
      <c r="AT7" s="966"/>
      <c r="AU7" s="967"/>
      <c r="AV7" s="981" t="s">
        <v>185</v>
      </c>
      <c r="AW7" s="966"/>
      <c r="AX7" s="967"/>
      <c r="AY7" s="982" t="s">
        <v>177</v>
      </c>
      <c r="AZ7" s="980" t="s">
        <v>178</v>
      </c>
      <c r="BA7" s="84" t="s">
        <v>179</v>
      </c>
      <c r="BB7" s="84" t="s">
        <v>180</v>
      </c>
      <c r="BC7" s="83" t="s">
        <v>181</v>
      </c>
      <c r="BD7" s="982" t="s">
        <v>182</v>
      </c>
      <c r="BE7" s="982" t="s">
        <v>183</v>
      </c>
      <c r="BF7" s="987" t="s">
        <v>172</v>
      </c>
      <c r="BG7" s="80" t="s">
        <v>173</v>
      </c>
      <c r="BH7" s="983" t="s">
        <v>174</v>
      </c>
      <c r="BI7" s="989" t="s">
        <v>175</v>
      </c>
      <c r="BJ7" s="988" t="s">
        <v>176</v>
      </c>
      <c r="BK7" s="966"/>
      <c r="BL7" s="967"/>
      <c r="BM7" s="988" t="s">
        <v>184</v>
      </c>
      <c r="BN7" s="966"/>
      <c r="BO7" s="967"/>
      <c r="BP7" s="937" t="s">
        <v>186</v>
      </c>
      <c r="BQ7" s="989" t="s">
        <v>187</v>
      </c>
      <c r="BR7" s="81" t="s">
        <v>179</v>
      </c>
      <c r="BS7" s="81" t="s">
        <v>180</v>
      </c>
      <c r="BT7" s="80" t="s">
        <v>181</v>
      </c>
      <c r="BU7" s="989" t="s">
        <v>180</v>
      </c>
      <c r="BV7" s="1017" t="s">
        <v>188</v>
      </c>
      <c r="BW7" s="969" t="s">
        <v>172</v>
      </c>
      <c r="BX7" s="85" t="s">
        <v>173</v>
      </c>
      <c r="BY7" s="970" t="s">
        <v>174</v>
      </c>
      <c r="BZ7" s="971" t="s">
        <v>175</v>
      </c>
      <c r="CA7" s="972" t="s">
        <v>176</v>
      </c>
      <c r="CB7" s="966"/>
      <c r="CC7" s="967"/>
      <c r="CD7" s="972" t="s">
        <v>184</v>
      </c>
      <c r="CE7" s="966"/>
      <c r="CF7" s="967"/>
      <c r="CG7" s="973" t="s">
        <v>186</v>
      </c>
      <c r="CH7" s="971" t="s">
        <v>187</v>
      </c>
      <c r="CI7" s="86" t="s">
        <v>179</v>
      </c>
      <c r="CJ7" s="86" t="s">
        <v>180</v>
      </c>
      <c r="CK7" s="85" t="s">
        <v>181</v>
      </c>
      <c r="CL7" s="86" t="s">
        <v>189</v>
      </c>
      <c r="CM7" s="973" t="s">
        <v>189</v>
      </c>
      <c r="CN7" s="969" t="s">
        <v>172</v>
      </c>
      <c r="CO7" s="85" t="s">
        <v>173</v>
      </c>
      <c r="CP7" s="970" t="s">
        <v>174</v>
      </c>
      <c r="CQ7" s="971" t="s">
        <v>175</v>
      </c>
      <c r="CR7" s="972" t="s">
        <v>176</v>
      </c>
      <c r="CS7" s="966"/>
      <c r="CT7" s="967"/>
      <c r="CU7" s="972" t="s">
        <v>184</v>
      </c>
      <c r="CV7" s="966"/>
      <c r="CW7" s="967"/>
      <c r="CX7" s="973" t="s">
        <v>186</v>
      </c>
      <c r="CY7" s="971" t="s">
        <v>187</v>
      </c>
      <c r="CZ7" s="86" t="s">
        <v>179</v>
      </c>
      <c r="DA7" s="86" t="s">
        <v>180</v>
      </c>
      <c r="DB7" s="85" t="s">
        <v>181</v>
      </c>
      <c r="DC7" s="86" t="s">
        <v>189</v>
      </c>
      <c r="DD7" s="973" t="s">
        <v>189</v>
      </c>
      <c r="DE7" s="969" t="s">
        <v>172</v>
      </c>
      <c r="DF7" s="85" t="s">
        <v>173</v>
      </c>
      <c r="DG7" s="970" t="s">
        <v>174</v>
      </c>
      <c r="DH7" s="971" t="s">
        <v>175</v>
      </c>
      <c r="DI7" s="972" t="s">
        <v>176</v>
      </c>
      <c r="DJ7" s="966"/>
      <c r="DK7" s="967"/>
      <c r="DL7" s="972" t="s">
        <v>184</v>
      </c>
      <c r="DM7" s="966"/>
      <c r="DN7" s="967"/>
      <c r="DO7" s="973" t="s">
        <v>186</v>
      </c>
      <c r="DP7" s="971" t="s">
        <v>187</v>
      </c>
      <c r="DQ7" s="86" t="s">
        <v>179</v>
      </c>
      <c r="DR7" s="86" t="s">
        <v>180</v>
      </c>
      <c r="DS7" s="85" t="s">
        <v>181</v>
      </c>
      <c r="DT7" s="86" t="s">
        <v>189</v>
      </c>
      <c r="DU7" s="973" t="s">
        <v>189</v>
      </c>
      <c r="DV7" s="969" t="s">
        <v>172</v>
      </c>
      <c r="DW7" s="85" t="s">
        <v>173</v>
      </c>
      <c r="DX7" s="970" t="s">
        <v>174</v>
      </c>
      <c r="DY7" s="971" t="s">
        <v>175</v>
      </c>
      <c r="DZ7" s="972" t="s">
        <v>176</v>
      </c>
      <c r="EA7" s="966"/>
      <c r="EB7" s="967"/>
      <c r="EC7" s="972" t="s">
        <v>184</v>
      </c>
      <c r="ED7" s="966"/>
      <c r="EE7" s="967"/>
      <c r="EF7" s="973" t="s">
        <v>186</v>
      </c>
      <c r="EG7" s="971" t="s">
        <v>187</v>
      </c>
      <c r="EH7" s="86" t="s">
        <v>179</v>
      </c>
      <c r="EI7" s="86" t="s">
        <v>180</v>
      </c>
      <c r="EJ7" s="85" t="s">
        <v>181</v>
      </c>
      <c r="EK7" s="86" t="s">
        <v>189</v>
      </c>
      <c r="EL7" s="973" t="s">
        <v>189</v>
      </c>
      <c r="EM7" s="957" t="s">
        <v>172</v>
      </c>
      <c r="EN7" s="87" t="s">
        <v>173</v>
      </c>
      <c r="EO7" s="960" t="s">
        <v>174</v>
      </c>
      <c r="EP7" s="963" t="s">
        <v>175</v>
      </c>
      <c r="EQ7" s="965" t="s">
        <v>176</v>
      </c>
      <c r="ER7" s="966"/>
      <c r="ES7" s="967"/>
      <c r="ET7" s="965" t="s">
        <v>184</v>
      </c>
      <c r="EU7" s="966"/>
      <c r="EV7" s="967"/>
      <c r="EW7" s="956" t="s">
        <v>186</v>
      </c>
      <c r="EX7" s="963" t="s">
        <v>187</v>
      </c>
      <c r="EY7" s="88" t="s">
        <v>179</v>
      </c>
      <c r="EZ7" s="88" t="s">
        <v>180</v>
      </c>
      <c r="FA7" s="87" t="s">
        <v>181</v>
      </c>
      <c r="FB7" s="88" t="s">
        <v>189</v>
      </c>
      <c r="FC7" s="956" t="s">
        <v>189</v>
      </c>
      <c r="FD7" s="957" t="s">
        <v>172</v>
      </c>
      <c r="FE7" s="87" t="s">
        <v>173</v>
      </c>
      <c r="FF7" s="960" t="s">
        <v>174</v>
      </c>
      <c r="FG7" s="963" t="s">
        <v>175</v>
      </c>
      <c r="FH7" s="965" t="s">
        <v>176</v>
      </c>
      <c r="FI7" s="966"/>
      <c r="FJ7" s="967"/>
      <c r="FK7" s="965" t="s">
        <v>184</v>
      </c>
      <c r="FL7" s="966"/>
      <c r="FM7" s="967"/>
      <c r="FN7" s="956" t="s">
        <v>186</v>
      </c>
      <c r="FO7" s="963" t="s">
        <v>187</v>
      </c>
      <c r="FP7" s="88" t="s">
        <v>179</v>
      </c>
      <c r="FQ7" s="88" t="s">
        <v>180</v>
      </c>
      <c r="FR7" s="87" t="s">
        <v>181</v>
      </c>
      <c r="FS7" s="88" t="s">
        <v>189</v>
      </c>
      <c r="FT7" s="956" t="s">
        <v>189</v>
      </c>
      <c r="FU7" s="957" t="s">
        <v>172</v>
      </c>
      <c r="FV7" s="87" t="s">
        <v>173</v>
      </c>
      <c r="FW7" s="960" t="s">
        <v>174</v>
      </c>
      <c r="FX7" s="963" t="s">
        <v>175</v>
      </c>
      <c r="FY7" s="965" t="s">
        <v>176</v>
      </c>
      <c r="FZ7" s="966"/>
      <c r="GA7" s="967"/>
      <c r="GB7" s="965" t="s">
        <v>184</v>
      </c>
      <c r="GC7" s="966"/>
      <c r="GD7" s="967"/>
      <c r="GE7" s="956" t="s">
        <v>186</v>
      </c>
      <c r="GF7" s="963" t="s">
        <v>187</v>
      </c>
      <c r="GG7" s="88" t="s">
        <v>179</v>
      </c>
      <c r="GH7" s="88" t="s">
        <v>180</v>
      </c>
      <c r="GI7" s="87" t="s">
        <v>181</v>
      </c>
      <c r="GJ7" s="88" t="s">
        <v>189</v>
      </c>
      <c r="GK7" s="956" t="s">
        <v>189</v>
      </c>
      <c r="GL7" s="957" t="s">
        <v>172</v>
      </c>
      <c r="GM7" s="87" t="s">
        <v>173</v>
      </c>
      <c r="GN7" s="960" t="s">
        <v>174</v>
      </c>
      <c r="GO7" s="963" t="s">
        <v>175</v>
      </c>
      <c r="GP7" s="965" t="s">
        <v>176</v>
      </c>
      <c r="GQ7" s="966"/>
      <c r="GR7" s="967"/>
      <c r="GS7" s="965" t="s">
        <v>184</v>
      </c>
      <c r="GT7" s="966"/>
      <c r="GU7" s="967"/>
      <c r="GV7" s="956" t="s">
        <v>190</v>
      </c>
      <c r="GW7" s="956" t="s">
        <v>187</v>
      </c>
      <c r="GX7" s="88" t="s">
        <v>179</v>
      </c>
      <c r="GY7" s="88" t="s">
        <v>180</v>
      </c>
      <c r="GZ7" s="87" t="s">
        <v>181</v>
      </c>
      <c r="HA7" s="88" t="s">
        <v>189</v>
      </c>
      <c r="HB7" s="956" t="s">
        <v>189</v>
      </c>
      <c r="HC7" s="89"/>
      <c r="HD7" s="89"/>
      <c r="HE7" s="89"/>
      <c r="HF7" s="89"/>
      <c r="HG7" s="89"/>
      <c r="HH7" s="89"/>
      <c r="HI7" s="89"/>
      <c r="HJ7" s="89"/>
      <c r="HK7" s="89"/>
      <c r="HL7" s="89"/>
      <c r="HM7" s="89"/>
      <c r="HN7" s="89"/>
    </row>
    <row r="8" spans="1:222" ht="13.5" customHeight="1">
      <c r="A8" s="1"/>
      <c r="B8" s="943"/>
      <c r="C8" s="943"/>
      <c r="D8" s="943"/>
      <c r="E8" s="943"/>
      <c r="F8" s="943"/>
      <c r="G8" s="995"/>
      <c r="H8" s="90" t="s">
        <v>69</v>
      </c>
      <c r="I8" s="961"/>
      <c r="J8" s="985"/>
      <c r="K8" s="91" t="s">
        <v>191</v>
      </c>
      <c r="L8" s="1001" t="s">
        <v>192</v>
      </c>
      <c r="M8" s="1002" t="s">
        <v>193</v>
      </c>
      <c r="N8" s="92" t="s">
        <v>194</v>
      </c>
      <c r="O8" s="1001" t="s">
        <v>195</v>
      </c>
      <c r="P8" s="93" t="s">
        <v>185</v>
      </c>
      <c r="Q8" s="938"/>
      <c r="R8" s="938"/>
      <c r="S8" s="94"/>
      <c r="T8" s="94"/>
      <c r="U8" s="95" t="s">
        <v>69</v>
      </c>
      <c r="V8" s="938"/>
      <c r="W8" s="938"/>
      <c r="X8" s="958"/>
      <c r="Y8" s="96" t="s">
        <v>69</v>
      </c>
      <c r="Z8" s="961"/>
      <c r="AA8" s="985"/>
      <c r="AB8" s="97" t="s">
        <v>191</v>
      </c>
      <c r="AC8" s="991" t="s">
        <v>192</v>
      </c>
      <c r="AD8" s="991" t="s">
        <v>193</v>
      </c>
      <c r="AE8" s="98" t="s">
        <v>194</v>
      </c>
      <c r="AF8" s="991" t="s">
        <v>195</v>
      </c>
      <c r="AG8" s="99" t="s">
        <v>185</v>
      </c>
      <c r="AH8" s="938"/>
      <c r="AI8" s="938"/>
      <c r="AJ8" s="100"/>
      <c r="AK8" s="100"/>
      <c r="AL8" s="101" t="s">
        <v>69</v>
      </c>
      <c r="AM8" s="938"/>
      <c r="AN8" s="938"/>
      <c r="AO8" s="958"/>
      <c r="AP8" s="102" t="s">
        <v>69</v>
      </c>
      <c r="AQ8" s="961"/>
      <c r="AR8" s="938"/>
      <c r="AS8" s="103" t="s">
        <v>191</v>
      </c>
      <c r="AT8" s="993" t="s">
        <v>192</v>
      </c>
      <c r="AU8" s="993" t="s">
        <v>193</v>
      </c>
      <c r="AV8" s="92" t="s">
        <v>194</v>
      </c>
      <c r="AW8" s="993" t="s">
        <v>195</v>
      </c>
      <c r="AX8" s="104" t="s">
        <v>185</v>
      </c>
      <c r="AY8" s="938"/>
      <c r="AZ8" s="938"/>
      <c r="BA8" s="105"/>
      <c r="BB8" s="105"/>
      <c r="BC8" s="102" t="s">
        <v>69</v>
      </c>
      <c r="BD8" s="938"/>
      <c r="BE8" s="938"/>
      <c r="BF8" s="958"/>
      <c r="BG8" s="96" t="s">
        <v>69</v>
      </c>
      <c r="BH8" s="961"/>
      <c r="BI8" s="938"/>
      <c r="BJ8" s="97"/>
      <c r="BK8" s="991" t="s">
        <v>192</v>
      </c>
      <c r="BL8" s="991" t="s">
        <v>193</v>
      </c>
      <c r="BM8" s="98" t="s">
        <v>194</v>
      </c>
      <c r="BN8" s="991" t="s">
        <v>192</v>
      </c>
      <c r="BO8" s="99" t="s">
        <v>185</v>
      </c>
      <c r="BP8" s="938"/>
      <c r="BQ8" s="938"/>
      <c r="BR8" s="100"/>
      <c r="BS8" s="100"/>
      <c r="BT8" s="96" t="s">
        <v>69</v>
      </c>
      <c r="BU8" s="938"/>
      <c r="BV8" s="1018"/>
      <c r="BW8" s="958"/>
      <c r="BX8" s="106" t="s">
        <v>69</v>
      </c>
      <c r="BY8" s="961"/>
      <c r="BZ8" s="938"/>
      <c r="CA8" s="107"/>
      <c r="CB8" s="990" t="s">
        <v>192</v>
      </c>
      <c r="CC8" s="990" t="s">
        <v>193</v>
      </c>
      <c r="CD8" s="108" t="s">
        <v>194</v>
      </c>
      <c r="CE8" s="990" t="s">
        <v>192</v>
      </c>
      <c r="CF8" s="109" t="s">
        <v>185</v>
      </c>
      <c r="CG8" s="938"/>
      <c r="CH8" s="938"/>
      <c r="CI8" s="74"/>
      <c r="CJ8" s="74"/>
      <c r="CK8" s="106" t="s">
        <v>69</v>
      </c>
      <c r="CL8" s="74"/>
      <c r="CM8" s="938"/>
      <c r="CN8" s="958"/>
      <c r="CO8" s="106" t="s">
        <v>69</v>
      </c>
      <c r="CP8" s="961"/>
      <c r="CQ8" s="938"/>
      <c r="CR8" s="107"/>
      <c r="CS8" s="990" t="s">
        <v>192</v>
      </c>
      <c r="CT8" s="990" t="s">
        <v>193</v>
      </c>
      <c r="CU8" s="108" t="s">
        <v>194</v>
      </c>
      <c r="CV8" s="990" t="s">
        <v>192</v>
      </c>
      <c r="CW8" s="109" t="s">
        <v>185</v>
      </c>
      <c r="CX8" s="938"/>
      <c r="CY8" s="938"/>
      <c r="CZ8" s="74"/>
      <c r="DA8" s="74"/>
      <c r="DB8" s="106" t="s">
        <v>69</v>
      </c>
      <c r="DC8" s="74"/>
      <c r="DD8" s="938"/>
      <c r="DE8" s="958"/>
      <c r="DF8" s="106" t="s">
        <v>69</v>
      </c>
      <c r="DG8" s="961"/>
      <c r="DH8" s="938"/>
      <c r="DI8" s="107"/>
      <c r="DJ8" s="990" t="s">
        <v>192</v>
      </c>
      <c r="DK8" s="990" t="s">
        <v>193</v>
      </c>
      <c r="DL8" s="108" t="s">
        <v>194</v>
      </c>
      <c r="DM8" s="990" t="s">
        <v>192</v>
      </c>
      <c r="DN8" s="109" t="s">
        <v>185</v>
      </c>
      <c r="DO8" s="938"/>
      <c r="DP8" s="938"/>
      <c r="DQ8" s="74"/>
      <c r="DR8" s="74"/>
      <c r="DS8" s="106" t="s">
        <v>69</v>
      </c>
      <c r="DT8" s="74"/>
      <c r="DU8" s="938"/>
      <c r="DV8" s="958"/>
      <c r="DW8" s="106" t="s">
        <v>69</v>
      </c>
      <c r="DX8" s="961"/>
      <c r="DY8" s="938"/>
      <c r="DZ8" s="107"/>
      <c r="EA8" s="990" t="s">
        <v>192</v>
      </c>
      <c r="EB8" s="990" t="s">
        <v>193</v>
      </c>
      <c r="EC8" s="108" t="s">
        <v>194</v>
      </c>
      <c r="ED8" s="990" t="s">
        <v>192</v>
      </c>
      <c r="EE8" s="109" t="s">
        <v>185</v>
      </c>
      <c r="EF8" s="938"/>
      <c r="EG8" s="938"/>
      <c r="EH8" s="74"/>
      <c r="EI8" s="74"/>
      <c r="EJ8" s="106" t="s">
        <v>69</v>
      </c>
      <c r="EK8" s="74"/>
      <c r="EL8" s="938"/>
      <c r="EM8" s="958"/>
      <c r="EN8" s="110" t="s">
        <v>69</v>
      </c>
      <c r="EO8" s="961"/>
      <c r="EP8" s="938"/>
      <c r="EQ8" s="111"/>
      <c r="ER8" s="1020" t="s">
        <v>192</v>
      </c>
      <c r="ES8" s="1020" t="s">
        <v>193</v>
      </c>
      <c r="ET8" s="112" t="s">
        <v>194</v>
      </c>
      <c r="EU8" s="1020" t="s">
        <v>192</v>
      </c>
      <c r="EV8" s="113" t="s">
        <v>185</v>
      </c>
      <c r="EW8" s="938"/>
      <c r="EX8" s="938"/>
      <c r="EY8" s="89"/>
      <c r="EZ8" s="89"/>
      <c r="FA8" s="110" t="s">
        <v>69</v>
      </c>
      <c r="FB8" s="89"/>
      <c r="FC8" s="938"/>
      <c r="FD8" s="958"/>
      <c r="FE8" s="110" t="s">
        <v>69</v>
      </c>
      <c r="FF8" s="961"/>
      <c r="FG8" s="938"/>
      <c r="FH8" s="111"/>
      <c r="FI8" s="1020" t="s">
        <v>192</v>
      </c>
      <c r="FJ8" s="1020" t="s">
        <v>193</v>
      </c>
      <c r="FK8" s="112" t="s">
        <v>194</v>
      </c>
      <c r="FL8" s="1020" t="s">
        <v>192</v>
      </c>
      <c r="FM8" s="113" t="s">
        <v>185</v>
      </c>
      <c r="FN8" s="938"/>
      <c r="FO8" s="938"/>
      <c r="FP8" s="89"/>
      <c r="FQ8" s="89"/>
      <c r="FR8" s="110" t="s">
        <v>69</v>
      </c>
      <c r="FS8" s="89"/>
      <c r="FT8" s="938"/>
      <c r="FU8" s="958"/>
      <c r="FV8" s="110" t="s">
        <v>69</v>
      </c>
      <c r="FW8" s="961"/>
      <c r="FX8" s="938"/>
      <c r="FY8" s="111"/>
      <c r="FZ8" s="1020" t="s">
        <v>192</v>
      </c>
      <c r="GA8" s="1020" t="s">
        <v>193</v>
      </c>
      <c r="GB8" s="112" t="s">
        <v>194</v>
      </c>
      <c r="GC8" s="1020" t="s">
        <v>192</v>
      </c>
      <c r="GD8" s="113" t="s">
        <v>185</v>
      </c>
      <c r="GE8" s="938"/>
      <c r="GF8" s="938"/>
      <c r="GG8" s="89"/>
      <c r="GH8" s="89"/>
      <c r="GI8" s="110" t="s">
        <v>69</v>
      </c>
      <c r="GJ8" s="89"/>
      <c r="GK8" s="938"/>
      <c r="GL8" s="958"/>
      <c r="GM8" s="110" t="s">
        <v>69</v>
      </c>
      <c r="GN8" s="961"/>
      <c r="GO8" s="938"/>
      <c r="GP8" s="111"/>
      <c r="GQ8" s="1020" t="s">
        <v>192</v>
      </c>
      <c r="GR8" s="1020" t="s">
        <v>193</v>
      </c>
      <c r="GS8" s="112" t="s">
        <v>194</v>
      </c>
      <c r="GT8" s="1020" t="s">
        <v>192</v>
      </c>
      <c r="GU8" s="113" t="s">
        <v>185</v>
      </c>
      <c r="GV8" s="938"/>
      <c r="GW8" s="938"/>
      <c r="GX8" s="89"/>
      <c r="GY8" s="89"/>
      <c r="GZ8" s="110" t="s">
        <v>69</v>
      </c>
      <c r="HA8" s="89"/>
      <c r="HB8" s="938"/>
      <c r="HC8" s="89"/>
      <c r="HD8" s="89"/>
      <c r="HE8" s="89"/>
      <c r="HF8" s="89"/>
      <c r="HG8" s="89"/>
      <c r="HH8" s="89"/>
      <c r="HI8" s="89"/>
      <c r="HJ8" s="89"/>
      <c r="HK8" s="89"/>
      <c r="HL8" s="89"/>
      <c r="HM8" s="89"/>
      <c r="HN8" s="89"/>
    </row>
    <row r="9" spans="1:222" ht="15.75">
      <c r="A9" s="1"/>
      <c r="B9" s="944"/>
      <c r="C9" s="944"/>
      <c r="D9" s="944"/>
      <c r="E9" s="944"/>
      <c r="F9" s="944"/>
      <c r="G9" s="996"/>
      <c r="H9" s="114" t="s">
        <v>129</v>
      </c>
      <c r="I9" s="962"/>
      <c r="J9" s="992"/>
      <c r="K9" s="115" t="s">
        <v>196</v>
      </c>
      <c r="L9" s="992"/>
      <c r="M9" s="992"/>
      <c r="N9" s="116" t="s">
        <v>197</v>
      </c>
      <c r="O9" s="992"/>
      <c r="P9" s="117" t="s">
        <v>198</v>
      </c>
      <c r="Q9" s="939"/>
      <c r="R9" s="939"/>
      <c r="S9" s="118"/>
      <c r="T9" s="118"/>
      <c r="U9" s="119" t="s">
        <v>129</v>
      </c>
      <c r="V9" s="939"/>
      <c r="W9" s="939"/>
      <c r="X9" s="959"/>
      <c r="Y9" s="120" t="s">
        <v>129</v>
      </c>
      <c r="Z9" s="962"/>
      <c r="AA9" s="986"/>
      <c r="AB9" s="121" t="s">
        <v>196</v>
      </c>
      <c r="AC9" s="986"/>
      <c r="AD9" s="986"/>
      <c r="AE9" s="122" t="s">
        <v>197</v>
      </c>
      <c r="AF9" s="992"/>
      <c r="AG9" s="123" t="s">
        <v>198</v>
      </c>
      <c r="AH9" s="939"/>
      <c r="AI9" s="964"/>
      <c r="AJ9" s="124"/>
      <c r="AK9" s="124"/>
      <c r="AL9" s="125" t="s">
        <v>129</v>
      </c>
      <c r="AM9" s="939"/>
      <c r="AN9" s="939"/>
      <c r="AO9" s="959"/>
      <c r="AP9" s="126" t="s">
        <v>129</v>
      </c>
      <c r="AQ9" s="962"/>
      <c r="AR9" s="964"/>
      <c r="AS9" s="127" t="s">
        <v>196</v>
      </c>
      <c r="AT9" s="986"/>
      <c r="AU9" s="986"/>
      <c r="AV9" s="116" t="s">
        <v>197</v>
      </c>
      <c r="AW9" s="992"/>
      <c r="AX9" s="128" t="s">
        <v>198</v>
      </c>
      <c r="AY9" s="939"/>
      <c r="AZ9" s="964"/>
      <c r="BA9" s="129"/>
      <c r="BB9" s="129"/>
      <c r="BC9" s="130" t="s">
        <v>129</v>
      </c>
      <c r="BD9" s="939"/>
      <c r="BE9" s="939"/>
      <c r="BF9" s="959"/>
      <c r="BG9" s="120" t="s">
        <v>129</v>
      </c>
      <c r="BH9" s="962"/>
      <c r="BI9" s="964"/>
      <c r="BJ9" s="121"/>
      <c r="BK9" s="986"/>
      <c r="BL9" s="986"/>
      <c r="BM9" s="131" t="s">
        <v>197</v>
      </c>
      <c r="BN9" s="986"/>
      <c r="BO9" s="123" t="s">
        <v>198</v>
      </c>
      <c r="BP9" s="939"/>
      <c r="BQ9" s="964"/>
      <c r="BR9" s="124"/>
      <c r="BS9" s="124"/>
      <c r="BT9" s="120" t="s">
        <v>129</v>
      </c>
      <c r="BU9" s="964"/>
      <c r="BV9" s="1019"/>
      <c r="BW9" s="959"/>
      <c r="BX9" s="132" t="s">
        <v>129</v>
      </c>
      <c r="BY9" s="962"/>
      <c r="BZ9" s="964"/>
      <c r="CA9" s="133"/>
      <c r="CB9" s="986"/>
      <c r="CC9" s="986"/>
      <c r="CD9" s="134" t="s">
        <v>197</v>
      </c>
      <c r="CE9" s="986"/>
      <c r="CF9" s="135" t="s">
        <v>198</v>
      </c>
      <c r="CG9" s="939"/>
      <c r="CH9" s="964"/>
      <c r="CI9" s="136"/>
      <c r="CJ9" s="136"/>
      <c r="CK9" s="132" t="s">
        <v>129</v>
      </c>
      <c r="CL9" s="136"/>
      <c r="CM9" s="939"/>
      <c r="CN9" s="959"/>
      <c r="CO9" s="132" t="s">
        <v>129</v>
      </c>
      <c r="CP9" s="962"/>
      <c r="CQ9" s="964"/>
      <c r="CR9" s="133"/>
      <c r="CS9" s="986"/>
      <c r="CT9" s="986"/>
      <c r="CU9" s="134" t="s">
        <v>197</v>
      </c>
      <c r="CV9" s="986"/>
      <c r="CW9" s="135" t="s">
        <v>198</v>
      </c>
      <c r="CX9" s="939"/>
      <c r="CY9" s="964"/>
      <c r="CZ9" s="136"/>
      <c r="DA9" s="136"/>
      <c r="DB9" s="132" t="s">
        <v>129</v>
      </c>
      <c r="DC9" s="136"/>
      <c r="DD9" s="939"/>
      <c r="DE9" s="959"/>
      <c r="DF9" s="132" t="s">
        <v>129</v>
      </c>
      <c r="DG9" s="962"/>
      <c r="DH9" s="964"/>
      <c r="DI9" s="133"/>
      <c r="DJ9" s="986"/>
      <c r="DK9" s="986"/>
      <c r="DL9" s="134" t="s">
        <v>197</v>
      </c>
      <c r="DM9" s="986"/>
      <c r="DN9" s="135" t="s">
        <v>198</v>
      </c>
      <c r="DO9" s="939"/>
      <c r="DP9" s="964"/>
      <c r="DQ9" s="136"/>
      <c r="DR9" s="136"/>
      <c r="DS9" s="132" t="s">
        <v>129</v>
      </c>
      <c r="DT9" s="136"/>
      <c r="DU9" s="939"/>
      <c r="DV9" s="959"/>
      <c r="DW9" s="132" t="s">
        <v>129</v>
      </c>
      <c r="DX9" s="962"/>
      <c r="DY9" s="964"/>
      <c r="DZ9" s="133"/>
      <c r="EA9" s="986"/>
      <c r="EB9" s="986"/>
      <c r="EC9" s="134" t="s">
        <v>197</v>
      </c>
      <c r="ED9" s="986"/>
      <c r="EE9" s="135" t="s">
        <v>198</v>
      </c>
      <c r="EF9" s="939"/>
      <c r="EG9" s="964"/>
      <c r="EH9" s="136"/>
      <c r="EI9" s="136"/>
      <c r="EJ9" s="132" t="s">
        <v>129</v>
      </c>
      <c r="EK9" s="136"/>
      <c r="EL9" s="939"/>
      <c r="EM9" s="959"/>
      <c r="EN9" s="137" t="s">
        <v>129</v>
      </c>
      <c r="EO9" s="962"/>
      <c r="EP9" s="964"/>
      <c r="EQ9" s="138"/>
      <c r="ER9" s="986"/>
      <c r="ES9" s="986"/>
      <c r="ET9" s="139" t="s">
        <v>197</v>
      </c>
      <c r="EU9" s="986"/>
      <c r="EV9" s="140" t="s">
        <v>198</v>
      </c>
      <c r="EW9" s="939"/>
      <c r="EX9" s="964"/>
      <c r="EY9" s="141"/>
      <c r="EZ9" s="141"/>
      <c r="FA9" s="137" t="s">
        <v>129</v>
      </c>
      <c r="FB9" s="141"/>
      <c r="FC9" s="939"/>
      <c r="FD9" s="959"/>
      <c r="FE9" s="137" t="s">
        <v>129</v>
      </c>
      <c r="FF9" s="962"/>
      <c r="FG9" s="964"/>
      <c r="FH9" s="138"/>
      <c r="FI9" s="986"/>
      <c r="FJ9" s="986"/>
      <c r="FK9" s="139" t="s">
        <v>197</v>
      </c>
      <c r="FL9" s="986"/>
      <c r="FM9" s="140" t="s">
        <v>198</v>
      </c>
      <c r="FN9" s="939"/>
      <c r="FO9" s="964"/>
      <c r="FP9" s="141"/>
      <c r="FQ9" s="141"/>
      <c r="FR9" s="137" t="s">
        <v>129</v>
      </c>
      <c r="FS9" s="141"/>
      <c r="FT9" s="939"/>
      <c r="FU9" s="959"/>
      <c r="FV9" s="137" t="s">
        <v>129</v>
      </c>
      <c r="FW9" s="962"/>
      <c r="FX9" s="964"/>
      <c r="FY9" s="138"/>
      <c r="FZ9" s="986"/>
      <c r="GA9" s="986"/>
      <c r="GB9" s="139" t="s">
        <v>197</v>
      </c>
      <c r="GC9" s="986"/>
      <c r="GD9" s="140" t="s">
        <v>198</v>
      </c>
      <c r="GE9" s="939"/>
      <c r="GF9" s="964"/>
      <c r="GG9" s="141"/>
      <c r="GH9" s="141"/>
      <c r="GI9" s="137" t="s">
        <v>129</v>
      </c>
      <c r="GJ9" s="141"/>
      <c r="GK9" s="939"/>
      <c r="GL9" s="959"/>
      <c r="GM9" s="137" t="s">
        <v>129</v>
      </c>
      <c r="GN9" s="962"/>
      <c r="GO9" s="964"/>
      <c r="GP9" s="138"/>
      <c r="GQ9" s="986"/>
      <c r="GR9" s="986"/>
      <c r="GS9" s="139" t="s">
        <v>197</v>
      </c>
      <c r="GT9" s="986"/>
      <c r="GU9" s="140" t="s">
        <v>198</v>
      </c>
      <c r="GV9" s="939"/>
      <c r="GW9" s="939"/>
      <c r="GX9" s="141"/>
      <c r="GY9" s="141"/>
      <c r="GZ9" s="137" t="s">
        <v>129</v>
      </c>
      <c r="HA9" s="141"/>
      <c r="HB9" s="939"/>
      <c r="HC9" s="89"/>
      <c r="HD9" s="89"/>
      <c r="HE9" s="89"/>
      <c r="HF9" s="89"/>
      <c r="HG9" s="89"/>
      <c r="HH9" s="89"/>
      <c r="HI9" s="89"/>
      <c r="HJ9" s="89"/>
      <c r="HK9" s="89"/>
      <c r="HL9" s="89"/>
      <c r="HM9" s="89"/>
      <c r="HN9" s="89"/>
    </row>
    <row r="10" spans="1:222" ht="22.5" customHeight="1">
      <c r="A10" s="142"/>
      <c r="B10" s="143">
        <v>158267</v>
      </c>
      <c r="C10" s="143" t="s">
        <v>199</v>
      </c>
      <c r="D10" s="144" t="s">
        <v>33</v>
      </c>
      <c r="E10" s="145">
        <v>4.25</v>
      </c>
      <c r="F10" s="146">
        <v>3</v>
      </c>
      <c r="G10" s="147">
        <v>0</v>
      </c>
      <c r="H10" s="148" t="s">
        <v>129</v>
      </c>
      <c r="I10" s="149" t="s">
        <v>131</v>
      </c>
      <c r="J10" s="150">
        <v>1502.5</v>
      </c>
      <c r="K10" s="151">
        <v>0.2</v>
      </c>
      <c r="L10" s="935" t="s">
        <v>200</v>
      </c>
      <c r="M10" s="936"/>
      <c r="N10" s="151">
        <v>0.2</v>
      </c>
      <c r="O10" s="152" t="s">
        <v>201</v>
      </c>
      <c r="P10" s="153">
        <v>40</v>
      </c>
      <c r="Q10" s="154">
        <f>IFERROR((52/(IF(H10="S",G10+(IF(Y10="S",X10,0))+(IF(AP10="S",AO10,0)),0)))/12,0)</f>
        <v>0</v>
      </c>
      <c r="R10" s="154">
        <f>IFERROR(((52+12)/(IF(H10="S",G10+(IF(Y10="S",X10,0))+(IF(AP10="S",AO10,0)),0)))/12,0)</f>
        <v>0</v>
      </c>
      <c r="S10" s="155">
        <v>22</v>
      </c>
      <c r="T10" s="155">
        <v>22</v>
      </c>
      <c r="U10" s="156" t="s">
        <v>69</v>
      </c>
      <c r="V10" s="157">
        <v>0</v>
      </c>
      <c r="W10" s="158">
        <v>0</v>
      </c>
      <c r="X10" s="159">
        <v>0</v>
      </c>
      <c r="Y10" s="160" t="s">
        <v>129</v>
      </c>
      <c r="Z10" s="161" t="s">
        <v>131</v>
      </c>
      <c r="AA10" s="162">
        <v>1502.5</v>
      </c>
      <c r="AB10" s="163">
        <v>0.25</v>
      </c>
      <c r="AC10" s="954" t="s">
        <v>202</v>
      </c>
      <c r="AD10" s="936"/>
      <c r="AE10" s="164">
        <v>0.2</v>
      </c>
      <c r="AF10" s="165" t="s">
        <v>201</v>
      </c>
      <c r="AG10" s="166">
        <v>40</v>
      </c>
      <c r="AH10" s="167">
        <f>IFERROR((52/(IF(Y10="S",X10+(IF(H10="S",G10,0))+(IF(AP10="S",AO10,0)),0)))/12,0)</f>
        <v>0</v>
      </c>
      <c r="AI10" s="167">
        <f>IFERROR(((52+12)/(IF(Y10="S",X10+(IF(H10="S",G10,0))+(IF(AP10="S",AO10,0)),0)))/12,0)</f>
        <v>0</v>
      </c>
      <c r="AJ10" s="161">
        <v>22</v>
      </c>
      <c r="AK10" s="161">
        <v>22</v>
      </c>
      <c r="AL10" s="161" t="s">
        <v>69</v>
      </c>
      <c r="AM10" s="161">
        <v>0</v>
      </c>
      <c r="AN10" s="161">
        <v>0</v>
      </c>
      <c r="AO10" s="168">
        <v>0</v>
      </c>
      <c r="AP10" s="169" t="s">
        <v>129</v>
      </c>
      <c r="AQ10" s="149" t="s">
        <v>131</v>
      </c>
      <c r="AR10" s="150">
        <v>1431.04</v>
      </c>
      <c r="AS10" s="170">
        <v>0.25</v>
      </c>
      <c r="AT10" s="935" t="s">
        <v>202</v>
      </c>
      <c r="AU10" s="936"/>
      <c r="AV10" s="151">
        <v>0.2</v>
      </c>
      <c r="AW10" s="152" t="s">
        <v>201</v>
      </c>
      <c r="AX10" s="171">
        <v>40</v>
      </c>
      <c r="AY10" s="172">
        <f>IFERROR((52/(IF(AP10="S",AO10+(IF(H10="S",G10,0))+(IF(Y10="S",X10,0)),0)))/12,0)</f>
        <v>0</v>
      </c>
      <c r="AZ10" s="172">
        <f>IFERROR(((52+12)/(IF(AP10="S",AO10+(IF(H10="S",G10,0))+(IF(Y10="S",X10,0)),0)))/12,0)</f>
        <v>0</v>
      </c>
      <c r="BA10" s="149">
        <v>22</v>
      </c>
      <c r="BB10" s="149">
        <v>22</v>
      </c>
      <c r="BC10" s="149" t="s">
        <v>129</v>
      </c>
      <c r="BD10" s="173">
        <v>0</v>
      </c>
      <c r="BE10" s="173">
        <v>0</v>
      </c>
      <c r="BF10" s="174">
        <v>0</v>
      </c>
      <c r="BG10" s="160" t="s">
        <v>129</v>
      </c>
      <c r="BH10" s="161" t="s">
        <v>131</v>
      </c>
      <c r="BI10" s="162">
        <v>1431.04</v>
      </c>
      <c r="BJ10" s="163">
        <v>0.25</v>
      </c>
      <c r="BK10" s="975" t="s">
        <v>202</v>
      </c>
      <c r="BL10" s="936"/>
      <c r="BM10" s="164">
        <v>0.2</v>
      </c>
      <c r="BN10" s="165" t="s">
        <v>201</v>
      </c>
      <c r="BO10" s="166">
        <v>44</v>
      </c>
      <c r="BP10" s="167">
        <f t="shared" ref="BP10:BP21" si="3">IFERROR((52/(IF(BG10="S",BF10+(IF(Y10="S",X10,0))+(IF(AS10="S",AR10,0)),0)))/12,0)</f>
        <v>0</v>
      </c>
      <c r="BQ10" s="167">
        <f t="shared" ref="BQ10:BQ12" si="4">IFERROR(((52+12)/(IF(BG10="S",BF10+(IF(Y10="S",X10,0))+(IF(AS10="S",AR10,0)),0)))/12,0)</f>
        <v>0</v>
      </c>
      <c r="BR10" s="161">
        <v>22</v>
      </c>
      <c r="BS10" s="161">
        <v>22</v>
      </c>
      <c r="BT10" s="161" t="s">
        <v>69</v>
      </c>
      <c r="BU10" s="161"/>
      <c r="BV10" s="175"/>
      <c r="BW10" s="176">
        <v>0</v>
      </c>
      <c r="BX10" s="177" t="s">
        <v>69</v>
      </c>
      <c r="BY10" s="178" t="s">
        <v>28</v>
      </c>
      <c r="BZ10" s="179">
        <v>2461.8000000000002</v>
      </c>
      <c r="CA10" s="180">
        <v>0.25</v>
      </c>
      <c r="CB10" s="974" t="s">
        <v>202</v>
      </c>
      <c r="CC10" s="936"/>
      <c r="CD10" s="180">
        <v>0.2</v>
      </c>
      <c r="CE10" s="181" t="s">
        <v>203</v>
      </c>
      <c r="CF10" s="182">
        <v>44</v>
      </c>
      <c r="CG10" s="183">
        <f t="shared" ref="CG10:CG21" si="5">IFERROR((52/(IF(BX10="S",BW10+(IF(Y10="S",X10,0))+(IF(AS10="S",AR10,0)),0)))/12,0)</f>
        <v>0</v>
      </c>
      <c r="CH10" s="183">
        <f>IFERROR(((52+12)/(IF(BG10="S",BF10+(IF(Y10="S",X10,0))+(IF(AS10="S",AR10,0)),0)))/12,0)</f>
        <v>0</v>
      </c>
      <c r="CI10" s="178">
        <v>22</v>
      </c>
      <c r="CJ10" s="178">
        <v>22</v>
      </c>
      <c r="CK10" s="178" t="s">
        <v>69</v>
      </c>
      <c r="CL10" s="178"/>
      <c r="CM10" s="178"/>
      <c r="CN10" s="176">
        <v>0</v>
      </c>
      <c r="CO10" s="177" t="s">
        <v>69</v>
      </c>
      <c r="CP10" s="178" t="s">
        <v>28</v>
      </c>
      <c r="CQ10" s="179">
        <v>1396.01</v>
      </c>
      <c r="CR10" s="180">
        <v>0.3</v>
      </c>
      <c r="CS10" s="974" t="s">
        <v>202</v>
      </c>
      <c r="CT10" s="936"/>
      <c r="CU10" s="180">
        <v>0.2</v>
      </c>
      <c r="CV10" s="181" t="s">
        <v>201</v>
      </c>
      <c r="CW10" s="182">
        <v>44</v>
      </c>
      <c r="CX10" s="183">
        <f t="shared" ref="CX10:CX21" si="6">IFERROR((52/(IF(CO10="S",CN10+(IF(Y10="S",X10,0))+(IF(AS10="S",AR10,0)),0)))/12,0)</f>
        <v>0</v>
      </c>
      <c r="CY10" s="183">
        <f>IFERROR(((52+12)/(IF(BG10="S",BF10+(IF(Y10="S",X10,0))+(IF(AS10="S",AR10,0)),0)))/12,0)</f>
        <v>0</v>
      </c>
      <c r="CZ10" s="178">
        <v>22</v>
      </c>
      <c r="DA10" s="178">
        <v>22</v>
      </c>
      <c r="DB10" s="178" t="s">
        <v>69</v>
      </c>
      <c r="DC10" s="178"/>
      <c r="DD10" s="178"/>
      <c r="DE10" s="176">
        <v>0</v>
      </c>
      <c r="DF10" s="177" t="s">
        <v>69</v>
      </c>
      <c r="DG10" s="178" t="s">
        <v>28</v>
      </c>
      <c r="DH10" s="179">
        <v>1396.01</v>
      </c>
      <c r="DI10" s="184">
        <v>0.25</v>
      </c>
      <c r="DJ10" s="968" t="s">
        <v>202</v>
      </c>
      <c r="DK10" s="936"/>
      <c r="DL10" s="184">
        <v>0.2</v>
      </c>
      <c r="DM10" s="181" t="s">
        <v>201</v>
      </c>
      <c r="DN10" s="185">
        <v>44</v>
      </c>
      <c r="DO10" s="186">
        <f t="shared" ref="DO10:DO21" si="7">IFERROR((52/(IF(DF10="S",DE10+(IF(Y10="S",X10,0))+(IF(AS10="S",AR10,0)),0)))/12,0)</f>
        <v>0</v>
      </c>
      <c r="DP10" s="186">
        <f>IFERROR(((52+12)/(IF(BG10="S",BF10+(IF(Y10="S",X10,0))+(IF(AS10="S",AR10,0)),0)))/12,0)</f>
        <v>0</v>
      </c>
      <c r="DQ10" s="187">
        <v>22</v>
      </c>
      <c r="DR10" s="178">
        <v>22</v>
      </c>
      <c r="DS10" s="187" t="s">
        <v>69</v>
      </c>
      <c r="DT10" s="187"/>
      <c r="DU10" s="187"/>
      <c r="DV10" s="188">
        <v>0</v>
      </c>
      <c r="DW10" s="189" t="s">
        <v>129</v>
      </c>
      <c r="DX10" s="178" t="s">
        <v>19</v>
      </c>
      <c r="DY10" s="190">
        <v>4128.0200000000004</v>
      </c>
      <c r="DZ10" s="184">
        <v>0.25</v>
      </c>
      <c r="EA10" s="968" t="s">
        <v>202</v>
      </c>
      <c r="EB10" s="936"/>
      <c r="EC10" s="184">
        <v>0.2</v>
      </c>
      <c r="ED10" s="191" t="s">
        <v>204</v>
      </c>
      <c r="EE10" s="185">
        <v>44</v>
      </c>
      <c r="EF10" s="186">
        <f t="shared" ref="EF10:EF21" si="8">IFERROR((52/(IF(DW10="S",DV10+(IF(Y10="S",X10,0))+(IF(AS10="S",AR10,0)),0)))/12,0)</f>
        <v>0</v>
      </c>
      <c r="EG10" s="186">
        <f>IFERROR(((52+12)/(IF(BG10="S",BF10+(IF(Y10="S",X10,0))+(IF(AS10="S",AR10,0)),0)))/12,0)</f>
        <v>0</v>
      </c>
      <c r="EH10" s="187">
        <v>22</v>
      </c>
      <c r="EI10" s="187">
        <v>22</v>
      </c>
      <c r="EJ10" s="187" t="s">
        <v>69</v>
      </c>
      <c r="EK10" s="187"/>
      <c r="EL10" s="187"/>
      <c r="EM10" s="192">
        <v>0</v>
      </c>
      <c r="EN10" s="193" t="s">
        <v>129</v>
      </c>
      <c r="EO10" s="194" t="s">
        <v>19</v>
      </c>
      <c r="EP10" s="195">
        <v>4128.0200000000004</v>
      </c>
      <c r="EQ10" s="196">
        <v>0.25</v>
      </c>
      <c r="ER10" s="955" t="s">
        <v>202</v>
      </c>
      <c r="ES10" s="936"/>
      <c r="ET10" s="196">
        <v>0.2</v>
      </c>
      <c r="EU10" s="197" t="s">
        <v>204</v>
      </c>
      <c r="EV10" s="198">
        <v>44</v>
      </c>
      <c r="EW10" s="199">
        <f t="shared" ref="EW10:EW21" si="9">IFERROR((52/(IF(EN10="S",EM10+(IF(Y10="S",X10,0))+(IF(AS10="S",AR10,0)),0)))/12,0)</f>
        <v>0</v>
      </c>
      <c r="EX10" s="199">
        <f>IFERROR(((52+12)/(IF(BG10="S",BF10+(IF(Y10="S",X10,0))+(IF(AS10="S",AR10,0)),0)))/12,0)</f>
        <v>0</v>
      </c>
      <c r="EY10" s="200">
        <v>22</v>
      </c>
      <c r="EZ10" s="200">
        <v>22</v>
      </c>
      <c r="FA10" s="200" t="s">
        <v>69</v>
      </c>
      <c r="FB10" s="200"/>
      <c r="FC10" s="200"/>
      <c r="FD10" s="192">
        <v>0</v>
      </c>
      <c r="FE10" s="193" t="s">
        <v>129</v>
      </c>
      <c r="FF10" s="194" t="s">
        <v>19</v>
      </c>
      <c r="FG10" s="195">
        <v>1741.45</v>
      </c>
      <c r="FH10" s="196">
        <v>0.25</v>
      </c>
      <c r="FI10" s="955" t="s">
        <v>202</v>
      </c>
      <c r="FJ10" s="936"/>
      <c r="FK10" s="196">
        <v>0.2</v>
      </c>
      <c r="FL10" s="197" t="s">
        <v>205</v>
      </c>
      <c r="FM10" s="198">
        <v>44</v>
      </c>
      <c r="FN10" s="199">
        <f t="shared" ref="FN10:FN21" si="10">IFERROR((52/(IF(FE10="S",FD10+(IF(Y10="S",X10,0))+(IF(AS10="S",AR10,0)),0)))/12,0)</f>
        <v>0</v>
      </c>
      <c r="FO10" s="199">
        <f>IFERROR(((52+12)/(IF(BG10="S",BF10+(IF(Y10="S",X10,0))+(IF(AS10="S",AR10,0)),0)))/12,0)</f>
        <v>0</v>
      </c>
      <c r="FP10" s="200">
        <v>9</v>
      </c>
      <c r="FQ10" s="200"/>
      <c r="FR10" s="200" t="s">
        <v>69</v>
      </c>
      <c r="FS10" s="200"/>
      <c r="FT10" s="200"/>
      <c r="FU10" s="192">
        <v>0</v>
      </c>
      <c r="FV10" s="193" t="s">
        <v>129</v>
      </c>
      <c r="FW10" s="194" t="s">
        <v>19</v>
      </c>
      <c r="FX10" s="195">
        <v>0</v>
      </c>
      <c r="FY10" s="196">
        <v>0.25</v>
      </c>
      <c r="FZ10" s="955" t="s">
        <v>202</v>
      </c>
      <c r="GA10" s="936"/>
      <c r="GB10" s="196">
        <v>0.2</v>
      </c>
      <c r="GC10" s="197" t="s">
        <v>204</v>
      </c>
      <c r="GD10" s="198">
        <v>44</v>
      </c>
      <c r="GE10" s="199">
        <f t="shared" ref="GE10:GE21" si="11">IFERROR((52/(IF(FV10="S",FU10+(IF(Y10="S",X10,0))+(IF(AS10="S",AR10,0)),0)))/12,0)</f>
        <v>0</v>
      </c>
      <c r="GF10" s="199">
        <f>IFERROR(((52+12)/(IF(BG10="S",BF10+(IF(Y10="S",X10,0))+(IF(AS10="S",AR10,0)),0)))/12,0)</f>
        <v>0</v>
      </c>
      <c r="GG10" s="200">
        <v>0</v>
      </c>
      <c r="GH10" s="200"/>
      <c r="GI10" s="200" t="s">
        <v>69</v>
      </c>
      <c r="GJ10" s="200"/>
      <c r="GK10" s="200"/>
      <c r="GL10" s="192">
        <v>0</v>
      </c>
      <c r="GM10" s="193" t="s">
        <v>129</v>
      </c>
      <c r="GN10" s="194" t="s">
        <v>19</v>
      </c>
      <c r="GO10" s="195">
        <v>0</v>
      </c>
      <c r="GP10" s="196">
        <v>0.25</v>
      </c>
      <c r="GQ10" s="955" t="s">
        <v>202</v>
      </c>
      <c r="GR10" s="936"/>
      <c r="GS10" s="196">
        <v>0.2</v>
      </c>
      <c r="GT10" s="197" t="s">
        <v>204</v>
      </c>
      <c r="GU10" s="198">
        <v>44</v>
      </c>
      <c r="GV10" s="199" t="e">
        <f>IFERROR((52/(IF(GM10="S",GL10+(IF(Y10="S",X10,0))+(IF(AS10="S",AR10,0)),0)))/12,0)*#REF!</f>
        <v>#REF!</v>
      </c>
      <c r="GW10" s="199">
        <f t="shared" ref="GW10:GW12" si="12">IFERROR(((52+12)/(IF(GM10="S",GL10+(IF(Y10="S",X10,0))+(IF(AS10="S",AR10,0)),0)))/12,0)</f>
        <v>0</v>
      </c>
      <c r="GX10" s="200">
        <v>0</v>
      </c>
      <c r="GY10" s="200"/>
      <c r="GZ10" s="200" t="s">
        <v>69</v>
      </c>
      <c r="HA10" s="200"/>
      <c r="HB10" s="200"/>
      <c r="HC10" s="201">
        <f t="shared" ref="HC10:HC21" si="13">G10+X10+AO10+BF10+BW10+CN10+DE10</f>
        <v>0</v>
      </c>
      <c r="HD10" s="202"/>
      <c r="HE10" s="202"/>
      <c r="HF10" s="202"/>
      <c r="HG10" s="202"/>
      <c r="HH10" s="202"/>
      <c r="HI10" s="202"/>
      <c r="HJ10" s="202"/>
      <c r="HK10" s="202"/>
      <c r="HL10" s="202"/>
      <c r="HM10" s="202"/>
      <c r="HN10" s="203">
        <f t="shared" ref="HN10:HN22" si="14">G10+X10+AO10+BF10+BW10+CN10+DE10+DV10+EM10+FD10+FU10+GL10</f>
        <v>0</v>
      </c>
    </row>
    <row r="11" spans="1:222" ht="22.5" customHeight="1">
      <c r="A11" s="1"/>
      <c r="B11" s="204">
        <v>155570</v>
      </c>
      <c r="C11" s="204" t="s">
        <v>206</v>
      </c>
      <c r="D11" s="205" t="s">
        <v>39</v>
      </c>
      <c r="E11" s="206">
        <v>3.34</v>
      </c>
      <c r="F11" s="207">
        <v>3</v>
      </c>
      <c r="G11" s="208">
        <v>0</v>
      </c>
      <c r="H11" s="209" t="s">
        <v>129</v>
      </c>
      <c r="I11" s="210" t="s">
        <v>131</v>
      </c>
      <c r="J11" s="211">
        <v>1502.5</v>
      </c>
      <c r="K11" s="212">
        <v>0.2</v>
      </c>
      <c r="L11" s="940" t="s">
        <v>200</v>
      </c>
      <c r="M11" s="936"/>
      <c r="N11" s="212">
        <v>0.2</v>
      </c>
      <c r="O11" s="152" t="s">
        <v>201</v>
      </c>
      <c r="P11" s="213">
        <v>40</v>
      </c>
      <c r="Q11" s="214">
        <f>IFERROR((52/(IF(H11="S",G11+(IF(Y11="S",X11,0))+(IF(AP11="S",AO11,0)),0)))/12,0)*0</f>
        <v>0</v>
      </c>
      <c r="R11" s="214">
        <f>IFERROR(((12)/(IF(H11="S",G11+(IF(Y11="S",X11,0))+(IF(AP11="S",AO11,0)),0)))/12,0)</f>
        <v>0</v>
      </c>
      <c r="S11" s="215">
        <v>22</v>
      </c>
      <c r="T11" s="215">
        <v>22</v>
      </c>
      <c r="U11" s="210" t="s">
        <v>69</v>
      </c>
      <c r="V11" s="216">
        <v>0</v>
      </c>
      <c r="W11" s="217">
        <v>0</v>
      </c>
      <c r="X11" s="218">
        <v>0</v>
      </c>
      <c r="Y11" s="219" t="s">
        <v>129</v>
      </c>
      <c r="Z11" s="220" t="s">
        <v>131</v>
      </c>
      <c r="AA11" s="221">
        <v>1502.5</v>
      </c>
      <c r="AB11" s="222">
        <v>0.25</v>
      </c>
      <c r="AC11" s="954" t="s">
        <v>202</v>
      </c>
      <c r="AD11" s="936"/>
      <c r="AE11" s="223">
        <v>0.2</v>
      </c>
      <c r="AF11" s="165" t="s">
        <v>201</v>
      </c>
      <c r="AG11" s="166">
        <v>40</v>
      </c>
      <c r="AH11" s="167">
        <f>IFERROR((52/(IF(Y11="S",X11+(IF(H11="S",G11,0))+(IF(AP11="S",AO11,0)),0)))/12,0)*0</f>
        <v>0</v>
      </c>
      <c r="AI11" s="167">
        <f>IFERROR(((12)/(IF(Y11="S",X11+(IF(H11="S",G11,0))+(IF(AP11="S",AO11,0)),0)))/12,0)</f>
        <v>0</v>
      </c>
      <c r="AJ11" s="224">
        <v>22</v>
      </c>
      <c r="AK11" s="224">
        <v>22</v>
      </c>
      <c r="AL11" s="161" t="s">
        <v>69</v>
      </c>
      <c r="AM11" s="224">
        <v>0</v>
      </c>
      <c r="AN11" s="224">
        <v>0</v>
      </c>
      <c r="AO11" s="225">
        <v>0</v>
      </c>
      <c r="AP11" s="226" t="s">
        <v>129</v>
      </c>
      <c r="AQ11" s="210" t="s">
        <v>131</v>
      </c>
      <c r="AR11" s="211">
        <v>1431.04</v>
      </c>
      <c r="AS11" s="227">
        <v>0.25</v>
      </c>
      <c r="AT11" s="935" t="s">
        <v>202</v>
      </c>
      <c r="AU11" s="936"/>
      <c r="AV11" s="212">
        <v>0.2</v>
      </c>
      <c r="AW11" s="152" t="s">
        <v>201</v>
      </c>
      <c r="AX11" s="171">
        <v>40</v>
      </c>
      <c r="AY11" s="172">
        <f>IFERROR((52/(IF(AP11="S",AO11+(IF(H11="S",G11,0))+(IF(Y11="S",X11,0)),0)))/12,0)*0</f>
        <v>0</v>
      </c>
      <c r="AZ11" s="172">
        <f>IFERROR(((12)/(IF(AP11="S",AO11+(IF(H11="S",G11,0))+(IF(Y11="S",X11,0)),0)))/12,0)</f>
        <v>0</v>
      </c>
      <c r="BA11" s="173">
        <v>22</v>
      </c>
      <c r="BB11" s="173">
        <v>22</v>
      </c>
      <c r="BC11" s="149" t="s">
        <v>129</v>
      </c>
      <c r="BD11" s="149">
        <v>0</v>
      </c>
      <c r="BE11" s="149">
        <v>0</v>
      </c>
      <c r="BF11" s="228">
        <v>0</v>
      </c>
      <c r="BG11" s="219" t="s">
        <v>129</v>
      </c>
      <c r="BH11" s="220" t="s">
        <v>131</v>
      </c>
      <c r="BI11" s="221">
        <v>1431.04</v>
      </c>
      <c r="BJ11" s="222">
        <v>0.25</v>
      </c>
      <c r="BK11" s="975" t="s">
        <v>202</v>
      </c>
      <c r="BL11" s="936"/>
      <c r="BM11" s="223">
        <v>0.2</v>
      </c>
      <c r="BN11" s="165" t="s">
        <v>201</v>
      </c>
      <c r="BO11" s="166">
        <v>44</v>
      </c>
      <c r="BP11" s="167">
        <f t="shared" si="3"/>
        <v>0</v>
      </c>
      <c r="BQ11" s="167">
        <f t="shared" si="4"/>
        <v>0</v>
      </c>
      <c r="BR11" s="224">
        <v>22</v>
      </c>
      <c r="BS11" s="224">
        <v>22</v>
      </c>
      <c r="BT11" s="161" t="s">
        <v>69</v>
      </c>
      <c r="BU11" s="224"/>
      <c r="BV11" s="229"/>
      <c r="BW11" s="230">
        <v>0</v>
      </c>
      <c r="BX11" s="231" t="s">
        <v>69</v>
      </c>
      <c r="BY11" s="178" t="s">
        <v>28</v>
      </c>
      <c r="BZ11" s="179">
        <v>2461.8000000000002</v>
      </c>
      <c r="CA11" s="232">
        <v>0.25</v>
      </c>
      <c r="CB11" s="974" t="s">
        <v>202</v>
      </c>
      <c r="CC11" s="936"/>
      <c r="CD11" s="232">
        <v>0.2</v>
      </c>
      <c r="CE11" s="181" t="s">
        <v>203</v>
      </c>
      <c r="CF11" s="182">
        <v>44</v>
      </c>
      <c r="CG11" s="183">
        <f t="shared" si="5"/>
        <v>0</v>
      </c>
      <c r="CH11" s="183">
        <f t="shared" ref="CH11:CH12" si="15">IFERROR(((52+12)/(IF(BX11="S",BW11+(IF(Y11="S",X11,0))+(IF(AS11="S",AR11,0)),0)))/12,0)</f>
        <v>0</v>
      </c>
      <c r="CI11" s="233">
        <v>22</v>
      </c>
      <c r="CJ11" s="233">
        <v>22</v>
      </c>
      <c r="CK11" s="178" t="s">
        <v>69</v>
      </c>
      <c r="CL11" s="233"/>
      <c r="CM11" s="233"/>
      <c r="CN11" s="230">
        <v>0</v>
      </c>
      <c r="CO11" s="231" t="s">
        <v>69</v>
      </c>
      <c r="CP11" s="178" t="s">
        <v>28</v>
      </c>
      <c r="CQ11" s="234">
        <v>1396.01</v>
      </c>
      <c r="CR11" s="232">
        <v>0.3</v>
      </c>
      <c r="CS11" s="974" t="s">
        <v>202</v>
      </c>
      <c r="CT11" s="936"/>
      <c r="CU11" s="232">
        <v>0.2</v>
      </c>
      <c r="CV11" s="181" t="s">
        <v>201</v>
      </c>
      <c r="CW11" s="182">
        <v>44</v>
      </c>
      <c r="CX11" s="183">
        <f t="shared" si="6"/>
        <v>0</v>
      </c>
      <c r="CY11" s="183">
        <f t="shared" ref="CY11:CY12" si="16">IFERROR(((52+12)/(IF(CO11="S",CN11+(IF(Y11="S",X11,0))+(IF(AS11="S",AR11,0)),0)))/12,0)</f>
        <v>0</v>
      </c>
      <c r="CZ11" s="233">
        <v>22</v>
      </c>
      <c r="DA11" s="233">
        <v>22</v>
      </c>
      <c r="DB11" s="178" t="s">
        <v>69</v>
      </c>
      <c r="DC11" s="233"/>
      <c r="DD11" s="233"/>
      <c r="DE11" s="230">
        <v>0</v>
      </c>
      <c r="DF11" s="231" t="s">
        <v>69</v>
      </c>
      <c r="DG11" s="178" t="s">
        <v>28</v>
      </c>
      <c r="DH11" s="234">
        <v>1396.01</v>
      </c>
      <c r="DI11" s="232">
        <v>0.25</v>
      </c>
      <c r="DJ11" s="968" t="s">
        <v>202</v>
      </c>
      <c r="DK11" s="936"/>
      <c r="DL11" s="232">
        <v>0.2</v>
      </c>
      <c r="DM11" s="181" t="s">
        <v>201</v>
      </c>
      <c r="DN11" s="185">
        <v>44</v>
      </c>
      <c r="DO11" s="183">
        <f t="shared" si="7"/>
        <v>0</v>
      </c>
      <c r="DP11" s="183">
        <f t="shared" ref="DP11:DP12" si="17">IFERROR(((52+12)/(IF(DF11="S",DE11+(IF(Y11="S",X11,0))+(IF(AS11="S",AR11,0)),0)))/12,0)</f>
        <v>0</v>
      </c>
      <c r="DQ11" s="233">
        <v>22</v>
      </c>
      <c r="DR11" s="233">
        <v>22</v>
      </c>
      <c r="DS11" s="178" t="s">
        <v>69</v>
      </c>
      <c r="DT11" s="233"/>
      <c r="DU11" s="233"/>
      <c r="DV11" s="235">
        <v>0</v>
      </c>
      <c r="DW11" s="236" t="s">
        <v>129</v>
      </c>
      <c r="DX11" s="178" t="s">
        <v>19</v>
      </c>
      <c r="DY11" s="234">
        <v>4128.0200000000004</v>
      </c>
      <c r="DZ11" s="232">
        <v>0.25</v>
      </c>
      <c r="EA11" s="968" t="s">
        <v>202</v>
      </c>
      <c r="EB11" s="936"/>
      <c r="EC11" s="232">
        <v>0.2</v>
      </c>
      <c r="ED11" s="181" t="s">
        <v>204</v>
      </c>
      <c r="EE11" s="185">
        <v>44</v>
      </c>
      <c r="EF11" s="183">
        <f t="shared" si="8"/>
        <v>0</v>
      </c>
      <c r="EG11" s="183">
        <f t="shared" ref="EG11:EG12" si="18">IFERROR(((52+12)/(IF(DW11="S",DV11+(IF(Y11="S",X11,0))+(IF(AS11="S",AR11,0)),0)))/12,0)</f>
        <v>0</v>
      </c>
      <c r="EH11" s="233">
        <v>22</v>
      </c>
      <c r="EI11" s="233">
        <v>22</v>
      </c>
      <c r="EJ11" s="178" t="s">
        <v>69</v>
      </c>
      <c r="EK11" s="233"/>
      <c r="EL11" s="233"/>
      <c r="EM11" s="237">
        <v>0</v>
      </c>
      <c r="EN11" s="238" t="s">
        <v>129</v>
      </c>
      <c r="EO11" s="194" t="s">
        <v>19</v>
      </c>
      <c r="EP11" s="239">
        <v>4128.0200000000004</v>
      </c>
      <c r="EQ11" s="240">
        <v>0.25</v>
      </c>
      <c r="ER11" s="955" t="s">
        <v>202</v>
      </c>
      <c r="ES11" s="936"/>
      <c r="ET11" s="240">
        <v>0.2</v>
      </c>
      <c r="EU11" s="241" t="s">
        <v>204</v>
      </c>
      <c r="EV11" s="198">
        <v>44</v>
      </c>
      <c r="EW11" s="242">
        <f t="shared" si="9"/>
        <v>0</v>
      </c>
      <c r="EX11" s="242">
        <f t="shared" ref="EX11:EX12" si="19">IFERROR(((52+12)/(IF(EN11="S",EM11+(IF(Y11="S",X11,0))+(IF(AS11="S",AR11,0)),0)))/12,0)</f>
        <v>0</v>
      </c>
      <c r="EY11" s="243">
        <v>22</v>
      </c>
      <c r="EZ11" s="243">
        <v>22</v>
      </c>
      <c r="FA11" s="194" t="s">
        <v>69</v>
      </c>
      <c r="FB11" s="243"/>
      <c r="FC11" s="243"/>
      <c r="FD11" s="237">
        <v>0</v>
      </c>
      <c r="FE11" s="238" t="s">
        <v>129</v>
      </c>
      <c r="FF11" s="194" t="s">
        <v>19</v>
      </c>
      <c r="FG11" s="239">
        <v>1741.45</v>
      </c>
      <c r="FH11" s="240">
        <v>0.25</v>
      </c>
      <c r="FI11" s="955" t="s">
        <v>202</v>
      </c>
      <c r="FJ11" s="936"/>
      <c r="FK11" s="240">
        <v>0.2</v>
      </c>
      <c r="FL11" s="241" t="s">
        <v>205</v>
      </c>
      <c r="FM11" s="198">
        <v>44</v>
      </c>
      <c r="FN11" s="242">
        <f t="shared" si="10"/>
        <v>0</v>
      </c>
      <c r="FO11" s="242">
        <f t="shared" ref="FO11:FO12" si="20">IFERROR(((52+12)/(IF(FE11="S",FD11+(IF(Y11="S",X11,0))+(IF(AS11="S",AR11,0)),0)))/12,0)</f>
        <v>0</v>
      </c>
      <c r="FP11" s="243">
        <v>9</v>
      </c>
      <c r="FQ11" s="243"/>
      <c r="FR11" s="194" t="s">
        <v>69</v>
      </c>
      <c r="FS11" s="243"/>
      <c r="FT11" s="243"/>
      <c r="FU11" s="237">
        <v>0</v>
      </c>
      <c r="FV11" s="238" t="s">
        <v>129</v>
      </c>
      <c r="FW11" s="194" t="s">
        <v>19</v>
      </c>
      <c r="FX11" s="239">
        <v>0</v>
      </c>
      <c r="FY11" s="240">
        <v>0.25</v>
      </c>
      <c r="FZ11" s="955" t="s">
        <v>202</v>
      </c>
      <c r="GA11" s="936"/>
      <c r="GB11" s="240">
        <v>0.2</v>
      </c>
      <c r="GC11" s="241" t="s">
        <v>204</v>
      </c>
      <c r="GD11" s="198">
        <v>44</v>
      </c>
      <c r="GE11" s="242">
        <f t="shared" si="11"/>
        <v>0</v>
      </c>
      <c r="GF11" s="242">
        <f t="shared" ref="GF11:GF12" si="21">IFERROR(((52+12)/(IF(FV11="S",FU11+(IF(Y11="S",X11,0))+(IF(AS11="S",AR11,0)),0)))/12,0)</f>
        <v>0</v>
      </c>
      <c r="GG11" s="243">
        <v>0</v>
      </c>
      <c r="GH11" s="243"/>
      <c r="GI11" s="194" t="s">
        <v>69</v>
      </c>
      <c r="GJ11" s="243"/>
      <c r="GK11" s="243"/>
      <c r="GL11" s="237">
        <v>0</v>
      </c>
      <c r="GM11" s="238" t="s">
        <v>129</v>
      </c>
      <c r="GN11" s="194" t="s">
        <v>19</v>
      </c>
      <c r="GO11" s="239">
        <v>0</v>
      </c>
      <c r="GP11" s="240">
        <v>0.25</v>
      </c>
      <c r="GQ11" s="955" t="s">
        <v>202</v>
      </c>
      <c r="GR11" s="936"/>
      <c r="GS11" s="240">
        <v>0.2</v>
      </c>
      <c r="GT11" s="241" t="s">
        <v>204</v>
      </c>
      <c r="GU11" s="198">
        <v>44</v>
      </c>
      <c r="GV11" s="242">
        <f t="shared" ref="GV11:GV21" si="22">IFERROR((52/(IF(GM11="S",GL11+(IF(Y11="S",X11,0))+(IF(AS11="S",AR11,0)),0)))/12,0)</f>
        <v>0</v>
      </c>
      <c r="GW11" s="242">
        <f t="shared" si="12"/>
        <v>0</v>
      </c>
      <c r="GX11" s="243">
        <v>0</v>
      </c>
      <c r="GY11" s="243"/>
      <c r="GZ11" s="194" t="s">
        <v>69</v>
      </c>
      <c r="HA11" s="243"/>
      <c r="HB11" s="243"/>
      <c r="HC11" s="201">
        <f t="shared" si="13"/>
        <v>0</v>
      </c>
      <c r="HD11" s="89"/>
      <c r="HE11" s="89"/>
      <c r="HF11" s="89"/>
      <c r="HG11" s="89"/>
      <c r="HH11" s="89"/>
      <c r="HI11" s="89"/>
      <c r="HJ11" s="89"/>
      <c r="HK11" s="89"/>
      <c r="HL11" s="89"/>
      <c r="HM11" s="89"/>
      <c r="HN11" s="203">
        <f t="shared" si="14"/>
        <v>0</v>
      </c>
    </row>
    <row r="12" spans="1:222" ht="22.5" customHeight="1">
      <c r="A12" s="1"/>
      <c r="B12" s="204">
        <v>154628</v>
      </c>
      <c r="C12" s="204" t="s">
        <v>207</v>
      </c>
      <c r="D12" s="205" t="s">
        <v>44</v>
      </c>
      <c r="E12" s="206">
        <v>6.6</v>
      </c>
      <c r="F12" s="207">
        <v>3</v>
      </c>
      <c r="G12" s="208">
        <v>0</v>
      </c>
      <c r="H12" s="209" t="s">
        <v>129</v>
      </c>
      <c r="I12" s="210" t="s">
        <v>131</v>
      </c>
      <c r="J12" s="211">
        <v>1502.5</v>
      </c>
      <c r="K12" s="212">
        <v>0.2</v>
      </c>
      <c r="L12" s="940" t="s">
        <v>200</v>
      </c>
      <c r="M12" s="936"/>
      <c r="N12" s="212">
        <v>0.2</v>
      </c>
      <c r="O12" s="152" t="s">
        <v>201</v>
      </c>
      <c r="P12" s="213">
        <v>40</v>
      </c>
      <c r="Q12" s="214">
        <f t="shared" ref="Q12:Q21" si="23">IFERROR((52/(IF(H12="S",G12+(IF(Y12="S",X12,0))+(IF(AP12="S",AO12,0)),0)))/12,0)</f>
        <v>0</v>
      </c>
      <c r="R12" s="214">
        <f t="shared" ref="R12:R21" si="24">IFERROR(((52+12)/(IF(H12="S",G12+(IF(Y12="S",X12,0))+(IF(AP12="S",AO12,0)),0)))/12,0)</f>
        <v>0</v>
      </c>
      <c r="S12" s="215">
        <v>22</v>
      </c>
      <c r="T12" s="215">
        <v>22</v>
      </c>
      <c r="U12" s="210" t="s">
        <v>69</v>
      </c>
      <c r="V12" s="216">
        <v>0</v>
      </c>
      <c r="W12" s="217">
        <v>0</v>
      </c>
      <c r="X12" s="218">
        <v>0</v>
      </c>
      <c r="Y12" s="219" t="s">
        <v>129</v>
      </c>
      <c r="Z12" s="220" t="s">
        <v>131</v>
      </c>
      <c r="AA12" s="221">
        <v>1502.5</v>
      </c>
      <c r="AB12" s="222">
        <v>0.25</v>
      </c>
      <c r="AC12" s="954" t="s">
        <v>202</v>
      </c>
      <c r="AD12" s="936"/>
      <c r="AE12" s="223">
        <v>0.2</v>
      </c>
      <c r="AF12" s="165" t="s">
        <v>201</v>
      </c>
      <c r="AG12" s="166">
        <v>40</v>
      </c>
      <c r="AH12" s="167">
        <f t="shared" ref="AH12:AH19" si="25">IFERROR((52/(IF(Y12="S",X12+(IF(H12="S",G12,0))+(IF(AP12="S",AO12,0)),0)))/12,0)</f>
        <v>0</v>
      </c>
      <c r="AI12" s="167">
        <f t="shared" ref="AI12:AI21" si="26">IFERROR(((52+12)/(IF(Y12="S",X12+(IF(H12="S",G12,0))+(IF(AP12="S",AO12,0)),0)))/12,0)</f>
        <v>0</v>
      </c>
      <c r="AJ12" s="224">
        <v>22</v>
      </c>
      <c r="AK12" s="224">
        <v>22</v>
      </c>
      <c r="AL12" s="161" t="s">
        <v>69</v>
      </c>
      <c r="AM12" s="224">
        <v>0</v>
      </c>
      <c r="AN12" s="224">
        <v>0</v>
      </c>
      <c r="AO12" s="225">
        <v>0</v>
      </c>
      <c r="AP12" s="226" t="s">
        <v>129</v>
      </c>
      <c r="AQ12" s="210" t="s">
        <v>131</v>
      </c>
      <c r="AR12" s="211">
        <v>1431.04</v>
      </c>
      <c r="AS12" s="227">
        <v>0.2</v>
      </c>
      <c r="AT12" s="935" t="s">
        <v>202</v>
      </c>
      <c r="AU12" s="936"/>
      <c r="AV12" s="212">
        <v>0.2</v>
      </c>
      <c r="AW12" s="152" t="s">
        <v>201</v>
      </c>
      <c r="AX12" s="171">
        <v>40</v>
      </c>
      <c r="AY12" s="172">
        <f t="shared" ref="AY12:AY21" si="27">IFERROR((52/(IF(AP12="S",AO12+(IF(H12="S",G12,0))+(IF(Y12="S",X12,0)),0)))/12,0)</f>
        <v>0</v>
      </c>
      <c r="AZ12" s="172">
        <f t="shared" ref="AZ12:AZ21" si="28">IFERROR(((52+12)/(IF(AP12="S",AO12+(IF(H12="S",G12,0))+(IF(Y12="S",X12,0)),0)))/12,0)</f>
        <v>0</v>
      </c>
      <c r="BA12" s="173">
        <v>22</v>
      </c>
      <c r="BB12" s="173">
        <v>22</v>
      </c>
      <c r="BC12" s="149" t="s">
        <v>129</v>
      </c>
      <c r="BD12" s="149">
        <v>0</v>
      </c>
      <c r="BE12" s="149">
        <v>0</v>
      </c>
      <c r="BF12" s="228">
        <v>0</v>
      </c>
      <c r="BG12" s="219" t="s">
        <v>129</v>
      </c>
      <c r="BH12" s="220" t="s">
        <v>131</v>
      </c>
      <c r="BI12" s="221">
        <v>1431.04</v>
      </c>
      <c r="BJ12" s="222">
        <v>0.25</v>
      </c>
      <c r="BK12" s="975" t="s">
        <v>202</v>
      </c>
      <c r="BL12" s="936"/>
      <c r="BM12" s="223">
        <v>0.2</v>
      </c>
      <c r="BN12" s="165" t="s">
        <v>201</v>
      </c>
      <c r="BO12" s="166">
        <v>44</v>
      </c>
      <c r="BP12" s="167">
        <f t="shared" si="3"/>
        <v>0</v>
      </c>
      <c r="BQ12" s="167">
        <f t="shared" si="4"/>
        <v>0</v>
      </c>
      <c r="BR12" s="224">
        <v>22</v>
      </c>
      <c r="BS12" s="224">
        <v>22</v>
      </c>
      <c r="BT12" s="161" t="s">
        <v>69</v>
      </c>
      <c r="BU12" s="224"/>
      <c r="BV12" s="229"/>
      <c r="BW12" s="230">
        <v>0</v>
      </c>
      <c r="BX12" s="231" t="s">
        <v>69</v>
      </c>
      <c r="BY12" s="178" t="s">
        <v>28</v>
      </c>
      <c r="BZ12" s="179">
        <v>2461.8000000000002</v>
      </c>
      <c r="CA12" s="232">
        <v>0.25</v>
      </c>
      <c r="CB12" s="974" t="s">
        <v>202</v>
      </c>
      <c r="CC12" s="936"/>
      <c r="CD12" s="232">
        <v>0.2</v>
      </c>
      <c r="CE12" s="181" t="s">
        <v>203</v>
      </c>
      <c r="CF12" s="182">
        <v>44</v>
      </c>
      <c r="CG12" s="183">
        <f t="shared" si="5"/>
        <v>0</v>
      </c>
      <c r="CH12" s="183">
        <f t="shared" si="15"/>
        <v>0</v>
      </c>
      <c r="CI12" s="233">
        <v>22</v>
      </c>
      <c r="CJ12" s="233">
        <v>22</v>
      </c>
      <c r="CK12" s="178" t="s">
        <v>69</v>
      </c>
      <c r="CL12" s="233"/>
      <c r="CM12" s="233"/>
      <c r="CN12" s="230">
        <v>0</v>
      </c>
      <c r="CO12" s="231" t="s">
        <v>69</v>
      </c>
      <c r="CP12" s="178" t="s">
        <v>28</v>
      </c>
      <c r="CQ12" s="234">
        <v>1396.01</v>
      </c>
      <c r="CR12" s="232">
        <v>0.3</v>
      </c>
      <c r="CS12" s="974" t="s">
        <v>202</v>
      </c>
      <c r="CT12" s="936"/>
      <c r="CU12" s="232">
        <v>0.2</v>
      </c>
      <c r="CV12" s="181" t="s">
        <v>201</v>
      </c>
      <c r="CW12" s="182">
        <v>44</v>
      </c>
      <c r="CX12" s="183">
        <f t="shared" si="6"/>
        <v>0</v>
      </c>
      <c r="CY12" s="183">
        <f t="shared" si="16"/>
        <v>0</v>
      </c>
      <c r="CZ12" s="233">
        <v>22</v>
      </c>
      <c r="DA12" s="233">
        <v>22</v>
      </c>
      <c r="DB12" s="178" t="s">
        <v>69</v>
      </c>
      <c r="DC12" s="233"/>
      <c r="DD12" s="233"/>
      <c r="DE12" s="230">
        <v>0</v>
      </c>
      <c r="DF12" s="231" t="s">
        <v>69</v>
      </c>
      <c r="DG12" s="178" t="s">
        <v>28</v>
      </c>
      <c r="DH12" s="234">
        <v>1396.01</v>
      </c>
      <c r="DI12" s="232">
        <v>0.25</v>
      </c>
      <c r="DJ12" s="968" t="s">
        <v>202</v>
      </c>
      <c r="DK12" s="936"/>
      <c r="DL12" s="232">
        <v>0.2</v>
      </c>
      <c r="DM12" s="181" t="s">
        <v>201</v>
      </c>
      <c r="DN12" s="185">
        <v>44</v>
      </c>
      <c r="DO12" s="183">
        <f t="shared" si="7"/>
        <v>0</v>
      </c>
      <c r="DP12" s="183">
        <f t="shared" si="17"/>
        <v>0</v>
      </c>
      <c r="DQ12" s="233">
        <v>22</v>
      </c>
      <c r="DR12" s="233">
        <v>22</v>
      </c>
      <c r="DS12" s="178" t="s">
        <v>69</v>
      </c>
      <c r="DT12" s="233"/>
      <c r="DU12" s="233"/>
      <c r="DV12" s="235">
        <v>0</v>
      </c>
      <c r="DW12" s="236" t="s">
        <v>129</v>
      </c>
      <c r="DX12" s="178" t="s">
        <v>19</v>
      </c>
      <c r="DY12" s="234">
        <v>4128.0200000000004</v>
      </c>
      <c r="DZ12" s="232">
        <v>0.25</v>
      </c>
      <c r="EA12" s="968" t="s">
        <v>202</v>
      </c>
      <c r="EB12" s="936"/>
      <c r="EC12" s="232">
        <v>0.2</v>
      </c>
      <c r="ED12" s="181" t="s">
        <v>204</v>
      </c>
      <c r="EE12" s="185">
        <v>44</v>
      </c>
      <c r="EF12" s="183">
        <f t="shared" si="8"/>
        <v>0</v>
      </c>
      <c r="EG12" s="183">
        <f t="shared" si="18"/>
        <v>0</v>
      </c>
      <c r="EH12" s="233">
        <v>22</v>
      </c>
      <c r="EI12" s="233">
        <v>22</v>
      </c>
      <c r="EJ12" s="178" t="s">
        <v>69</v>
      </c>
      <c r="EK12" s="233"/>
      <c r="EL12" s="233"/>
      <c r="EM12" s="237">
        <v>0</v>
      </c>
      <c r="EN12" s="238" t="s">
        <v>129</v>
      </c>
      <c r="EO12" s="194" t="s">
        <v>19</v>
      </c>
      <c r="EP12" s="239">
        <v>4128.0200000000004</v>
      </c>
      <c r="EQ12" s="240">
        <v>0.25</v>
      </c>
      <c r="ER12" s="955" t="s">
        <v>202</v>
      </c>
      <c r="ES12" s="936"/>
      <c r="ET12" s="240">
        <v>0.2</v>
      </c>
      <c r="EU12" s="241" t="s">
        <v>204</v>
      </c>
      <c r="EV12" s="198">
        <v>44</v>
      </c>
      <c r="EW12" s="242">
        <f t="shared" si="9"/>
        <v>0</v>
      </c>
      <c r="EX12" s="242">
        <f t="shared" si="19"/>
        <v>0</v>
      </c>
      <c r="EY12" s="243">
        <v>22</v>
      </c>
      <c r="EZ12" s="243">
        <v>22</v>
      </c>
      <c r="FA12" s="194" t="s">
        <v>69</v>
      </c>
      <c r="FB12" s="243"/>
      <c r="FC12" s="243"/>
      <c r="FD12" s="237">
        <v>0</v>
      </c>
      <c r="FE12" s="238" t="s">
        <v>129</v>
      </c>
      <c r="FF12" s="194" t="s">
        <v>19</v>
      </c>
      <c r="FG12" s="239">
        <v>1741.45</v>
      </c>
      <c r="FH12" s="240">
        <v>0.25</v>
      </c>
      <c r="FI12" s="955" t="s">
        <v>202</v>
      </c>
      <c r="FJ12" s="936"/>
      <c r="FK12" s="240">
        <v>0.2</v>
      </c>
      <c r="FL12" s="241" t="s">
        <v>205</v>
      </c>
      <c r="FM12" s="198">
        <v>44</v>
      </c>
      <c r="FN12" s="242">
        <f t="shared" si="10"/>
        <v>0</v>
      </c>
      <c r="FO12" s="242">
        <f t="shared" si="20"/>
        <v>0</v>
      </c>
      <c r="FP12" s="243">
        <v>9</v>
      </c>
      <c r="FQ12" s="243"/>
      <c r="FR12" s="194" t="s">
        <v>69</v>
      </c>
      <c r="FS12" s="243"/>
      <c r="FT12" s="243"/>
      <c r="FU12" s="237">
        <v>0</v>
      </c>
      <c r="FV12" s="238" t="s">
        <v>129</v>
      </c>
      <c r="FW12" s="194" t="s">
        <v>19</v>
      </c>
      <c r="FX12" s="239">
        <v>0</v>
      </c>
      <c r="FY12" s="240">
        <v>0.25</v>
      </c>
      <c r="FZ12" s="955" t="s">
        <v>202</v>
      </c>
      <c r="GA12" s="936"/>
      <c r="GB12" s="240">
        <v>0.2</v>
      </c>
      <c r="GC12" s="241" t="s">
        <v>204</v>
      </c>
      <c r="GD12" s="198">
        <v>44</v>
      </c>
      <c r="GE12" s="242">
        <f t="shared" si="11"/>
        <v>0</v>
      </c>
      <c r="GF12" s="242">
        <f t="shared" si="21"/>
        <v>0</v>
      </c>
      <c r="GG12" s="243">
        <v>0</v>
      </c>
      <c r="GH12" s="243"/>
      <c r="GI12" s="194" t="s">
        <v>69</v>
      </c>
      <c r="GJ12" s="243"/>
      <c r="GK12" s="243"/>
      <c r="GL12" s="237">
        <v>0</v>
      </c>
      <c r="GM12" s="238" t="s">
        <v>129</v>
      </c>
      <c r="GN12" s="194" t="s">
        <v>19</v>
      </c>
      <c r="GO12" s="239">
        <v>0</v>
      </c>
      <c r="GP12" s="240">
        <v>0.25</v>
      </c>
      <c r="GQ12" s="955" t="s">
        <v>202</v>
      </c>
      <c r="GR12" s="936"/>
      <c r="GS12" s="240">
        <v>0.2</v>
      </c>
      <c r="GT12" s="241" t="s">
        <v>204</v>
      </c>
      <c r="GU12" s="198">
        <v>44</v>
      </c>
      <c r="GV12" s="242">
        <f t="shared" si="22"/>
        <v>0</v>
      </c>
      <c r="GW12" s="242">
        <f t="shared" si="12"/>
        <v>0</v>
      </c>
      <c r="GX12" s="243">
        <v>0</v>
      </c>
      <c r="GY12" s="243"/>
      <c r="GZ12" s="194" t="s">
        <v>69</v>
      </c>
      <c r="HA12" s="243"/>
      <c r="HB12" s="243"/>
      <c r="HC12" s="201">
        <f t="shared" si="13"/>
        <v>0</v>
      </c>
      <c r="HD12" s="89"/>
      <c r="HE12" s="89"/>
      <c r="HF12" s="89"/>
      <c r="HG12" s="89"/>
      <c r="HH12" s="89"/>
      <c r="HI12" s="89"/>
      <c r="HJ12" s="89"/>
      <c r="HK12" s="89"/>
      <c r="HL12" s="89"/>
      <c r="HM12" s="89"/>
      <c r="HN12" s="203">
        <f t="shared" si="14"/>
        <v>0</v>
      </c>
    </row>
    <row r="13" spans="1:222" ht="22.5" customHeight="1">
      <c r="A13" s="142"/>
      <c r="B13" s="204">
        <v>158269</v>
      </c>
      <c r="C13" s="204" t="s">
        <v>208</v>
      </c>
      <c r="D13" s="205" t="s">
        <v>50</v>
      </c>
      <c r="E13" s="206">
        <v>3.2</v>
      </c>
      <c r="F13" s="207">
        <v>4</v>
      </c>
      <c r="G13" s="244">
        <v>1</v>
      </c>
      <c r="H13" s="209" t="s">
        <v>129</v>
      </c>
      <c r="I13" s="210" t="s">
        <v>131</v>
      </c>
      <c r="J13" s="245">
        <v>1502.5</v>
      </c>
      <c r="K13" s="246">
        <v>0.2</v>
      </c>
      <c r="L13" s="941" t="s">
        <v>200</v>
      </c>
      <c r="M13" s="936"/>
      <c r="N13" s="246">
        <v>0.2</v>
      </c>
      <c r="O13" s="247" t="s">
        <v>201</v>
      </c>
      <c r="P13" s="248">
        <v>40</v>
      </c>
      <c r="Q13" s="249">
        <f t="shared" si="23"/>
        <v>0</v>
      </c>
      <c r="R13" s="249">
        <f t="shared" si="24"/>
        <v>0</v>
      </c>
      <c r="S13" s="215">
        <v>22</v>
      </c>
      <c r="T13" s="215">
        <v>22</v>
      </c>
      <c r="U13" s="210" t="s">
        <v>69</v>
      </c>
      <c r="V13" s="250">
        <v>0</v>
      </c>
      <c r="W13" s="217">
        <v>0</v>
      </c>
      <c r="X13" s="251">
        <v>3</v>
      </c>
      <c r="Y13" s="252" t="s">
        <v>129</v>
      </c>
      <c r="Z13" s="220" t="s">
        <v>131</v>
      </c>
      <c r="AA13" s="253">
        <v>1502.5</v>
      </c>
      <c r="AB13" s="222">
        <v>0.25</v>
      </c>
      <c r="AC13" s="954" t="s">
        <v>202</v>
      </c>
      <c r="AD13" s="936"/>
      <c r="AE13" s="254">
        <v>0.2</v>
      </c>
      <c r="AF13" s="255" t="s">
        <v>201</v>
      </c>
      <c r="AG13" s="256">
        <v>40</v>
      </c>
      <c r="AH13" s="167">
        <f t="shared" si="25"/>
        <v>0</v>
      </c>
      <c r="AI13" s="167">
        <f t="shared" si="26"/>
        <v>0</v>
      </c>
      <c r="AJ13" s="224">
        <v>22</v>
      </c>
      <c r="AK13" s="224">
        <v>22</v>
      </c>
      <c r="AL13" s="161" t="s">
        <v>69</v>
      </c>
      <c r="AM13" s="224">
        <v>0</v>
      </c>
      <c r="AN13" s="224">
        <v>0</v>
      </c>
      <c r="AO13" s="257">
        <v>8</v>
      </c>
      <c r="AP13" s="226" t="s">
        <v>129</v>
      </c>
      <c r="AQ13" s="210" t="s">
        <v>131</v>
      </c>
      <c r="AR13" s="245">
        <v>1431.04</v>
      </c>
      <c r="AS13" s="227">
        <v>0.25</v>
      </c>
      <c r="AT13" s="935" t="s">
        <v>202</v>
      </c>
      <c r="AU13" s="936"/>
      <c r="AV13" s="246">
        <v>0.2</v>
      </c>
      <c r="AW13" s="247" t="s">
        <v>201</v>
      </c>
      <c r="AX13" s="248">
        <v>40</v>
      </c>
      <c r="AY13" s="172">
        <f t="shared" si="27"/>
        <v>0</v>
      </c>
      <c r="AZ13" s="172">
        <f t="shared" si="28"/>
        <v>0</v>
      </c>
      <c r="BA13" s="173">
        <v>22</v>
      </c>
      <c r="BB13" s="173">
        <v>22</v>
      </c>
      <c r="BC13" s="149" t="s">
        <v>129</v>
      </c>
      <c r="BD13" s="149">
        <v>0</v>
      </c>
      <c r="BE13" s="149">
        <v>0</v>
      </c>
      <c r="BF13" s="228">
        <v>0</v>
      </c>
      <c r="BG13" s="219" t="s">
        <v>129</v>
      </c>
      <c r="BH13" s="220" t="s">
        <v>131</v>
      </c>
      <c r="BI13" s="253">
        <v>1431.04</v>
      </c>
      <c r="BJ13" s="222">
        <v>0.25</v>
      </c>
      <c r="BK13" s="975" t="s">
        <v>202</v>
      </c>
      <c r="BL13" s="936"/>
      <c r="BM13" s="254">
        <v>0.2</v>
      </c>
      <c r="BN13" s="255" t="s">
        <v>201</v>
      </c>
      <c r="BO13" s="166">
        <v>44</v>
      </c>
      <c r="BP13" s="167">
        <f t="shared" si="3"/>
        <v>0</v>
      </c>
      <c r="BQ13" s="167">
        <f>IFERROR(((52+12)/(IF(AP13="S",AO13+(IF(H13="S",G13,0))+(IF(Y13="S",X13,0)),0)))/12,0)</f>
        <v>0</v>
      </c>
      <c r="BR13" s="224">
        <v>22</v>
      </c>
      <c r="BS13" s="224">
        <v>22</v>
      </c>
      <c r="BT13" s="161" t="s">
        <v>69</v>
      </c>
      <c r="BU13" s="224"/>
      <c r="BV13" s="229"/>
      <c r="BW13" s="230">
        <v>0</v>
      </c>
      <c r="BX13" s="231" t="s">
        <v>69</v>
      </c>
      <c r="BY13" s="178" t="s">
        <v>102</v>
      </c>
      <c r="BZ13" s="179">
        <v>2461.8000000000002</v>
      </c>
      <c r="CA13" s="232">
        <v>0.25</v>
      </c>
      <c r="CB13" s="974" t="s">
        <v>202</v>
      </c>
      <c r="CC13" s="936"/>
      <c r="CD13" s="232">
        <v>0.2</v>
      </c>
      <c r="CE13" s="181" t="s">
        <v>203</v>
      </c>
      <c r="CF13" s="182">
        <v>44</v>
      </c>
      <c r="CG13" s="183">
        <f t="shared" si="5"/>
        <v>0</v>
      </c>
      <c r="CH13" s="183">
        <f>IFERROR(((52+12)/(IF(AP13="S",AO13+(IF(H13="S",G13,0))+(IF(Y13="S",X13,0)),0)))/12,0)</f>
        <v>0</v>
      </c>
      <c r="CI13" s="233">
        <v>22</v>
      </c>
      <c r="CJ13" s="233">
        <v>22</v>
      </c>
      <c r="CK13" s="178" t="s">
        <v>69</v>
      </c>
      <c r="CL13" s="233"/>
      <c r="CM13" s="233"/>
      <c r="CN13" s="230">
        <v>0</v>
      </c>
      <c r="CO13" s="231" t="s">
        <v>69</v>
      </c>
      <c r="CP13" s="178" t="s">
        <v>28</v>
      </c>
      <c r="CQ13" s="234">
        <v>1396.01</v>
      </c>
      <c r="CR13" s="232">
        <v>0.3</v>
      </c>
      <c r="CS13" s="974" t="s">
        <v>202</v>
      </c>
      <c r="CT13" s="936"/>
      <c r="CU13" s="232">
        <v>0.2</v>
      </c>
      <c r="CV13" s="181" t="s">
        <v>201</v>
      </c>
      <c r="CW13" s="182">
        <v>44</v>
      </c>
      <c r="CX13" s="183">
        <f t="shared" si="6"/>
        <v>0</v>
      </c>
      <c r="CY13" s="183">
        <f>IFERROR(((52+12)/(IF(AP13="S",AO13+(IF(H13="S",G13,0))+(IF(Y13="S",X13,0)),0)))/12,0)</f>
        <v>0</v>
      </c>
      <c r="CZ13" s="233">
        <v>22</v>
      </c>
      <c r="DA13" s="233">
        <v>22</v>
      </c>
      <c r="DB13" s="178" t="s">
        <v>69</v>
      </c>
      <c r="DC13" s="233"/>
      <c r="DD13" s="233"/>
      <c r="DE13" s="230">
        <v>0</v>
      </c>
      <c r="DF13" s="231" t="s">
        <v>69</v>
      </c>
      <c r="DG13" s="178" t="s">
        <v>28</v>
      </c>
      <c r="DH13" s="234">
        <v>1396.01</v>
      </c>
      <c r="DI13" s="258">
        <v>0.25</v>
      </c>
      <c r="DJ13" s="968" t="s">
        <v>202</v>
      </c>
      <c r="DK13" s="936"/>
      <c r="DL13" s="258">
        <v>0.2</v>
      </c>
      <c r="DM13" s="181" t="s">
        <v>201</v>
      </c>
      <c r="DN13" s="185">
        <v>44</v>
      </c>
      <c r="DO13" s="186">
        <f t="shared" si="7"/>
        <v>0</v>
      </c>
      <c r="DP13" s="186">
        <f>IFERROR(((52+12)/(IF(AP13="S",AO13+(IF(H13="S",G13,0))+(IF(Y13="S",X13,0)),0)))/12,0)</f>
        <v>0</v>
      </c>
      <c r="DQ13" s="259">
        <v>22</v>
      </c>
      <c r="DR13" s="233">
        <v>22</v>
      </c>
      <c r="DS13" s="178" t="s">
        <v>69</v>
      </c>
      <c r="DT13" s="259"/>
      <c r="DU13" s="259"/>
      <c r="DV13" s="235">
        <v>0</v>
      </c>
      <c r="DW13" s="236" t="s">
        <v>129</v>
      </c>
      <c r="DX13" s="178" t="s">
        <v>19</v>
      </c>
      <c r="DY13" s="260">
        <v>4128.0200000000004</v>
      </c>
      <c r="DZ13" s="258">
        <v>0.25</v>
      </c>
      <c r="EA13" s="968" t="s">
        <v>202</v>
      </c>
      <c r="EB13" s="936"/>
      <c r="EC13" s="258">
        <v>0.2</v>
      </c>
      <c r="ED13" s="181" t="s">
        <v>204</v>
      </c>
      <c r="EE13" s="185">
        <v>44</v>
      </c>
      <c r="EF13" s="186">
        <f t="shared" si="8"/>
        <v>0</v>
      </c>
      <c r="EG13" s="186">
        <f>IFERROR(((52+12)/(IF(AP13="S",AO13+(IF(H13="S",G13,0))+(IF(Y13="S",X13,0)),0)))/12,0)</f>
        <v>0</v>
      </c>
      <c r="EH13" s="259">
        <v>22</v>
      </c>
      <c r="EI13" s="259">
        <v>22</v>
      </c>
      <c r="EJ13" s="178" t="s">
        <v>69</v>
      </c>
      <c r="EK13" s="259"/>
      <c r="EL13" s="259"/>
      <c r="EM13" s="237">
        <v>0</v>
      </c>
      <c r="EN13" s="238" t="s">
        <v>129</v>
      </c>
      <c r="EO13" s="194" t="s">
        <v>19</v>
      </c>
      <c r="EP13" s="261">
        <v>4128.0200000000004</v>
      </c>
      <c r="EQ13" s="262">
        <v>0.25</v>
      </c>
      <c r="ER13" s="955" t="s">
        <v>202</v>
      </c>
      <c r="ES13" s="936"/>
      <c r="ET13" s="262">
        <v>0.2</v>
      </c>
      <c r="EU13" s="241" t="s">
        <v>204</v>
      </c>
      <c r="EV13" s="198">
        <v>44</v>
      </c>
      <c r="EW13" s="199">
        <f t="shared" si="9"/>
        <v>0</v>
      </c>
      <c r="EX13" s="199">
        <f>IFERROR(((52+12)/(IF(AP13="S",AO13+(IF(H13="S",G13,0))+(IF(Y13="S",X13,0)),0)))/12,0)</f>
        <v>0</v>
      </c>
      <c r="EY13" s="263">
        <v>22</v>
      </c>
      <c r="EZ13" s="263">
        <v>22</v>
      </c>
      <c r="FA13" s="194" t="s">
        <v>69</v>
      </c>
      <c r="FB13" s="263"/>
      <c r="FC13" s="263"/>
      <c r="FD13" s="237">
        <v>0</v>
      </c>
      <c r="FE13" s="238" t="s">
        <v>129</v>
      </c>
      <c r="FF13" s="194" t="s">
        <v>19</v>
      </c>
      <c r="FG13" s="261">
        <v>1741.45</v>
      </c>
      <c r="FH13" s="262">
        <v>0.25</v>
      </c>
      <c r="FI13" s="955" t="s">
        <v>202</v>
      </c>
      <c r="FJ13" s="936"/>
      <c r="FK13" s="262">
        <v>0.2</v>
      </c>
      <c r="FL13" s="241" t="s">
        <v>205</v>
      </c>
      <c r="FM13" s="198">
        <v>44</v>
      </c>
      <c r="FN13" s="199">
        <f t="shared" si="10"/>
        <v>0</v>
      </c>
      <c r="FO13" s="199">
        <f>IFERROR(((52+12)/(IF(AP13="S",AO13+(IF(H13="S",G13,0))+(IF(Y13="S",X13,0)),0)))/12,0)</f>
        <v>0</v>
      </c>
      <c r="FP13" s="263">
        <v>25</v>
      </c>
      <c r="FQ13" s="263"/>
      <c r="FR13" s="194" t="s">
        <v>69</v>
      </c>
      <c r="FS13" s="263"/>
      <c r="FT13" s="263"/>
      <c r="FU13" s="237">
        <v>0</v>
      </c>
      <c r="FV13" s="238" t="s">
        <v>129</v>
      </c>
      <c r="FW13" s="194" t="s">
        <v>19</v>
      </c>
      <c r="FX13" s="261">
        <v>0</v>
      </c>
      <c r="FY13" s="262">
        <v>0.25</v>
      </c>
      <c r="FZ13" s="955" t="s">
        <v>202</v>
      </c>
      <c r="GA13" s="936"/>
      <c r="GB13" s="262">
        <v>0.2</v>
      </c>
      <c r="GC13" s="241" t="s">
        <v>204</v>
      </c>
      <c r="GD13" s="198">
        <v>44</v>
      </c>
      <c r="GE13" s="199">
        <f t="shared" si="11"/>
        <v>0</v>
      </c>
      <c r="GF13" s="199">
        <f>IFERROR(((52+12)/(IF(AP13="S",AO13+(IF(H13="S",G13,0))+(IF(Y13="S",X13,0)),0)))/12,0)</f>
        <v>0</v>
      </c>
      <c r="GG13" s="263">
        <v>0</v>
      </c>
      <c r="GH13" s="263">
        <v>0</v>
      </c>
      <c r="GI13" s="194" t="s">
        <v>69</v>
      </c>
      <c r="GJ13" s="263"/>
      <c r="GK13" s="263"/>
      <c r="GL13" s="237">
        <v>0</v>
      </c>
      <c r="GM13" s="238" t="s">
        <v>129</v>
      </c>
      <c r="GN13" s="194" t="s">
        <v>19</v>
      </c>
      <c r="GO13" s="261">
        <v>0</v>
      </c>
      <c r="GP13" s="262">
        <v>0.25</v>
      </c>
      <c r="GQ13" s="955" t="s">
        <v>202</v>
      </c>
      <c r="GR13" s="936"/>
      <c r="GS13" s="262">
        <v>0.2</v>
      </c>
      <c r="GT13" s="241" t="s">
        <v>204</v>
      </c>
      <c r="GU13" s="198">
        <v>44</v>
      </c>
      <c r="GV13" s="199">
        <f t="shared" si="22"/>
        <v>0</v>
      </c>
      <c r="GW13" s="199">
        <f>IFERROR(((52+12)/(IF(AP13="S",AO13+(IF(H13="S",G13,0))+(IF(Y13="S",X13,0)),0)))/12,0)</f>
        <v>0</v>
      </c>
      <c r="GX13" s="263">
        <v>0</v>
      </c>
      <c r="GY13" s="263">
        <v>0</v>
      </c>
      <c r="GZ13" s="194" t="s">
        <v>69</v>
      </c>
      <c r="HA13" s="263"/>
      <c r="HB13" s="263"/>
      <c r="HC13" s="201">
        <f t="shared" si="13"/>
        <v>12</v>
      </c>
      <c r="HD13" s="202"/>
      <c r="HE13" s="202"/>
      <c r="HF13" s="202"/>
      <c r="HG13" s="202"/>
      <c r="HH13" s="202"/>
      <c r="HI13" s="202"/>
      <c r="HJ13" s="202"/>
      <c r="HK13" s="202"/>
      <c r="HL13" s="202"/>
      <c r="HM13" s="202"/>
      <c r="HN13" s="203">
        <f t="shared" si="14"/>
        <v>12</v>
      </c>
    </row>
    <row r="14" spans="1:222" ht="22.5" customHeight="1">
      <c r="A14" s="142"/>
      <c r="B14" s="204">
        <v>158505</v>
      </c>
      <c r="C14" s="204" t="s">
        <v>209</v>
      </c>
      <c r="D14" s="205" t="s">
        <v>210</v>
      </c>
      <c r="E14" s="206">
        <v>4.5</v>
      </c>
      <c r="F14" s="207">
        <v>2</v>
      </c>
      <c r="G14" s="244">
        <v>1</v>
      </c>
      <c r="H14" s="209" t="s">
        <v>129</v>
      </c>
      <c r="I14" s="210" t="s">
        <v>131</v>
      </c>
      <c r="J14" s="264">
        <v>1502.5</v>
      </c>
      <c r="K14" s="246">
        <v>0.2</v>
      </c>
      <c r="L14" s="941" t="s">
        <v>200</v>
      </c>
      <c r="M14" s="936"/>
      <c r="N14" s="246">
        <v>0.2</v>
      </c>
      <c r="O14" s="247" t="s">
        <v>201</v>
      </c>
      <c r="P14" s="248">
        <v>40</v>
      </c>
      <c r="Q14" s="249">
        <f t="shared" si="23"/>
        <v>0</v>
      </c>
      <c r="R14" s="249">
        <f t="shared" si="24"/>
        <v>0</v>
      </c>
      <c r="S14" s="215">
        <v>22</v>
      </c>
      <c r="T14" s="215">
        <v>22</v>
      </c>
      <c r="U14" s="210" t="s">
        <v>69</v>
      </c>
      <c r="V14" s="250">
        <v>0</v>
      </c>
      <c r="W14" s="217">
        <v>0</v>
      </c>
      <c r="X14" s="251">
        <v>2</v>
      </c>
      <c r="Y14" s="252" t="s">
        <v>129</v>
      </c>
      <c r="Z14" s="220" t="s">
        <v>131</v>
      </c>
      <c r="AA14" s="265">
        <v>1502.5</v>
      </c>
      <c r="AB14" s="222">
        <v>0.25</v>
      </c>
      <c r="AC14" s="954" t="s">
        <v>202</v>
      </c>
      <c r="AD14" s="936"/>
      <c r="AE14" s="254">
        <v>0.2</v>
      </c>
      <c r="AF14" s="255" t="s">
        <v>201</v>
      </c>
      <c r="AG14" s="256">
        <v>40</v>
      </c>
      <c r="AH14" s="167">
        <f t="shared" si="25"/>
        <v>0</v>
      </c>
      <c r="AI14" s="167">
        <f t="shared" si="26"/>
        <v>0</v>
      </c>
      <c r="AJ14" s="224">
        <v>22</v>
      </c>
      <c r="AK14" s="224">
        <v>22</v>
      </c>
      <c r="AL14" s="161" t="s">
        <v>69</v>
      </c>
      <c r="AM14" s="224">
        <v>0</v>
      </c>
      <c r="AN14" s="224">
        <v>0</v>
      </c>
      <c r="AO14" s="257">
        <v>4</v>
      </c>
      <c r="AP14" s="226" t="s">
        <v>129</v>
      </c>
      <c r="AQ14" s="210" t="s">
        <v>131</v>
      </c>
      <c r="AR14" s="264">
        <v>1431.04</v>
      </c>
      <c r="AS14" s="227">
        <v>0.25</v>
      </c>
      <c r="AT14" s="935" t="s">
        <v>202</v>
      </c>
      <c r="AU14" s="936"/>
      <c r="AV14" s="246">
        <v>0.2</v>
      </c>
      <c r="AW14" s="247" t="s">
        <v>201</v>
      </c>
      <c r="AX14" s="248">
        <v>40</v>
      </c>
      <c r="AY14" s="172">
        <f t="shared" si="27"/>
        <v>0</v>
      </c>
      <c r="AZ14" s="172">
        <f t="shared" si="28"/>
        <v>0</v>
      </c>
      <c r="BA14" s="173">
        <v>22</v>
      </c>
      <c r="BB14" s="173">
        <v>22</v>
      </c>
      <c r="BC14" s="149" t="s">
        <v>129</v>
      </c>
      <c r="BD14" s="149">
        <v>0</v>
      </c>
      <c r="BE14" s="149">
        <v>0</v>
      </c>
      <c r="BF14" s="228">
        <v>0</v>
      </c>
      <c r="BG14" s="219" t="s">
        <v>129</v>
      </c>
      <c r="BH14" s="220" t="s">
        <v>131</v>
      </c>
      <c r="BI14" s="265">
        <v>1431.04</v>
      </c>
      <c r="BJ14" s="222">
        <v>0.25</v>
      </c>
      <c r="BK14" s="975" t="s">
        <v>202</v>
      </c>
      <c r="BL14" s="936"/>
      <c r="BM14" s="254">
        <v>0.2</v>
      </c>
      <c r="BN14" s="255" t="s">
        <v>201</v>
      </c>
      <c r="BO14" s="166">
        <v>44</v>
      </c>
      <c r="BP14" s="167">
        <f t="shared" si="3"/>
        <v>0</v>
      </c>
      <c r="BQ14" s="167">
        <f t="shared" ref="BQ14:BQ21" si="29">IFERROR(((52+12)/(IF(BG14="S",BF14+(IF(Y14="S",X14,0))+(IF(AS14="S",AR14,0)),0)))/12,0)</f>
        <v>0</v>
      </c>
      <c r="BR14" s="224">
        <v>22</v>
      </c>
      <c r="BS14" s="224">
        <v>22</v>
      </c>
      <c r="BT14" s="161" t="s">
        <v>69</v>
      </c>
      <c r="BU14" s="224"/>
      <c r="BV14" s="229"/>
      <c r="BW14" s="230">
        <v>0</v>
      </c>
      <c r="BX14" s="231" t="s">
        <v>69</v>
      </c>
      <c r="BY14" s="178" t="s">
        <v>28</v>
      </c>
      <c r="BZ14" s="179">
        <v>2461.8000000000002</v>
      </c>
      <c r="CA14" s="232">
        <v>0.25</v>
      </c>
      <c r="CB14" s="974" t="s">
        <v>202</v>
      </c>
      <c r="CC14" s="936"/>
      <c r="CD14" s="232">
        <v>0.2</v>
      </c>
      <c r="CE14" s="181" t="s">
        <v>203</v>
      </c>
      <c r="CF14" s="182">
        <v>44</v>
      </c>
      <c r="CG14" s="183">
        <f t="shared" si="5"/>
        <v>0</v>
      </c>
      <c r="CH14" s="183">
        <f t="shared" ref="CH14:CH21" si="30">IFERROR(((52+12)/(IF(BX14="S",BW14+(IF(Y14="S",X14,0))+(IF(AS14="S",AR14,0)),0)))/12,0)</f>
        <v>0</v>
      </c>
      <c r="CI14" s="233">
        <v>22</v>
      </c>
      <c r="CJ14" s="233">
        <v>22</v>
      </c>
      <c r="CK14" s="178" t="s">
        <v>69</v>
      </c>
      <c r="CL14" s="233"/>
      <c r="CM14" s="233"/>
      <c r="CN14" s="230">
        <v>0</v>
      </c>
      <c r="CO14" s="231" t="s">
        <v>69</v>
      </c>
      <c r="CP14" s="178" t="s">
        <v>28</v>
      </c>
      <c r="CQ14" s="234">
        <v>1396.01</v>
      </c>
      <c r="CR14" s="232">
        <v>0.3</v>
      </c>
      <c r="CS14" s="974" t="s">
        <v>202</v>
      </c>
      <c r="CT14" s="936"/>
      <c r="CU14" s="232">
        <v>0.2</v>
      </c>
      <c r="CV14" s="181" t="s">
        <v>201</v>
      </c>
      <c r="CW14" s="182">
        <v>44</v>
      </c>
      <c r="CX14" s="183">
        <f t="shared" si="6"/>
        <v>0</v>
      </c>
      <c r="CY14" s="183">
        <f t="shared" ref="CY14:CY21" si="31">IFERROR(((52+12)/(IF(CO14="S",CN14+(IF(Y14="S",X14,0))+(IF(AS14="S",AR14,0)),0)))/12,0)</f>
        <v>0</v>
      </c>
      <c r="CZ14" s="233">
        <v>22</v>
      </c>
      <c r="DA14" s="233">
        <v>22</v>
      </c>
      <c r="DB14" s="178" t="s">
        <v>69</v>
      </c>
      <c r="DC14" s="233"/>
      <c r="DD14" s="233"/>
      <c r="DE14" s="230">
        <v>0</v>
      </c>
      <c r="DF14" s="231" t="s">
        <v>69</v>
      </c>
      <c r="DG14" s="178" t="s">
        <v>28</v>
      </c>
      <c r="DH14" s="234">
        <v>1396.01</v>
      </c>
      <c r="DI14" s="258">
        <v>0.25</v>
      </c>
      <c r="DJ14" s="968" t="s">
        <v>202</v>
      </c>
      <c r="DK14" s="936"/>
      <c r="DL14" s="258">
        <v>0.2</v>
      </c>
      <c r="DM14" s="181" t="s">
        <v>201</v>
      </c>
      <c r="DN14" s="185">
        <v>44</v>
      </c>
      <c r="DO14" s="186">
        <f t="shared" si="7"/>
        <v>0</v>
      </c>
      <c r="DP14" s="186">
        <f t="shared" ref="DP14:DP21" si="32">IFERROR(((52+12)/(IF(DF14="S",DE14+(IF(Y14="S",X14,0))+(IF(AS14="S",AR14,0)),0)))/12,0)</f>
        <v>0</v>
      </c>
      <c r="DQ14" s="259">
        <v>22</v>
      </c>
      <c r="DR14" s="233">
        <v>22</v>
      </c>
      <c r="DS14" s="187" t="s">
        <v>69</v>
      </c>
      <c r="DT14" s="259"/>
      <c r="DU14" s="259"/>
      <c r="DV14" s="235">
        <v>0</v>
      </c>
      <c r="DW14" s="236" t="s">
        <v>129</v>
      </c>
      <c r="DX14" s="178" t="s">
        <v>19</v>
      </c>
      <c r="DY14" s="260">
        <v>4128.0200000000004</v>
      </c>
      <c r="DZ14" s="258">
        <v>0.25</v>
      </c>
      <c r="EA14" s="968" t="s">
        <v>202</v>
      </c>
      <c r="EB14" s="936"/>
      <c r="EC14" s="258">
        <v>0.2</v>
      </c>
      <c r="ED14" s="191" t="s">
        <v>204</v>
      </c>
      <c r="EE14" s="185">
        <v>44</v>
      </c>
      <c r="EF14" s="186">
        <f t="shared" si="8"/>
        <v>0</v>
      </c>
      <c r="EG14" s="186">
        <f t="shared" ref="EG14:EG21" si="33">IFERROR(((52+12)/(IF(DW14="S",DV14+(IF(Y14="S",X14,0))+(IF(AS14="S",AR14,0)),0)))/12,0)</f>
        <v>0</v>
      </c>
      <c r="EH14" s="259">
        <v>22</v>
      </c>
      <c r="EI14" s="259">
        <v>22</v>
      </c>
      <c r="EJ14" s="187" t="s">
        <v>69</v>
      </c>
      <c r="EK14" s="259"/>
      <c r="EL14" s="259"/>
      <c r="EM14" s="237">
        <v>0</v>
      </c>
      <c r="EN14" s="238" t="s">
        <v>129</v>
      </c>
      <c r="EO14" s="194" t="s">
        <v>19</v>
      </c>
      <c r="EP14" s="261">
        <v>4128.0200000000004</v>
      </c>
      <c r="EQ14" s="262">
        <v>0.25</v>
      </c>
      <c r="ER14" s="955" t="s">
        <v>202</v>
      </c>
      <c r="ES14" s="936"/>
      <c r="ET14" s="262">
        <v>0.2</v>
      </c>
      <c r="EU14" s="197" t="s">
        <v>204</v>
      </c>
      <c r="EV14" s="198">
        <v>44</v>
      </c>
      <c r="EW14" s="199">
        <f t="shared" si="9"/>
        <v>0</v>
      </c>
      <c r="EX14" s="199">
        <f t="shared" ref="EX14:EX21" si="34">IFERROR(((52+12)/(IF(EN14="S",EM14+(IF(Y14="S",X14,0))+(IF(AS14="S",AR14,0)),0)))/12,0)</f>
        <v>0</v>
      </c>
      <c r="EY14" s="263">
        <v>22</v>
      </c>
      <c r="EZ14" s="263">
        <v>22</v>
      </c>
      <c r="FA14" s="200" t="s">
        <v>69</v>
      </c>
      <c r="FB14" s="263"/>
      <c r="FC14" s="263"/>
      <c r="FD14" s="237">
        <v>0</v>
      </c>
      <c r="FE14" s="238" t="s">
        <v>129</v>
      </c>
      <c r="FF14" s="194" t="s">
        <v>19</v>
      </c>
      <c r="FG14" s="261">
        <v>1741.45</v>
      </c>
      <c r="FH14" s="262">
        <v>0.25</v>
      </c>
      <c r="FI14" s="955" t="s">
        <v>202</v>
      </c>
      <c r="FJ14" s="936"/>
      <c r="FK14" s="262">
        <v>0.2</v>
      </c>
      <c r="FL14" s="197" t="s">
        <v>205</v>
      </c>
      <c r="FM14" s="198">
        <v>44</v>
      </c>
      <c r="FN14" s="199">
        <f t="shared" si="10"/>
        <v>0</v>
      </c>
      <c r="FO14" s="199">
        <f t="shared" ref="FO14:FO21" si="35">IFERROR(((52+12)/(IF(FE14="S",FD14+(IF(Y14="S",X14,0))+(IF(AS14="S",AR14,0)),0)))/12,0)</f>
        <v>0</v>
      </c>
      <c r="FP14" s="263">
        <v>9</v>
      </c>
      <c r="FQ14" s="263"/>
      <c r="FR14" s="200" t="s">
        <v>69</v>
      </c>
      <c r="FS14" s="263"/>
      <c r="FT14" s="263"/>
      <c r="FU14" s="237">
        <v>0</v>
      </c>
      <c r="FV14" s="238" t="s">
        <v>129</v>
      </c>
      <c r="FW14" s="194" t="s">
        <v>19</v>
      </c>
      <c r="FX14" s="261">
        <v>0</v>
      </c>
      <c r="FY14" s="262">
        <v>0.25</v>
      </c>
      <c r="FZ14" s="955" t="s">
        <v>202</v>
      </c>
      <c r="GA14" s="936"/>
      <c r="GB14" s="262">
        <v>0.2</v>
      </c>
      <c r="GC14" s="197" t="s">
        <v>204</v>
      </c>
      <c r="GD14" s="198">
        <v>44</v>
      </c>
      <c r="GE14" s="199">
        <f t="shared" si="11"/>
        <v>0</v>
      </c>
      <c r="GF14" s="199">
        <f t="shared" ref="GF14:GF21" si="36">IFERROR(((52+12)/(IF(FV14="S",FU14+(IF(Y14="S",X14,0))+(IF(AS14="S",AR14,0)),0)))/12,0)</f>
        <v>0</v>
      </c>
      <c r="GG14" s="263">
        <v>0</v>
      </c>
      <c r="GH14" s="263"/>
      <c r="GI14" s="200" t="s">
        <v>69</v>
      </c>
      <c r="GJ14" s="263"/>
      <c r="GK14" s="263"/>
      <c r="GL14" s="237">
        <v>0</v>
      </c>
      <c r="GM14" s="238" t="s">
        <v>129</v>
      </c>
      <c r="GN14" s="194" t="s">
        <v>19</v>
      </c>
      <c r="GO14" s="261">
        <v>0</v>
      </c>
      <c r="GP14" s="262">
        <v>0.25</v>
      </c>
      <c r="GQ14" s="955" t="s">
        <v>202</v>
      </c>
      <c r="GR14" s="936"/>
      <c r="GS14" s="262">
        <v>0.2</v>
      </c>
      <c r="GT14" s="197" t="s">
        <v>204</v>
      </c>
      <c r="GU14" s="198">
        <v>44</v>
      </c>
      <c r="GV14" s="199">
        <f t="shared" si="22"/>
        <v>0</v>
      </c>
      <c r="GW14" s="199">
        <f t="shared" ref="GW14:GW21" si="37">IFERROR(((52+12)/(IF(GM14="S",GL14+(IF(Y14="S",X14,0))+(IF(AS14="S",AR14,0)),0)))/12,0)</f>
        <v>0</v>
      </c>
      <c r="GX14" s="263">
        <v>0</v>
      </c>
      <c r="GY14" s="263"/>
      <c r="GZ14" s="200" t="s">
        <v>69</v>
      </c>
      <c r="HA14" s="263"/>
      <c r="HB14" s="263"/>
      <c r="HC14" s="201">
        <f t="shared" si="13"/>
        <v>7</v>
      </c>
      <c r="HD14" s="202"/>
      <c r="HE14" s="202"/>
      <c r="HF14" s="202"/>
      <c r="HG14" s="202"/>
      <c r="HH14" s="202"/>
      <c r="HI14" s="202"/>
      <c r="HJ14" s="202"/>
      <c r="HK14" s="202"/>
      <c r="HL14" s="202"/>
      <c r="HM14" s="202"/>
      <c r="HN14" s="203">
        <f t="shared" si="14"/>
        <v>7</v>
      </c>
    </row>
    <row r="15" spans="1:222" ht="22.5" customHeight="1">
      <c r="A15" s="1"/>
      <c r="B15" s="204">
        <v>158127</v>
      </c>
      <c r="C15" s="204" t="s">
        <v>211</v>
      </c>
      <c r="D15" s="205" t="s">
        <v>55</v>
      </c>
      <c r="E15" s="206">
        <v>4.5</v>
      </c>
      <c r="F15" s="207">
        <v>4</v>
      </c>
      <c r="G15" s="208">
        <v>0</v>
      </c>
      <c r="H15" s="209" t="s">
        <v>129</v>
      </c>
      <c r="I15" s="266" t="s">
        <v>131</v>
      </c>
      <c r="J15" s="211">
        <v>1502.5</v>
      </c>
      <c r="K15" s="212">
        <v>0.2</v>
      </c>
      <c r="L15" s="940" t="s">
        <v>200</v>
      </c>
      <c r="M15" s="936"/>
      <c r="N15" s="212">
        <v>0.2</v>
      </c>
      <c r="O15" s="152" t="s">
        <v>201</v>
      </c>
      <c r="P15" s="213">
        <v>40</v>
      </c>
      <c r="Q15" s="214">
        <f t="shared" si="23"/>
        <v>0</v>
      </c>
      <c r="R15" s="214">
        <f t="shared" si="24"/>
        <v>0</v>
      </c>
      <c r="S15" s="215">
        <v>22</v>
      </c>
      <c r="T15" s="215">
        <v>2</v>
      </c>
      <c r="U15" s="210" t="s">
        <v>69</v>
      </c>
      <c r="V15" s="216">
        <v>0</v>
      </c>
      <c r="W15" s="217">
        <v>0</v>
      </c>
      <c r="X15" s="218">
        <v>0</v>
      </c>
      <c r="Y15" s="219" t="s">
        <v>129</v>
      </c>
      <c r="Z15" s="267" t="s">
        <v>131</v>
      </c>
      <c r="AA15" s="221">
        <v>1502.5</v>
      </c>
      <c r="AB15" s="222">
        <v>0.25</v>
      </c>
      <c r="AC15" s="954" t="s">
        <v>202</v>
      </c>
      <c r="AD15" s="936"/>
      <c r="AE15" s="223">
        <v>0.2</v>
      </c>
      <c r="AF15" s="165" t="s">
        <v>201</v>
      </c>
      <c r="AG15" s="166">
        <v>40</v>
      </c>
      <c r="AH15" s="167">
        <f t="shared" si="25"/>
        <v>0</v>
      </c>
      <c r="AI15" s="167">
        <f t="shared" si="26"/>
        <v>0</v>
      </c>
      <c r="AJ15" s="224">
        <v>22</v>
      </c>
      <c r="AK15" s="224">
        <v>22</v>
      </c>
      <c r="AL15" s="161" t="s">
        <v>69</v>
      </c>
      <c r="AM15" s="224">
        <v>0</v>
      </c>
      <c r="AN15" s="224">
        <v>0</v>
      </c>
      <c r="AO15" s="225">
        <v>0</v>
      </c>
      <c r="AP15" s="226" t="s">
        <v>129</v>
      </c>
      <c r="AQ15" s="266" t="s">
        <v>131</v>
      </c>
      <c r="AR15" s="211">
        <v>1431.04</v>
      </c>
      <c r="AS15" s="227">
        <v>0.25</v>
      </c>
      <c r="AT15" s="935" t="s">
        <v>202</v>
      </c>
      <c r="AU15" s="936"/>
      <c r="AV15" s="212">
        <v>0.2</v>
      </c>
      <c r="AW15" s="152" t="s">
        <v>201</v>
      </c>
      <c r="AX15" s="171">
        <v>40</v>
      </c>
      <c r="AY15" s="172">
        <f t="shared" si="27"/>
        <v>0</v>
      </c>
      <c r="AZ15" s="172">
        <f t="shared" si="28"/>
        <v>0</v>
      </c>
      <c r="BA15" s="173">
        <v>22</v>
      </c>
      <c r="BB15" s="173">
        <v>22</v>
      </c>
      <c r="BC15" s="149" t="s">
        <v>129</v>
      </c>
      <c r="BD15" s="149">
        <v>0</v>
      </c>
      <c r="BE15" s="149">
        <v>0</v>
      </c>
      <c r="BF15" s="228">
        <v>0</v>
      </c>
      <c r="BG15" s="219" t="s">
        <v>129</v>
      </c>
      <c r="BH15" s="267" t="s">
        <v>131</v>
      </c>
      <c r="BI15" s="221">
        <v>1431.04</v>
      </c>
      <c r="BJ15" s="222">
        <v>0.25</v>
      </c>
      <c r="BK15" s="975" t="s">
        <v>202</v>
      </c>
      <c r="BL15" s="936"/>
      <c r="BM15" s="223">
        <v>0.2</v>
      </c>
      <c r="BN15" s="165" t="s">
        <v>201</v>
      </c>
      <c r="BO15" s="166">
        <v>44</v>
      </c>
      <c r="BP15" s="167">
        <f t="shared" si="3"/>
        <v>0</v>
      </c>
      <c r="BQ15" s="167">
        <f t="shared" si="29"/>
        <v>0</v>
      </c>
      <c r="BR15" s="224">
        <v>22</v>
      </c>
      <c r="BS15" s="224">
        <v>22</v>
      </c>
      <c r="BT15" s="161" t="s">
        <v>69</v>
      </c>
      <c r="BU15" s="224"/>
      <c r="BV15" s="229"/>
      <c r="BW15" s="230">
        <v>0</v>
      </c>
      <c r="BX15" s="231" t="s">
        <v>69</v>
      </c>
      <c r="BY15" s="178" t="s">
        <v>28</v>
      </c>
      <c r="BZ15" s="179">
        <v>2461.8000000000002</v>
      </c>
      <c r="CA15" s="232">
        <v>0.25</v>
      </c>
      <c r="CB15" s="974" t="s">
        <v>202</v>
      </c>
      <c r="CC15" s="936"/>
      <c r="CD15" s="232">
        <v>0.2</v>
      </c>
      <c r="CE15" s="181" t="s">
        <v>203</v>
      </c>
      <c r="CF15" s="182">
        <v>44</v>
      </c>
      <c r="CG15" s="183">
        <f t="shared" si="5"/>
        <v>0</v>
      </c>
      <c r="CH15" s="183">
        <f t="shared" si="30"/>
        <v>0</v>
      </c>
      <c r="CI15" s="233">
        <v>22</v>
      </c>
      <c r="CJ15" s="233">
        <v>22</v>
      </c>
      <c r="CK15" s="178" t="s">
        <v>69</v>
      </c>
      <c r="CL15" s="233"/>
      <c r="CM15" s="233"/>
      <c r="CN15" s="230">
        <v>0</v>
      </c>
      <c r="CO15" s="231" t="s">
        <v>69</v>
      </c>
      <c r="CP15" s="178" t="s">
        <v>28</v>
      </c>
      <c r="CQ15" s="234">
        <v>1396.01</v>
      </c>
      <c r="CR15" s="232">
        <v>0.3</v>
      </c>
      <c r="CS15" s="974" t="s">
        <v>202</v>
      </c>
      <c r="CT15" s="936"/>
      <c r="CU15" s="232">
        <v>0.2</v>
      </c>
      <c r="CV15" s="181" t="s">
        <v>201</v>
      </c>
      <c r="CW15" s="182">
        <v>44</v>
      </c>
      <c r="CX15" s="183">
        <f t="shared" si="6"/>
        <v>0</v>
      </c>
      <c r="CY15" s="183">
        <f t="shared" si="31"/>
        <v>0</v>
      </c>
      <c r="CZ15" s="233">
        <v>22</v>
      </c>
      <c r="DA15" s="233">
        <v>22</v>
      </c>
      <c r="DB15" s="178" t="s">
        <v>69</v>
      </c>
      <c r="DC15" s="233"/>
      <c r="DD15" s="233"/>
      <c r="DE15" s="230">
        <v>0</v>
      </c>
      <c r="DF15" s="231" t="s">
        <v>69</v>
      </c>
      <c r="DG15" s="178" t="s">
        <v>28</v>
      </c>
      <c r="DH15" s="234">
        <v>1396.01</v>
      </c>
      <c r="DI15" s="232">
        <v>0.25</v>
      </c>
      <c r="DJ15" s="968" t="s">
        <v>202</v>
      </c>
      <c r="DK15" s="936"/>
      <c r="DL15" s="232">
        <v>0.2</v>
      </c>
      <c r="DM15" s="181" t="s">
        <v>201</v>
      </c>
      <c r="DN15" s="185">
        <v>44</v>
      </c>
      <c r="DO15" s="183">
        <f t="shared" si="7"/>
        <v>0</v>
      </c>
      <c r="DP15" s="183">
        <f t="shared" si="32"/>
        <v>0</v>
      </c>
      <c r="DQ15" s="233">
        <v>22</v>
      </c>
      <c r="DR15" s="233">
        <v>22</v>
      </c>
      <c r="DS15" s="178" t="s">
        <v>69</v>
      </c>
      <c r="DT15" s="233"/>
      <c r="DU15" s="233"/>
      <c r="DV15" s="235">
        <v>0</v>
      </c>
      <c r="DW15" s="236" t="s">
        <v>129</v>
      </c>
      <c r="DX15" s="178" t="s">
        <v>19</v>
      </c>
      <c r="DY15" s="234">
        <v>4128.0200000000004</v>
      </c>
      <c r="DZ15" s="232">
        <v>0.25</v>
      </c>
      <c r="EA15" s="968" t="s">
        <v>202</v>
      </c>
      <c r="EB15" s="936"/>
      <c r="EC15" s="232">
        <v>0.2</v>
      </c>
      <c r="ED15" s="181" t="s">
        <v>204</v>
      </c>
      <c r="EE15" s="185">
        <v>44</v>
      </c>
      <c r="EF15" s="183">
        <f t="shared" si="8"/>
        <v>0</v>
      </c>
      <c r="EG15" s="183">
        <f t="shared" si="33"/>
        <v>0</v>
      </c>
      <c r="EH15" s="233">
        <v>22</v>
      </c>
      <c r="EI15" s="233">
        <v>22</v>
      </c>
      <c r="EJ15" s="178" t="s">
        <v>69</v>
      </c>
      <c r="EK15" s="233"/>
      <c r="EL15" s="233"/>
      <c r="EM15" s="237">
        <v>0</v>
      </c>
      <c r="EN15" s="238" t="s">
        <v>129</v>
      </c>
      <c r="EO15" s="194" t="s">
        <v>19</v>
      </c>
      <c r="EP15" s="239">
        <v>4128.0200000000004</v>
      </c>
      <c r="EQ15" s="240">
        <v>0.25</v>
      </c>
      <c r="ER15" s="955" t="s">
        <v>202</v>
      </c>
      <c r="ES15" s="936"/>
      <c r="ET15" s="240">
        <v>0.2</v>
      </c>
      <c r="EU15" s="241" t="s">
        <v>204</v>
      </c>
      <c r="EV15" s="198">
        <v>44</v>
      </c>
      <c r="EW15" s="242">
        <f t="shared" si="9"/>
        <v>0</v>
      </c>
      <c r="EX15" s="242">
        <f t="shared" si="34"/>
        <v>0</v>
      </c>
      <c r="EY15" s="243">
        <v>22</v>
      </c>
      <c r="EZ15" s="243">
        <v>22</v>
      </c>
      <c r="FA15" s="194" t="s">
        <v>69</v>
      </c>
      <c r="FB15" s="243"/>
      <c r="FC15" s="243"/>
      <c r="FD15" s="237">
        <v>0</v>
      </c>
      <c r="FE15" s="238" t="s">
        <v>129</v>
      </c>
      <c r="FF15" s="194" t="s">
        <v>19</v>
      </c>
      <c r="FG15" s="239">
        <v>1741.45</v>
      </c>
      <c r="FH15" s="240">
        <v>0.25</v>
      </c>
      <c r="FI15" s="955" t="s">
        <v>202</v>
      </c>
      <c r="FJ15" s="936"/>
      <c r="FK15" s="240">
        <v>0.2</v>
      </c>
      <c r="FL15" s="241" t="s">
        <v>205</v>
      </c>
      <c r="FM15" s="198">
        <v>44</v>
      </c>
      <c r="FN15" s="242">
        <f t="shared" si="10"/>
        <v>0</v>
      </c>
      <c r="FO15" s="242">
        <f t="shared" si="35"/>
        <v>0</v>
      </c>
      <c r="FP15" s="243">
        <v>9</v>
      </c>
      <c r="FQ15" s="243"/>
      <c r="FR15" s="194" t="s">
        <v>69</v>
      </c>
      <c r="FS15" s="243"/>
      <c r="FT15" s="243"/>
      <c r="FU15" s="237">
        <v>0</v>
      </c>
      <c r="FV15" s="238" t="s">
        <v>129</v>
      </c>
      <c r="FW15" s="194" t="s">
        <v>19</v>
      </c>
      <c r="FX15" s="239">
        <v>0</v>
      </c>
      <c r="FY15" s="240">
        <v>0.25</v>
      </c>
      <c r="FZ15" s="955" t="s">
        <v>202</v>
      </c>
      <c r="GA15" s="936"/>
      <c r="GB15" s="240">
        <v>0.2</v>
      </c>
      <c r="GC15" s="241" t="s">
        <v>204</v>
      </c>
      <c r="GD15" s="198">
        <v>44</v>
      </c>
      <c r="GE15" s="242">
        <f t="shared" si="11"/>
        <v>0</v>
      </c>
      <c r="GF15" s="242">
        <f t="shared" si="36"/>
        <v>0</v>
      </c>
      <c r="GG15" s="243">
        <v>0</v>
      </c>
      <c r="GH15" s="243"/>
      <c r="GI15" s="194" t="s">
        <v>69</v>
      </c>
      <c r="GJ15" s="243"/>
      <c r="GK15" s="243"/>
      <c r="GL15" s="237">
        <v>0</v>
      </c>
      <c r="GM15" s="238" t="s">
        <v>129</v>
      </c>
      <c r="GN15" s="194" t="s">
        <v>19</v>
      </c>
      <c r="GO15" s="239">
        <v>0</v>
      </c>
      <c r="GP15" s="240">
        <v>0.25</v>
      </c>
      <c r="GQ15" s="955" t="s">
        <v>202</v>
      </c>
      <c r="GR15" s="936"/>
      <c r="GS15" s="240">
        <v>0.2</v>
      </c>
      <c r="GT15" s="241" t="s">
        <v>204</v>
      </c>
      <c r="GU15" s="198">
        <v>44</v>
      </c>
      <c r="GV15" s="242">
        <f t="shared" si="22"/>
        <v>0</v>
      </c>
      <c r="GW15" s="242">
        <f t="shared" si="37"/>
        <v>0</v>
      </c>
      <c r="GX15" s="243">
        <v>0</v>
      </c>
      <c r="GY15" s="243"/>
      <c r="GZ15" s="194" t="s">
        <v>69</v>
      </c>
      <c r="HA15" s="243"/>
      <c r="HB15" s="243"/>
      <c r="HC15" s="201">
        <f t="shared" si="13"/>
        <v>0</v>
      </c>
      <c r="HD15" s="89"/>
      <c r="HE15" s="89"/>
      <c r="HF15" s="89"/>
      <c r="HG15" s="89"/>
      <c r="HH15" s="89"/>
      <c r="HI15" s="89"/>
      <c r="HJ15" s="89"/>
      <c r="HK15" s="89"/>
      <c r="HL15" s="89"/>
      <c r="HM15" s="89"/>
      <c r="HN15" s="203">
        <f t="shared" si="14"/>
        <v>0</v>
      </c>
    </row>
    <row r="16" spans="1:222" ht="22.5" customHeight="1">
      <c r="A16" s="1"/>
      <c r="B16" s="204">
        <v>158504</v>
      </c>
      <c r="C16" s="204" t="s">
        <v>212</v>
      </c>
      <c r="D16" s="205" t="s">
        <v>61</v>
      </c>
      <c r="E16" s="206">
        <v>4.75</v>
      </c>
      <c r="F16" s="207">
        <v>3</v>
      </c>
      <c r="G16" s="208">
        <v>0</v>
      </c>
      <c r="H16" s="209" t="s">
        <v>129</v>
      </c>
      <c r="I16" s="210" t="s">
        <v>131</v>
      </c>
      <c r="J16" s="211">
        <v>1502.5</v>
      </c>
      <c r="K16" s="212">
        <v>0.2</v>
      </c>
      <c r="L16" s="940" t="s">
        <v>200</v>
      </c>
      <c r="M16" s="936"/>
      <c r="N16" s="212">
        <v>0.2</v>
      </c>
      <c r="O16" s="152" t="s">
        <v>201</v>
      </c>
      <c r="P16" s="213">
        <v>40</v>
      </c>
      <c r="Q16" s="214">
        <f t="shared" si="23"/>
        <v>0</v>
      </c>
      <c r="R16" s="214">
        <f t="shared" si="24"/>
        <v>0</v>
      </c>
      <c r="S16" s="215">
        <v>22</v>
      </c>
      <c r="T16" s="215">
        <v>22</v>
      </c>
      <c r="U16" s="210" t="s">
        <v>69</v>
      </c>
      <c r="V16" s="216">
        <v>0</v>
      </c>
      <c r="W16" s="217">
        <v>0</v>
      </c>
      <c r="X16" s="218">
        <v>0</v>
      </c>
      <c r="Y16" s="219" t="s">
        <v>129</v>
      </c>
      <c r="Z16" s="220" t="s">
        <v>131</v>
      </c>
      <c r="AA16" s="221">
        <v>1502.5</v>
      </c>
      <c r="AB16" s="222">
        <v>0.25</v>
      </c>
      <c r="AC16" s="954" t="s">
        <v>202</v>
      </c>
      <c r="AD16" s="936"/>
      <c r="AE16" s="223">
        <v>0.2</v>
      </c>
      <c r="AF16" s="165" t="s">
        <v>201</v>
      </c>
      <c r="AG16" s="166">
        <v>40</v>
      </c>
      <c r="AH16" s="167">
        <f t="shared" si="25"/>
        <v>0</v>
      </c>
      <c r="AI16" s="167">
        <f t="shared" si="26"/>
        <v>0</v>
      </c>
      <c r="AJ16" s="224">
        <v>22</v>
      </c>
      <c r="AK16" s="224">
        <v>22</v>
      </c>
      <c r="AL16" s="161" t="s">
        <v>69</v>
      </c>
      <c r="AM16" s="224">
        <v>0</v>
      </c>
      <c r="AN16" s="224">
        <v>0</v>
      </c>
      <c r="AO16" s="225">
        <v>0</v>
      </c>
      <c r="AP16" s="226" t="s">
        <v>129</v>
      </c>
      <c r="AQ16" s="210" t="s">
        <v>131</v>
      </c>
      <c r="AR16" s="211">
        <v>1431.04</v>
      </c>
      <c r="AS16" s="227">
        <v>0.25</v>
      </c>
      <c r="AT16" s="935" t="s">
        <v>202</v>
      </c>
      <c r="AU16" s="936"/>
      <c r="AV16" s="212">
        <v>0.2</v>
      </c>
      <c r="AW16" s="152" t="s">
        <v>201</v>
      </c>
      <c r="AX16" s="171">
        <v>40</v>
      </c>
      <c r="AY16" s="172">
        <f t="shared" si="27"/>
        <v>0</v>
      </c>
      <c r="AZ16" s="172">
        <f t="shared" si="28"/>
        <v>0</v>
      </c>
      <c r="BA16" s="173">
        <v>22</v>
      </c>
      <c r="BB16" s="173">
        <v>22</v>
      </c>
      <c r="BC16" s="149" t="s">
        <v>129</v>
      </c>
      <c r="BD16" s="149">
        <v>0</v>
      </c>
      <c r="BE16" s="149">
        <v>0</v>
      </c>
      <c r="BF16" s="228">
        <v>0</v>
      </c>
      <c r="BG16" s="219" t="s">
        <v>129</v>
      </c>
      <c r="BH16" s="220" t="s">
        <v>131</v>
      </c>
      <c r="BI16" s="221">
        <v>1431.04</v>
      </c>
      <c r="BJ16" s="222">
        <v>0.25</v>
      </c>
      <c r="BK16" s="975" t="s">
        <v>202</v>
      </c>
      <c r="BL16" s="936"/>
      <c r="BM16" s="223">
        <v>0.2</v>
      </c>
      <c r="BN16" s="165" t="s">
        <v>201</v>
      </c>
      <c r="BO16" s="166">
        <v>44</v>
      </c>
      <c r="BP16" s="167">
        <f t="shared" si="3"/>
        <v>0</v>
      </c>
      <c r="BQ16" s="167">
        <f t="shared" si="29"/>
        <v>0</v>
      </c>
      <c r="BR16" s="224">
        <v>22</v>
      </c>
      <c r="BS16" s="224">
        <v>22</v>
      </c>
      <c r="BT16" s="161" t="s">
        <v>69</v>
      </c>
      <c r="BU16" s="224"/>
      <c r="BV16" s="229"/>
      <c r="BW16" s="230">
        <v>0</v>
      </c>
      <c r="BX16" s="231" t="s">
        <v>69</v>
      </c>
      <c r="BY16" s="178" t="s">
        <v>28</v>
      </c>
      <c r="BZ16" s="179">
        <v>2461.8000000000002</v>
      </c>
      <c r="CA16" s="232">
        <v>0.25</v>
      </c>
      <c r="CB16" s="974" t="s">
        <v>202</v>
      </c>
      <c r="CC16" s="936"/>
      <c r="CD16" s="232">
        <v>0.2</v>
      </c>
      <c r="CE16" s="181" t="s">
        <v>203</v>
      </c>
      <c r="CF16" s="182">
        <v>44</v>
      </c>
      <c r="CG16" s="183">
        <f t="shared" si="5"/>
        <v>0</v>
      </c>
      <c r="CH16" s="183">
        <f t="shared" si="30"/>
        <v>0</v>
      </c>
      <c r="CI16" s="233">
        <v>22</v>
      </c>
      <c r="CJ16" s="233">
        <v>22</v>
      </c>
      <c r="CK16" s="178" t="s">
        <v>69</v>
      </c>
      <c r="CL16" s="233"/>
      <c r="CM16" s="233"/>
      <c r="CN16" s="230">
        <v>0</v>
      </c>
      <c r="CO16" s="231" t="s">
        <v>69</v>
      </c>
      <c r="CP16" s="178" t="s">
        <v>28</v>
      </c>
      <c r="CQ16" s="234">
        <v>1396.01</v>
      </c>
      <c r="CR16" s="232">
        <v>0.3</v>
      </c>
      <c r="CS16" s="974" t="s">
        <v>202</v>
      </c>
      <c r="CT16" s="936"/>
      <c r="CU16" s="232">
        <v>0.2</v>
      </c>
      <c r="CV16" s="181" t="s">
        <v>201</v>
      </c>
      <c r="CW16" s="182">
        <v>44</v>
      </c>
      <c r="CX16" s="183">
        <f t="shared" si="6"/>
        <v>0</v>
      </c>
      <c r="CY16" s="183">
        <f t="shared" si="31"/>
        <v>0</v>
      </c>
      <c r="CZ16" s="233">
        <v>22</v>
      </c>
      <c r="DA16" s="233">
        <v>22</v>
      </c>
      <c r="DB16" s="178" t="s">
        <v>69</v>
      </c>
      <c r="DC16" s="233"/>
      <c r="DD16" s="233"/>
      <c r="DE16" s="230">
        <v>0</v>
      </c>
      <c r="DF16" s="231" t="s">
        <v>69</v>
      </c>
      <c r="DG16" s="178" t="s">
        <v>28</v>
      </c>
      <c r="DH16" s="234">
        <v>1396.01</v>
      </c>
      <c r="DI16" s="232">
        <v>0.25</v>
      </c>
      <c r="DJ16" s="968" t="s">
        <v>202</v>
      </c>
      <c r="DK16" s="936"/>
      <c r="DL16" s="232">
        <v>0.2</v>
      </c>
      <c r="DM16" s="181" t="s">
        <v>201</v>
      </c>
      <c r="DN16" s="185">
        <v>44</v>
      </c>
      <c r="DO16" s="183">
        <f t="shared" si="7"/>
        <v>0</v>
      </c>
      <c r="DP16" s="183">
        <f t="shared" si="32"/>
        <v>0</v>
      </c>
      <c r="DQ16" s="233">
        <v>22</v>
      </c>
      <c r="DR16" s="233">
        <v>22</v>
      </c>
      <c r="DS16" s="178" t="s">
        <v>69</v>
      </c>
      <c r="DT16" s="233"/>
      <c r="DU16" s="233"/>
      <c r="DV16" s="235">
        <v>0</v>
      </c>
      <c r="DW16" s="236" t="s">
        <v>129</v>
      </c>
      <c r="DX16" s="178" t="s">
        <v>19</v>
      </c>
      <c r="DY16" s="234">
        <v>4128.0200000000004</v>
      </c>
      <c r="DZ16" s="232">
        <v>0.25</v>
      </c>
      <c r="EA16" s="968" t="s">
        <v>202</v>
      </c>
      <c r="EB16" s="936"/>
      <c r="EC16" s="232">
        <v>0.2</v>
      </c>
      <c r="ED16" s="181" t="s">
        <v>204</v>
      </c>
      <c r="EE16" s="185">
        <v>44</v>
      </c>
      <c r="EF16" s="183">
        <f t="shared" si="8"/>
        <v>0</v>
      </c>
      <c r="EG16" s="183">
        <f t="shared" si="33"/>
        <v>0</v>
      </c>
      <c r="EH16" s="233">
        <v>22</v>
      </c>
      <c r="EI16" s="233">
        <v>22</v>
      </c>
      <c r="EJ16" s="178" t="s">
        <v>69</v>
      </c>
      <c r="EK16" s="233"/>
      <c r="EL16" s="233"/>
      <c r="EM16" s="237">
        <v>0</v>
      </c>
      <c r="EN16" s="238" t="s">
        <v>129</v>
      </c>
      <c r="EO16" s="194" t="s">
        <v>19</v>
      </c>
      <c r="EP16" s="239">
        <v>4128.0200000000004</v>
      </c>
      <c r="EQ16" s="240">
        <v>0.25</v>
      </c>
      <c r="ER16" s="955" t="s">
        <v>202</v>
      </c>
      <c r="ES16" s="936"/>
      <c r="ET16" s="240">
        <v>0.2</v>
      </c>
      <c r="EU16" s="241" t="s">
        <v>204</v>
      </c>
      <c r="EV16" s="198">
        <v>44</v>
      </c>
      <c r="EW16" s="242">
        <f t="shared" si="9"/>
        <v>0</v>
      </c>
      <c r="EX16" s="242">
        <f t="shared" si="34"/>
        <v>0</v>
      </c>
      <c r="EY16" s="243">
        <v>22</v>
      </c>
      <c r="EZ16" s="243">
        <v>22</v>
      </c>
      <c r="FA16" s="194" t="s">
        <v>69</v>
      </c>
      <c r="FB16" s="243"/>
      <c r="FC16" s="243"/>
      <c r="FD16" s="237">
        <v>0</v>
      </c>
      <c r="FE16" s="238" t="s">
        <v>129</v>
      </c>
      <c r="FF16" s="194" t="s">
        <v>19</v>
      </c>
      <c r="FG16" s="239">
        <v>1741.45</v>
      </c>
      <c r="FH16" s="240">
        <v>0.25</v>
      </c>
      <c r="FI16" s="955" t="s">
        <v>202</v>
      </c>
      <c r="FJ16" s="936"/>
      <c r="FK16" s="240">
        <v>0.2</v>
      </c>
      <c r="FL16" s="241" t="s">
        <v>205</v>
      </c>
      <c r="FM16" s="198">
        <v>44</v>
      </c>
      <c r="FN16" s="242">
        <f t="shared" si="10"/>
        <v>0</v>
      </c>
      <c r="FO16" s="242">
        <f t="shared" si="35"/>
        <v>0</v>
      </c>
      <c r="FP16" s="243">
        <v>9</v>
      </c>
      <c r="FQ16" s="243"/>
      <c r="FR16" s="194" t="s">
        <v>69</v>
      </c>
      <c r="FS16" s="243"/>
      <c r="FT16" s="243"/>
      <c r="FU16" s="237">
        <v>0</v>
      </c>
      <c r="FV16" s="238" t="s">
        <v>129</v>
      </c>
      <c r="FW16" s="194" t="s">
        <v>19</v>
      </c>
      <c r="FX16" s="239">
        <v>0</v>
      </c>
      <c r="FY16" s="240">
        <v>0.25</v>
      </c>
      <c r="FZ16" s="955" t="s">
        <v>202</v>
      </c>
      <c r="GA16" s="936"/>
      <c r="GB16" s="240">
        <v>0.2</v>
      </c>
      <c r="GC16" s="241" t="s">
        <v>204</v>
      </c>
      <c r="GD16" s="198">
        <v>44</v>
      </c>
      <c r="GE16" s="242">
        <f t="shared" si="11"/>
        <v>0</v>
      </c>
      <c r="GF16" s="242">
        <f t="shared" si="36"/>
        <v>0</v>
      </c>
      <c r="GG16" s="243">
        <v>0</v>
      </c>
      <c r="GH16" s="243"/>
      <c r="GI16" s="194" t="s">
        <v>69</v>
      </c>
      <c r="GJ16" s="243"/>
      <c r="GK16" s="243"/>
      <c r="GL16" s="237">
        <v>0</v>
      </c>
      <c r="GM16" s="238" t="s">
        <v>129</v>
      </c>
      <c r="GN16" s="194" t="s">
        <v>19</v>
      </c>
      <c r="GO16" s="239">
        <v>0</v>
      </c>
      <c r="GP16" s="240">
        <v>0.25</v>
      </c>
      <c r="GQ16" s="955" t="s">
        <v>202</v>
      </c>
      <c r="GR16" s="936"/>
      <c r="GS16" s="240">
        <v>0.2</v>
      </c>
      <c r="GT16" s="241" t="s">
        <v>204</v>
      </c>
      <c r="GU16" s="198">
        <v>44</v>
      </c>
      <c r="GV16" s="242">
        <f t="shared" si="22"/>
        <v>0</v>
      </c>
      <c r="GW16" s="242">
        <f t="shared" si="37"/>
        <v>0</v>
      </c>
      <c r="GX16" s="243">
        <v>0</v>
      </c>
      <c r="GY16" s="243"/>
      <c r="GZ16" s="194" t="s">
        <v>69</v>
      </c>
      <c r="HA16" s="243"/>
      <c r="HB16" s="243"/>
      <c r="HC16" s="201">
        <f t="shared" si="13"/>
        <v>0</v>
      </c>
      <c r="HD16" s="89"/>
      <c r="HE16" s="89"/>
      <c r="HF16" s="89"/>
      <c r="HG16" s="89"/>
      <c r="HH16" s="89"/>
      <c r="HI16" s="89"/>
      <c r="HJ16" s="89"/>
      <c r="HK16" s="89"/>
      <c r="HL16" s="89"/>
      <c r="HM16" s="89"/>
      <c r="HN16" s="203">
        <f t="shared" si="14"/>
        <v>0</v>
      </c>
    </row>
    <row r="17" spans="1:222" ht="22.5" customHeight="1">
      <c r="A17" s="1"/>
      <c r="B17" s="204">
        <v>155081</v>
      </c>
      <c r="C17" s="204" t="s">
        <v>213</v>
      </c>
      <c r="D17" s="205" t="s">
        <v>66</v>
      </c>
      <c r="E17" s="206">
        <v>4.5</v>
      </c>
      <c r="F17" s="207">
        <v>3</v>
      </c>
      <c r="G17" s="208">
        <v>0</v>
      </c>
      <c r="H17" s="209" t="s">
        <v>129</v>
      </c>
      <c r="I17" s="210" t="s">
        <v>131</v>
      </c>
      <c r="J17" s="211">
        <v>1502.5</v>
      </c>
      <c r="K17" s="212">
        <v>0.2</v>
      </c>
      <c r="L17" s="940" t="s">
        <v>200</v>
      </c>
      <c r="M17" s="936"/>
      <c r="N17" s="212">
        <v>0.2</v>
      </c>
      <c r="O17" s="152" t="s">
        <v>201</v>
      </c>
      <c r="P17" s="213">
        <v>40</v>
      </c>
      <c r="Q17" s="214">
        <f t="shared" si="23"/>
        <v>0</v>
      </c>
      <c r="R17" s="214">
        <f t="shared" si="24"/>
        <v>0</v>
      </c>
      <c r="S17" s="215">
        <v>22</v>
      </c>
      <c r="T17" s="215">
        <v>22</v>
      </c>
      <c r="U17" s="210" t="s">
        <v>69</v>
      </c>
      <c r="V17" s="216">
        <v>0</v>
      </c>
      <c r="W17" s="217">
        <v>0</v>
      </c>
      <c r="X17" s="218">
        <v>0</v>
      </c>
      <c r="Y17" s="252" t="s">
        <v>129</v>
      </c>
      <c r="Z17" s="220" t="s">
        <v>131</v>
      </c>
      <c r="AA17" s="221">
        <v>1502.5</v>
      </c>
      <c r="AB17" s="222">
        <v>0.25</v>
      </c>
      <c r="AC17" s="954" t="s">
        <v>202</v>
      </c>
      <c r="AD17" s="936"/>
      <c r="AE17" s="223">
        <v>0.2</v>
      </c>
      <c r="AF17" s="165" t="s">
        <v>201</v>
      </c>
      <c r="AG17" s="166">
        <v>40</v>
      </c>
      <c r="AH17" s="167">
        <f t="shared" si="25"/>
        <v>0</v>
      </c>
      <c r="AI17" s="167">
        <f t="shared" si="26"/>
        <v>0</v>
      </c>
      <c r="AJ17" s="224">
        <v>22</v>
      </c>
      <c r="AK17" s="224">
        <v>22</v>
      </c>
      <c r="AL17" s="161" t="s">
        <v>69</v>
      </c>
      <c r="AM17" s="224">
        <v>0</v>
      </c>
      <c r="AN17" s="224">
        <v>0</v>
      </c>
      <c r="AO17" s="225">
        <v>0</v>
      </c>
      <c r="AP17" s="226" t="s">
        <v>129</v>
      </c>
      <c r="AQ17" s="210" t="s">
        <v>131</v>
      </c>
      <c r="AR17" s="211">
        <v>1431.04</v>
      </c>
      <c r="AS17" s="227">
        <v>0.25</v>
      </c>
      <c r="AT17" s="935" t="s">
        <v>202</v>
      </c>
      <c r="AU17" s="936"/>
      <c r="AV17" s="212">
        <v>0.2</v>
      </c>
      <c r="AW17" s="152" t="s">
        <v>201</v>
      </c>
      <c r="AX17" s="171">
        <v>40</v>
      </c>
      <c r="AY17" s="172">
        <f t="shared" si="27"/>
        <v>0</v>
      </c>
      <c r="AZ17" s="172">
        <f t="shared" si="28"/>
        <v>0</v>
      </c>
      <c r="BA17" s="173">
        <v>22</v>
      </c>
      <c r="BB17" s="173">
        <v>22</v>
      </c>
      <c r="BC17" s="149" t="s">
        <v>129</v>
      </c>
      <c r="BD17" s="149">
        <v>0</v>
      </c>
      <c r="BE17" s="149">
        <v>0</v>
      </c>
      <c r="BF17" s="228">
        <v>0</v>
      </c>
      <c r="BG17" s="219" t="s">
        <v>129</v>
      </c>
      <c r="BH17" s="220" t="s">
        <v>131</v>
      </c>
      <c r="BI17" s="221">
        <v>1431.04</v>
      </c>
      <c r="BJ17" s="222">
        <v>0.25</v>
      </c>
      <c r="BK17" s="975" t="s">
        <v>202</v>
      </c>
      <c r="BL17" s="936"/>
      <c r="BM17" s="223">
        <v>0.2</v>
      </c>
      <c r="BN17" s="165" t="s">
        <v>201</v>
      </c>
      <c r="BO17" s="166">
        <v>44</v>
      </c>
      <c r="BP17" s="167">
        <f t="shared" si="3"/>
        <v>0</v>
      </c>
      <c r="BQ17" s="167">
        <f t="shared" si="29"/>
        <v>0</v>
      </c>
      <c r="BR17" s="224">
        <v>22</v>
      </c>
      <c r="BS17" s="224">
        <v>22</v>
      </c>
      <c r="BT17" s="161" t="s">
        <v>69</v>
      </c>
      <c r="BU17" s="224"/>
      <c r="BV17" s="229"/>
      <c r="BW17" s="230">
        <v>0</v>
      </c>
      <c r="BX17" s="231" t="s">
        <v>69</v>
      </c>
      <c r="BY17" s="178" t="s">
        <v>28</v>
      </c>
      <c r="BZ17" s="179">
        <v>2461.8000000000002</v>
      </c>
      <c r="CA17" s="232">
        <v>0.25</v>
      </c>
      <c r="CB17" s="974" t="s">
        <v>202</v>
      </c>
      <c r="CC17" s="936"/>
      <c r="CD17" s="232">
        <v>0.2</v>
      </c>
      <c r="CE17" s="181" t="s">
        <v>203</v>
      </c>
      <c r="CF17" s="182">
        <v>44</v>
      </c>
      <c r="CG17" s="183">
        <f t="shared" si="5"/>
        <v>0</v>
      </c>
      <c r="CH17" s="183">
        <f t="shared" si="30"/>
        <v>0</v>
      </c>
      <c r="CI17" s="233">
        <v>22</v>
      </c>
      <c r="CJ17" s="233">
        <v>22</v>
      </c>
      <c r="CK17" s="178" t="s">
        <v>69</v>
      </c>
      <c r="CL17" s="233"/>
      <c r="CM17" s="233"/>
      <c r="CN17" s="230">
        <v>0</v>
      </c>
      <c r="CO17" s="231" t="s">
        <v>69</v>
      </c>
      <c r="CP17" s="178" t="s">
        <v>28</v>
      </c>
      <c r="CQ17" s="234">
        <v>1396.01</v>
      </c>
      <c r="CR17" s="232">
        <v>0.3</v>
      </c>
      <c r="CS17" s="974" t="s">
        <v>202</v>
      </c>
      <c r="CT17" s="936"/>
      <c r="CU17" s="232">
        <v>0.2</v>
      </c>
      <c r="CV17" s="181" t="s">
        <v>201</v>
      </c>
      <c r="CW17" s="182">
        <v>44</v>
      </c>
      <c r="CX17" s="183">
        <f t="shared" si="6"/>
        <v>0</v>
      </c>
      <c r="CY17" s="183">
        <f t="shared" si="31"/>
        <v>0</v>
      </c>
      <c r="CZ17" s="233">
        <v>22</v>
      </c>
      <c r="DA17" s="233">
        <v>22</v>
      </c>
      <c r="DB17" s="178" t="s">
        <v>69</v>
      </c>
      <c r="DC17" s="233"/>
      <c r="DD17" s="233"/>
      <c r="DE17" s="230">
        <v>0</v>
      </c>
      <c r="DF17" s="231" t="s">
        <v>69</v>
      </c>
      <c r="DG17" s="178" t="s">
        <v>28</v>
      </c>
      <c r="DH17" s="234">
        <v>1396.01</v>
      </c>
      <c r="DI17" s="232">
        <v>0.25</v>
      </c>
      <c r="DJ17" s="968" t="s">
        <v>202</v>
      </c>
      <c r="DK17" s="936"/>
      <c r="DL17" s="232">
        <v>0.2</v>
      </c>
      <c r="DM17" s="181" t="s">
        <v>201</v>
      </c>
      <c r="DN17" s="185">
        <v>44</v>
      </c>
      <c r="DO17" s="183">
        <f t="shared" si="7"/>
        <v>0</v>
      </c>
      <c r="DP17" s="183">
        <f t="shared" si="32"/>
        <v>0</v>
      </c>
      <c r="DQ17" s="233">
        <v>22</v>
      </c>
      <c r="DR17" s="233">
        <v>22</v>
      </c>
      <c r="DS17" s="178" t="s">
        <v>69</v>
      </c>
      <c r="DT17" s="233"/>
      <c r="DU17" s="233"/>
      <c r="DV17" s="235">
        <v>0</v>
      </c>
      <c r="DW17" s="236" t="s">
        <v>129</v>
      </c>
      <c r="DX17" s="178" t="s">
        <v>19</v>
      </c>
      <c r="DY17" s="234">
        <v>4128.0200000000004</v>
      </c>
      <c r="DZ17" s="232">
        <v>0.25</v>
      </c>
      <c r="EA17" s="968" t="s">
        <v>202</v>
      </c>
      <c r="EB17" s="936"/>
      <c r="EC17" s="232">
        <v>0.2</v>
      </c>
      <c r="ED17" s="181" t="s">
        <v>204</v>
      </c>
      <c r="EE17" s="185">
        <v>44</v>
      </c>
      <c r="EF17" s="183">
        <f t="shared" si="8"/>
        <v>0</v>
      </c>
      <c r="EG17" s="183">
        <f t="shared" si="33"/>
        <v>0</v>
      </c>
      <c r="EH17" s="233">
        <v>22</v>
      </c>
      <c r="EI17" s="233">
        <v>22</v>
      </c>
      <c r="EJ17" s="178" t="s">
        <v>69</v>
      </c>
      <c r="EK17" s="233"/>
      <c r="EL17" s="233"/>
      <c r="EM17" s="237">
        <v>0</v>
      </c>
      <c r="EN17" s="238" t="s">
        <v>129</v>
      </c>
      <c r="EO17" s="194" t="s">
        <v>19</v>
      </c>
      <c r="EP17" s="239">
        <v>4128.0200000000004</v>
      </c>
      <c r="EQ17" s="240">
        <v>0.25</v>
      </c>
      <c r="ER17" s="955" t="s">
        <v>202</v>
      </c>
      <c r="ES17" s="936"/>
      <c r="ET17" s="240">
        <v>0.2</v>
      </c>
      <c r="EU17" s="241" t="s">
        <v>204</v>
      </c>
      <c r="EV17" s="198">
        <v>44</v>
      </c>
      <c r="EW17" s="242">
        <f t="shared" si="9"/>
        <v>0</v>
      </c>
      <c r="EX17" s="242">
        <f t="shared" si="34"/>
        <v>0</v>
      </c>
      <c r="EY17" s="243">
        <v>22</v>
      </c>
      <c r="EZ17" s="243">
        <v>22</v>
      </c>
      <c r="FA17" s="194" t="s">
        <v>69</v>
      </c>
      <c r="FB17" s="243"/>
      <c r="FC17" s="243"/>
      <c r="FD17" s="237">
        <v>0</v>
      </c>
      <c r="FE17" s="238" t="s">
        <v>129</v>
      </c>
      <c r="FF17" s="194" t="s">
        <v>19</v>
      </c>
      <c r="FG17" s="239">
        <v>1741.45</v>
      </c>
      <c r="FH17" s="240">
        <v>0.25</v>
      </c>
      <c r="FI17" s="955" t="s">
        <v>202</v>
      </c>
      <c r="FJ17" s="936"/>
      <c r="FK17" s="240">
        <v>0.2</v>
      </c>
      <c r="FL17" s="241" t="s">
        <v>205</v>
      </c>
      <c r="FM17" s="198">
        <v>44</v>
      </c>
      <c r="FN17" s="242">
        <f t="shared" si="10"/>
        <v>0</v>
      </c>
      <c r="FO17" s="242">
        <f t="shared" si="35"/>
        <v>0</v>
      </c>
      <c r="FP17" s="243">
        <v>9</v>
      </c>
      <c r="FQ17" s="243"/>
      <c r="FR17" s="194" t="s">
        <v>69</v>
      </c>
      <c r="FS17" s="243"/>
      <c r="FT17" s="243"/>
      <c r="FU17" s="237">
        <v>0</v>
      </c>
      <c r="FV17" s="238" t="s">
        <v>129</v>
      </c>
      <c r="FW17" s="194" t="s">
        <v>19</v>
      </c>
      <c r="FX17" s="239">
        <v>0</v>
      </c>
      <c r="FY17" s="240">
        <v>0.25</v>
      </c>
      <c r="FZ17" s="955" t="s">
        <v>202</v>
      </c>
      <c r="GA17" s="936"/>
      <c r="GB17" s="240">
        <v>0.2</v>
      </c>
      <c r="GC17" s="241" t="s">
        <v>204</v>
      </c>
      <c r="GD17" s="198">
        <v>44</v>
      </c>
      <c r="GE17" s="242">
        <f t="shared" si="11"/>
        <v>0</v>
      </c>
      <c r="GF17" s="242">
        <f t="shared" si="36"/>
        <v>0</v>
      </c>
      <c r="GG17" s="243">
        <v>0</v>
      </c>
      <c r="GH17" s="243"/>
      <c r="GI17" s="194" t="s">
        <v>69</v>
      </c>
      <c r="GJ17" s="243"/>
      <c r="GK17" s="243"/>
      <c r="GL17" s="237">
        <v>0</v>
      </c>
      <c r="GM17" s="238" t="s">
        <v>129</v>
      </c>
      <c r="GN17" s="194" t="s">
        <v>19</v>
      </c>
      <c r="GO17" s="239">
        <v>0</v>
      </c>
      <c r="GP17" s="240">
        <v>0.25</v>
      </c>
      <c r="GQ17" s="955" t="s">
        <v>202</v>
      </c>
      <c r="GR17" s="936"/>
      <c r="GS17" s="240">
        <v>0.2</v>
      </c>
      <c r="GT17" s="241" t="s">
        <v>204</v>
      </c>
      <c r="GU17" s="198">
        <v>44</v>
      </c>
      <c r="GV17" s="242">
        <f t="shared" si="22"/>
        <v>0</v>
      </c>
      <c r="GW17" s="242">
        <f t="shared" si="37"/>
        <v>0</v>
      </c>
      <c r="GX17" s="243">
        <v>0</v>
      </c>
      <c r="GY17" s="243"/>
      <c r="GZ17" s="194" t="s">
        <v>69</v>
      </c>
      <c r="HA17" s="243"/>
      <c r="HB17" s="243"/>
      <c r="HC17" s="201">
        <f t="shared" si="13"/>
        <v>0</v>
      </c>
      <c r="HD17" s="89"/>
      <c r="HE17" s="89"/>
      <c r="HF17" s="89"/>
      <c r="HG17" s="89"/>
      <c r="HH17" s="89"/>
      <c r="HI17" s="89"/>
      <c r="HJ17" s="89"/>
      <c r="HK17" s="89"/>
      <c r="HL17" s="89"/>
      <c r="HM17" s="89"/>
      <c r="HN17" s="203">
        <f t="shared" si="14"/>
        <v>0</v>
      </c>
    </row>
    <row r="18" spans="1:222" ht="22.5" customHeight="1">
      <c r="A18" s="1"/>
      <c r="B18" s="204">
        <v>158266</v>
      </c>
      <c r="C18" s="204" t="s">
        <v>214</v>
      </c>
      <c r="D18" s="205" t="s">
        <v>72</v>
      </c>
      <c r="E18" s="206">
        <v>0</v>
      </c>
      <c r="F18" s="207">
        <v>3</v>
      </c>
      <c r="G18" s="244">
        <v>1</v>
      </c>
      <c r="H18" s="209" t="s">
        <v>129</v>
      </c>
      <c r="I18" s="210" t="s">
        <v>131</v>
      </c>
      <c r="J18" s="245">
        <v>1502.5</v>
      </c>
      <c r="K18" s="246">
        <v>0.2</v>
      </c>
      <c r="L18" s="941" t="s">
        <v>200</v>
      </c>
      <c r="M18" s="936"/>
      <c r="N18" s="246">
        <v>0.2</v>
      </c>
      <c r="O18" s="247" t="s">
        <v>201</v>
      </c>
      <c r="P18" s="248">
        <v>44</v>
      </c>
      <c r="Q18" s="214">
        <f t="shared" si="23"/>
        <v>0</v>
      </c>
      <c r="R18" s="214">
        <f t="shared" si="24"/>
        <v>0</v>
      </c>
      <c r="S18" s="215">
        <v>22</v>
      </c>
      <c r="T18" s="215">
        <v>22</v>
      </c>
      <c r="U18" s="210" t="s">
        <v>69</v>
      </c>
      <c r="V18" s="216">
        <v>0</v>
      </c>
      <c r="W18" s="217">
        <v>0</v>
      </c>
      <c r="X18" s="251">
        <v>1</v>
      </c>
      <c r="Y18" s="219" t="s">
        <v>129</v>
      </c>
      <c r="Z18" s="220" t="s">
        <v>131</v>
      </c>
      <c r="AA18" s="253">
        <v>1502.5</v>
      </c>
      <c r="AB18" s="222">
        <v>0.25</v>
      </c>
      <c r="AC18" s="954" t="s">
        <v>202</v>
      </c>
      <c r="AD18" s="936"/>
      <c r="AE18" s="254">
        <v>0.2</v>
      </c>
      <c r="AF18" s="255" t="s">
        <v>201</v>
      </c>
      <c r="AG18" s="256">
        <v>44</v>
      </c>
      <c r="AH18" s="167">
        <f t="shared" si="25"/>
        <v>0</v>
      </c>
      <c r="AI18" s="167">
        <f t="shared" si="26"/>
        <v>0</v>
      </c>
      <c r="AJ18" s="224">
        <v>22</v>
      </c>
      <c r="AK18" s="224">
        <v>22</v>
      </c>
      <c r="AL18" s="161" t="s">
        <v>69</v>
      </c>
      <c r="AM18" s="224">
        <v>0</v>
      </c>
      <c r="AN18" s="224">
        <v>0</v>
      </c>
      <c r="AO18" s="257">
        <v>4</v>
      </c>
      <c r="AP18" s="226" t="s">
        <v>69</v>
      </c>
      <c r="AQ18" s="210" t="s">
        <v>131</v>
      </c>
      <c r="AR18" s="245">
        <v>1431.04</v>
      </c>
      <c r="AS18" s="227">
        <v>0.25</v>
      </c>
      <c r="AT18" s="935" t="s">
        <v>202</v>
      </c>
      <c r="AU18" s="936"/>
      <c r="AV18" s="246">
        <v>0.2</v>
      </c>
      <c r="AW18" s="247" t="s">
        <v>201</v>
      </c>
      <c r="AX18" s="248">
        <v>44</v>
      </c>
      <c r="AY18" s="172">
        <f t="shared" si="27"/>
        <v>1.0833333333333333</v>
      </c>
      <c r="AZ18" s="172">
        <f t="shared" si="28"/>
        <v>1.3333333333333333</v>
      </c>
      <c r="BA18" s="173">
        <v>22</v>
      </c>
      <c r="BB18" s="173">
        <v>22</v>
      </c>
      <c r="BC18" s="149" t="s">
        <v>129</v>
      </c>
      <c r="BD18" s="149">
        <v>0</v>
      </c>
      <c r="BE18" s="149">
        <v>0</v>
      </c>
      <c r="BF18" s="251">
        <v>1</v>
      </c>
      <c r="BG18" s="219" t="s">
        <v>129</v>
      </c>
      <c r="BH18" s="220" t="s">
        <v>131</v>
      </c>
      <c r="BI18" s="253">
        <v>1431.04</v>
      </c>
      <c r="BJ18" s="222">
        <v>0.25</v>
      </c>
      <c r="BK18" s="975" t="s">
        <v>202</v>
      </c>
      <c r="BL18" s="936"/>
      <c r="BM18" s="254">
        <v>0.2</v>
      </c>
      <c r="BN18" s="255" t="s">
        <v>201</v>
      </c>
      <c r="BO18" s="256">
        <v>44</v>
      </c>
      <c r="BP18" s="167">
        <f t="shared" si="3"/>
        <v>0</v>
      </c>
      <c r="BQ18" s="167">
        <f t="shared" si="29"/>
        <v>0</v>
      </c>
      <c r="BR18" s="224">
        <v>22</v>
      </c>
      <c r="BS18" s="224">
        <v>22</v>
      </c>
      <c r="BT18" s="161" t="s">
        <v>69</v>
      </c>
      <c r="BU18" s="224"/>
      <c r="BV18" s="229"/>
      <c r="BW18" s="230">
        <v>0</v>
      </c>
      <c r="BX18" s="231" t="s">
        <v>69</v>
      </c>
      <c r="BY18" s="178" t="s">
        <v>28</v>
      </c>
      <c r="BZ18" s="179">
        <v>2461.8000000000002</v>
      </c>
      <c r="CA18" s="232">
        <v>0.25</v>
      </c>
      <c r="CB18" s="974" t="s">
        <v>202</v>
      </c>
      <c r="CC18" s="936"/>
      <c r="CD18" s="232">
        <v>0.2</v>
      </c>
      <c r="CE18" s="181" t="s">
        <v>203</v>
      </c>
      <c r="CF18" s="182">
        <v>44</v>
      </c>
      <c r="CG18" s="183">
        <f t="shared" si="5"/>
        <v>0</v>
      </c>
      <c r="CH18" s="183">
        <f t="shared" si="30"/>
        <v>0</v>
      </c>
      <c r="CI18" s="233">
        <v>22</v>
      </c>
      <c r="CJ18" s="233">
        <v>22</v>
      </c>
      <c r="CK18" s="178" t="s">
        <v>69</v>
      </c>
      <c r="CL18" s="233"/>
      <c r="CM18" s="233"/>
      <c r="CN18" s="230">
        <v>0</v>
      </c>
      <c r="CO18" s="231" t="s">
        <v>69</v>
      </c>
      <c r="CP18" s="178" t="s">
        <v>28</v>
      </c>
      <c r="CQ18" s="234">
        <v>1396.01</v>
      </c>
      <c r="CR18" s="232">
        <v>0.3</v>
      </c>
      <c r="CS18" s="974" t="s">
        <v>202</v>
      </c>
      <c r="CT18" s="936"/>
      <c r="CU18" s="232">
        <v>0.2</v>
      </c>
      <c r="CV18" s="181" t="s">
        <v>201</v>
      </c>
      <c r="CW18" s="182">
        <v>44</v>
      </c>
      <c r="CX18" s="183">
        <f t="shared" si="6"/>
        <v>0</v>
      </c>
      <c r="CY18" s="183">
        <f t="shared" si="31"/>
        <v>0</v>
      </c>
      <c r="CZ18" s="233">
        <v>22</v>
      </c>
      <c r="DA18" s="233">
        <v>22</v>
      </c>
      <c r="DB18" s="178" t="s">
        <v>69</v>
      </c>
      <c r="DC18" s="233"/>
      <c r="DD18" s="233"/>
      <c r="DE18" s="230">
        <v>0</v>
      </c>
      <c r="DF18" s="231" t="s">
        <v>69</v>
      </c>
      <c r="DG18" s="178" t="s">
        <v>28</v>
      </c>
      <c r="DH18" s="234">
        <v>1396.01</v>
      </c>
      <c r="DI18" s="232">
        <v>0.25</v>
      </c>
      <c r="DJ18" s="968" t="s">
        <v>202</v>
      </c>
      <c r="DK18" s="936"/>
      <c r="DL18" s="232">
        <v>0.2</v>
      </c>
      <c r="DM18" s="181" t="s">
        <v>201</v>
      </c>
      <c r="DN18" s="185">
        <v>44</v>
      </c>
      <c r="DO18" s="183">
        <f t="shared" si="7"/>
        <v>0</v>
      </c>
      <c r="DP18" s="183">
        <f t="shared" si="32"/>
        <v>0</v>
      </c>
      <c r="DQ18" s="233">
        <v>22</v>
      </c>
      <c r="DR18" s="233">
        <v>22</v>
      </c>
      <c r="DS18" s="178" t="s">
        <v>69</v>
      </c>
      <c r="DT18" s="233"/>
      <c r="DU18" s="233"/>
      <c r="DV18" s="235">
        <v>0</v>
      </c>
      <c r="DW18" s="236" t="s">
        <v>129</v>
      </c>
      <c r="DX18" s="178" t="s">
        <v>19</v>
      </c>
      <c r="DY18" s="234">
        <v>4128.0200000000004</v>
      </c>
      <c r="DZ18" s="232">
        <v>0.25</v>
      </c>
      <c r="EA18" s="968" t="s">
        <v>202</v>
      </c>
      <c r="EB18" s="936"/>
      <c r="EC18" s="232">
        <v>0.2</v>
      </c>
      <c r="ED18" s="181" t="s">
        <v>204</v>
      </c>
      <c r="EE18" s="185">
        <v>44</v>
      </c>
      <c r="EF18" s="183">
        <f t="shared" si="8"/>
        <v>0</v>
      </c>
      <c r="EG18" s="183">
        <f t="shared" si="33"/>
        <v>0</v>
      </c>
      <c r="EH18" s="233">
        <v>22</v>
      </c>
      <c r="EI18" s="233">
        <v>22</v>
      </c>
      <c r="EJ18" s="178" t="s">
        <v>69</v>
      </c>
      <c r="EK18" s="233"/>
      <c r="EL18" s="233"/>
      <c r="EM18" s="237">
        <v>0</v>
      </c>
      <c r="EN18" s="238" t="s">
        <v>129</v>
      </c>
      <c r="EO18" s="194" t="s">
        <v>19</v>
      </c>
      <c r="EP18" s="239">
        <v>4128.0200000000004</v>
      </c>
      <c r="EQ18" s="240">
        <v>0.25</v>
      </c>
      <c r="ER18" s="955" t="s">
        <v>202</v>
      </c>
      <c r="ES18" s="936"/>
      <c r="ET18" s="240">
        <v>0.2</v>
      </c>
      <c r="EU18" s="241" t="s">
        <v>204</v>
      </c>
      <c r="EV18" s="198">
        <v>44</v>
      </c>
      <c r="EW18" s="242">
        <f t="shared" si="9"/>
        <v>0</v>
      </c>
      <c r="EX18" s="242">
        <f t="shared" si="34"/>
        <v>0</v>
      </c>
      <c r="EY18" s="243">
        <v>22</v>
      </c>
      <c r="EZ18" s="243">
        <v>22</v>
      </c>
      <c r="FA18" s="194" t="s">
        <v>69</v>
      </c>
      <c r="FB18" s="243"/>
      <c r="FC18" s="243"/>
      <c r="FD18" s="237">
        <v>0</v>
      </c>
      <c r="FE18" s="238" t="s">
        <v>129</v>
      </c>
      <c r="FF18" s="194" t="s">
        <v>19</v>
      </c>
      <c r="FG18" s="239">
        <v>1741.45</v>
      </c>
      <c r="FH18" s="240">
        <v>0.25</v>
      </c>
      <c r="FI18" s="955" t="s">
        <v>202</v>
      </c>
      <c r="FJ18" s="936"/>
      <c r="FK18" s="240">
        <v>0.2</v>
      </c>
      <c r="FL18" s="241" t="s">
        <v>205</v>
      </c>
      <c r="FM18" s="198">
        <v>44</v>
      </c>
      <c r="FN18" s="242">
        <f t="shared" si="10"/>
        <v>0</v>
      </c>
      <c r="FO18" s="242">
        <f t="shared" si="35"/>
        <v>0</v>
      </c>
      <c r="FP18" s="243">
        <v>9</v>
      </c>
      <c r="FQ18" s="243"/>
      <c r="FR18" s="194" t="s">
        <v>69</v>
      </c>
      <c r="FS18" s="243"/>
      <c r="FT18" s="243"/>
      <c r="FU18" s="237">
        <v>0</v>
      </c>
      <c r="FV18" s="238" t="s">
        <v>129</v>
      </c>
      <c r="FW18" s="194" t="s">
        <v>19</v>
      </c>
      <c r="FX18" s="239">
        <v>0</v>
      </c>
      <c r="FY18" s="240">
        <v>0.25</v>
      </c>
      <c r="FZ18" s="955" t="s">
        <v>202</v>
      </c>
      <c r="GA18" s="936"/>
      <c r="GB18" s="240">
        <v>0.2</v>
      </c>
      <c r="GC18" s="241" t="s">
        <v>204</v>
      </c>
      <c r="GD18" s="198">
        <v>44</v>
      </c>
      <c r="GE18" s="242">
        <f t="shared" si="11"/>
        <v>0</v>
      </c>
      <c r="GF18" s="242">
        <f t="shared" si="36"/>
        <v>0</v>
      </c>
      <c r="GG18" s="243">
        <v>0</v>
      </c>
      <c r="GH18" s="243"/>
      <c r="GI18" s="194" t="s">
        <v>69</v>
      </c>
      <c r="GJ18" s="243"/>
      <c r="GK18" s="243"/>
      <c r="GL18" s="237">
        <v>0</v>
      </c>
      <c r="GM18" s="238" t="s">
        <v>129</v>
      </c>
      <c r="GN18" s="194" t="s">
        <v>19</v>
      </c>
      <c r="GO18" s="239">
        <v>0</v>
      </c>
      <c r="GP18" s="240">
        <v>0.25</v>
      </c>
      <c r="GQ18" s="955" t="s">
        <v>202</v>
      </c>
      <c r="GR18" s="936"/>
      <c r="GS18" s="240">
        <v>0.2</v>
      </c>
      <c r="GT18" s="241" t="s">
        <v>204</v>
      </c>
      <c r="GU18" s="198">
        <v>44</v>
      </c>
      <c r="GV18" s="242">
        <f t="shared" si="22"/>
        <v>0</v>
      </c>
      <c r="GW18" s="242">
        <f t="shared" si="37"/>
        <v>0</v>
      </c>
      <c r="GX18" s="243">
        <v>0</v>
      </c>
      <c r="GY18" s="243"/>
      <c r="GZ18" s="194" t="s">
        <v>69</v>
      </c>
      <c r="HA18" s="243"/>
      <c r="HB18" s="243"/>
      <c r="HC18" s="201">
        <f t="shared" si="13"/>
        <v>7</v>
      </c>
      <c r="HD18" s="89"/>
      <c r="HE18" s="89"/>
      <c r="HF18" s="89"/>
      <c r="HG18" s="89"/>
      <c r="HH18" s="89"/>
      <c r="HI18" s="89"/>
      <c r="HJ18" s="89"/>
      <c r="HK18" s="89"/>
      <c r="HL18" s="89"/>
      <c r="HM18" s="89"/>
      <c r="HN18" s="203">
        <f t="shared" si="14"/>
        <v>7</v>
      </c>
    </row>
    <row r="19" spans="1:222" ht="22.5" customHeight="1">
      <c r="A19" s="1"/>
      <c r="B19" s="204">
        <v>158503</v>
      </c>
      <c r="C19" s="204" t="s">
        <v>215</v>
      </c>
      <c r="D19" s="205" t="s">
        <v>77</v>
      </c>
      <c r="E19" s="206">
        <v>4.4000000000000004</v>
      </c>
      <c r="F19" s="207">
        <v>3</v>
      </c>
      <c r="G19" s="208">
        <v>0</v>
      </c>
      <c r="H19" s="209" t="s">
        <v>129</v>
      </c>
      <c r="I19" s="210" t="s">
        <v>131</v>
      </c>
      <c r="J19" s="211">
        <v>1502.5</v>
      </c>
      <c r="K19" s="212">
        <v>0.2</v>
      </c>
      <c r="L19" s="940" t="s">
        <v>200</v>
      </c>
      <c r="M19" s="936"/>
      <c r="N19" s="212">
        <v>0.2</v>
      </c>
      <c r="O19" s="152" t="s">
        <v>201</v>
      </c>
      <c r="P19" s="213">
        <v>40</v>
      </c>
      <c r="Q19" s="214">
        <f t="shared" si="23"/>
        <v>0</v>
      </c>
      <c r="R19" s="214">
        <f t="shared" si="24"/>
        <v>0</v>
      </c>
      <c r="S19" s="215">
        <v>22</v>
      </c>
      <c r="T19" s="215">
        <v>22</v>
      </c>
      <c r="U19" s="210" t="s">
        <v>69</v>
      </c>
      <c r="V19" s="216">
        <v>0</v>
      </c>
      <c r="W19" s="217">
        <v>0</v>
      </c>
      <c r="X19" s="218">
        <v>0</v>
      </c>
      <c r="Y19" s="219" t="s">
        <v>129</v>
      </c>
      <c r="Z19" s="220" t="s">
        <v>131</v>
      </c>
      <c r="AA19" s="221">
        <v>1502.5</v>
      </c>
      <c r="AB19" s="222">
        <v>0.25</v>
      </c>
      <c r="AC19" s="954" t="s">
        <v>202</v>
      </c>
      <c r="AD19" s="936"/>
      <c r="AE19" s="223">
        <v>0.2</v>
      </c>
      <c r="AF19" s="165" t="s">
        <v>201</v>
      </c>
      <c r="AG19" s="166">
        <v>40</v>
      </c>
      <c r="AH19" s="167">
        <f t="shared" si="25"/>
        <v>0</v>
      </c>
      <c r="AI19" s="167">
        <f t="shared" si="26"/>
        <v>0</v>
      </c>
      <c r="AJ19" s="224">
        <v>22</v>
      </c>
      <c r="AK19" s="224">
        <v>22</v>
      </c>
      <c r="AL19" s="161" t="s">
        <v>69</v>
      </c>
      <c r="AM19" s="224">
        <v>0</v>
      </c>
      <c r="AN19" s="224">
        <v>0</v>
      </c>
      <c r="AO19" s="225">
        <v>0</v>
      </c>
      <c r="AP19" s="226" t="s">
        <v>129</v>
      </c>
      <c r="AQ19" s="210" t="s">
        <v>131</v>
      </c>
      <c r="AR19" s="211">
        <v>1431.04</v>
      </c>
      <c r="AS19" s="227">
        <v>0.25</v>
      </c>
      <c r="AT19" s="935" t="s">
        <v>202</v>
      </c>
      <c r="AU19" s="936"/>
      <c r="AV19" s="212">
        <v>0.2</v>
      </c>
      <c r="AW19" s="152" t="s">
        <v>201</v>
      </c>
      <c r="AX19" s="171">
        <v>40</v>
      </c>
      <c r="AY19" s="172">
        <f t="shared" si="27"/>
        <v>0</v>
      </c>
      <c r="AZ19" s="172">
        <f t="shared" si="28"/>
        <v>0</v>
      </c>
      <c r="BA19" s="173">
        <v>22</v>
      </c>
      <c r="BB19" s="173">
        <v>22</v>
      </c>
      <c r="BC19" s="149" t="s">
        <v>129</v>
      </c>
      <c r="BD19" s="149">
        <v>0</v>
      </c>
      <c r="BE19" s="149">
        <v>0</v>
      </c>
      <c r="BF19" s="251">
        <v>1</v>
      </c>
      <c r="BG19" s="219" t="s">
        <v>129</v>
      </c>
      <c r="BH19" s="220" t="s">
        <v>131</v>
      </c>
      <c r="BI19" s="221">
        <v>1431.04</v>
      </c>
      <c r="BJ19" s="222">
        <v>0.25</v>
      </c>
      <c r="BK19" s="975" t="s">
        <v>202</v>
      </c>
      <c r="BL19" s="936"/>
      <c r="BM19" s="223">
        <v>0.2</v>
      </c>
      <c r="BN19" s="165" t="s">
        <v>201</v>
      </c>
      <c r="BO19" s="256">
        <v>44</v>
      </c>
      <c r="BP19" s="167">
        <f t="shared" si="3"/>
        <v>0</v>
      </c>
      <c r="BQ19" s="167">
        <f t="shared" si="29"/>
        <v>0</v>
      </c>
      <c r="BR19" s="224">
        <v>22</v>
      </c>
      <c r="BS19" s="224">
        <v>22</v>
      </c>
      <c r="BT19" s="161" t="s">
        <v>69</v>
      </c>
      <c r="BU19" s="224"/>
      <c r="BV19" s="229"/>
      <c r="BW19" s="230">
        <v>0</v>
      </c>
      <c r="BX19" s="231" t="s">
        <v>69</v>
      </c>
      <c r="BY19" s="178" t="s">
        <v>28</v>
      </c>
      <c r="BZ19" s="179">
        <v>2461.8000000000002</v>
      </c>
      <c r="CA19" s="232">
        <v>0.25</v>
      </c>
      <c r="CB19" s="974" t="s">
        <v>202</v>
      </c>
      <c r="CC19" s="936"/>
      <c r="CD19" s="232">
        <v>0.2</v>
      </c>
      <c r="CE19" s="181" t="s">
        <v>203</v>
      </c>
      <c r="CF19" s="182">
        <v>44</v>
      </c>
      <c r="CG19" s="183">
        <f t="shared" si="5"/>
        <v>0</v>
      </c>
      <c r="CH19" s="183">
        <f t="shared" si="30"/>
        <v>0</v>
      </c>
      <c r="CI19" s="233">
        <v>22</v>
      </c>
      <c r="CJ19" s="233">
        <v>22</v>
      </c>
      <c r="CK19" s="178" t="s">
        <v>69</v>
      </c>
      <c r="CL19" s="233"/>
      <c r="CM19" s="233"/>
      <c r="CN19" s="230">
        <v>0</v>
      </c>
      <c r="CO19" s="231" t="s">
        <v>69</v>
      </c>
      <c r="CP19" s="178" t="s">
        <v>28</v>
      </c>
      <c r="CQ19" s="234">
        <v>1396.01</v>
      </c>
      <c r="CR19" s="232">
        <v>0.3</v>
      </c>
      <c r="CS19" s="974" t="s">
        <v>202</v>
      </c>
      <c r="CT19" s="936"/>
      <c r="CU19" s="232">
        <v>0.2</v>
      </c>
      <c r="CV19" s="181" t="s">
        <v>201</v>
      </c>
      <c r="CW19" s="182">
        <v>44</v>
      </c>
      <c r="CX19" s="183">
        <f t="shared" si="6"/>
        <v>0</v>
      </c>
      <c r="CY19" s="183">
        <f t="shared" si="31"/>
        <v>0</v>
      </c>
      <c r="CZ19" s="233">
        <v>22</v>
      </c>
      <c r="DA19" s="233">
        <v>22</v>
      </c>
      <c r="DB19" s="178" t="s">
        <v>69</v>
      </c>
      <c r="DC19" s="233"/>
      <c r="DD19" s="233"/>
      <c r="DE19" s="230">
        <v>0</v>
      </c>
      <c r="DF19" s="231" t="s">
        <v>69</v>
      </c>
      <c r="DG19" s="178" t="s">
        <v>28</v>
      </c>
      <c r="DH19" s="234">
        <v>1396.01</v>
      </c>
      <c r="DI19" s="232">
        <v>0.25</v>
      </c>
      <c r="DJ19" s="968" t="s">
        <v>202</v>
      </c>
      <c r="DK19" s="936"/>
      <c r="DL19" s="232">
        <v>0.2</v>
      </c>
      <c r="DM19" s="181" t="s">
        <v>201</v>
      </c>
      <c r="DN19" s="185">
        <v>44</v>
      </c>
      <c r="DO19" s="183">
        <f t="shared" si="7"/>
        <v>0</v>
      </c>
      <c r="DP19" s="183">
        <f t="shared" si="32"/>
        <v>0</v>
      </c>
      <c r="DQ19" s="233">
        <v>22</v>
      </c>
      <c r="DR19" s="233">
        <v>22</v>
      </c>
      <c r="DS19" s="178" t="s">
        <v>69</v>
      </c>
      <c r="DT19" s="233"/>
      <c r="DU19" s="233"/>
      <c r="DV19" s="235">
        <v>0</v>
      </c>
      <c r="DW19" s="236" t="s">
        <v>129</v>
      </c>
      <c r="DX19" s="178" t="s">
        <v>19</v>
      </c>
      <c r="DY19" s="234">
        <v>4128.0200000000004</v>
      </c>
      <c r="DZ19" s="232">
        <v>0.25</v>
      </c>
      <c r="EA19" s="968" t="s">
        <v>202</v>
      </c>
      <c r="EB19" s="936"/>
      <c r="EC19" s="232">
        <v>0.2</v>
      </c>
      <c r="ED19" s="181" t="s">
        <v>204</v>
      </c>
      <c r="EE19" s="185">
        <v>44</v>
      </c>
      <c r="EF19" s="183">
        <f t="shared" si="8"/>
        <v>0</v>
      </c>
      <c r="EG19" s="183">
        <f t="shared" si="33"/>
        <v>0</v>
      </c>
      <c r="EH19" s="233">
        <v>22</v>
      </c>
      <c r="EI19" s="233">
        <v>22</v>
      </c>
      <c r="EJ19" s="178" t="s">
        <v>69</v>
      </c>
      <c r="EK19" s="233"/>
      <c r="EL19" s="233"/>
      <c r="EM19" s="237">
        <v>0</v>
      </c>
      <c r="EN19" s="238" t="s">
        <v>129</v>
      </c>
      <c r="EO19" s="194" t="s">
        <v>19</v>
      </c>
      <c r="EP19" s="239">
        <v>4128.0200000000004</v>
      </c>
      <c r="EQ19" s="240">
        <v>0.25</v>
      </c>
      <c r="ER19" s="955" t="s">
        <v>202</v>
      </c>
      <c r="ES19" s="936"/>
      <c r="ET19" s="240">
        <v>0.2</v>
      </c>
      <c r="EU19" s="241" t="s">
        <v>204</v>
      </c>
      <c r="EV19" s="198">
        <v>44</v>
      </c>
      <c r="EW19" s="242">
        <f t="shared" si="9"/>
        <v>0</v>
      </c>
      <c r="EX19" s="242">
        <f t="shared" si="34"/>
        <v>0</v>
      </c>
      <c r="EY19" s="243">
        <v>22</v>
      </c>
      <c r="EZ19" s="243">
        <v>22</v>
      </c>
      <c r="FA19" s="194" t="s">
        <v>69</v>
      </c>
      <c r="FB19" s="243"/>
      <c r="FC19" s="243"/>
      <c r="FD19" s="237">
        <v>0</v>
      </c>
      <c r="FE19" s="238" t="s">
        <v>129</v>
      </c>
      <c r="FF19" s="194" t="s">
        <v>19</v>
      </c>
      <c r="FG19" s="239">
        <v>1741.45</v>
      </c>
      <c r="FH19" s="240">
        <v>0.25</v>
      </c>
      <c r="FI19" s="955" t="s">
        <v>202</v>
      </c>
      <c r="FJ19" s="936"/>
      <c r="FK19" s="240">
        <v>0.2</v>
      </c>
      <c r="FL19" s="241" t="s">
        <v>205</v>
      </c>
      <c r="FM19" s="198">
        <v>44</v>
      </c>
      <c r="FN19" s="242">
        <f t="shared" si="10"/>
        <v>0</v>
      </c>
      <c r="FO19" s="242">
        <f t="shared" si="35"/>
        <v>0</v>
      </c>
      <c r="FP19" s="243">
        <v>9</v>
      </c>
      <c r="FQ19" s="243"/>
      <c r="FR19" s="194" t="s">
        <v>69</v>
      </c>
      <c r="FS19" s="243"/>
      <c r="FT19" s="243"/>
      <c r="FU19" s="237">
        <v>0</v>
      </c>
      <c r="FV19" s="238" t="s">
        <v>129</v>
      </c>
      <c r="FW19" s="194" t="s">
        <v>19</v>
      </c>
      <c r="FX19" s="239">
        <v>0</v>
      </c>
      <c r="FY19" s="240">
        <v>0.25</v>
      </c>
      <c r="FZ19" s="955" t="s">
        <v>202</v>
      </c>
      <c r="GA19" s="936"/>
      <c r="GB19" s="240">
        <v>0.2</v>
      </c>
      <c r="GC19" s="241" t="s">
        <v>204</v>
      </c>
      <c r="GD19" s="198">
        <v>44</v>
      </c>
      <c r="GE19" s="242">
        <f t="shared" si="11"/>
        <v>0</v>
      </c>
      <c r="GF19" s="242">
        <f t="shared" si="36"/>
        <v>0</v>
      </c>
      <c r="GG19" s="243">
        <v>0</v>
      </c>
      <c r="GH19" s="243"/>
      <c r="GI19" s="194" t="s">
        <v>69</v>
      </c>
      <c r="GJ19" s="243"/>
      <c r="GK19" s="243"/>
      <c r="GL19" s="237">
        <v>0</v>
      </c>
      <c r="GM19" s="238" t="s">
        <v>129</v>
      </c>
      <c r="GN19" s="194" t="s">
        <v>19</v>
      </c>
      <c r="GO19" s="239">
        <v>0</v>
      </c>
      <c r="GP19" s="240">
        <v>0.25</v>
      </c>
      <c r="GQ19" s="955" t="s">
        <v>202</v>
      </c>
      <c r="GR19" s="936"/>
      <c r="GS19" s="240">
        <v>0.2</v>
      </c>
      <c r="GT19" s="241" t="s">
        <v>204</v>
      </c>
      <c r="GU19" s="198">
        <v>44</v>
      </c>
      <c r="GV19" s="242">
        <f t="shared" si="22"/>
        <v>0</v>
      </c>
      <c r="GW19" s="242">
        <f t="shared" si="37"/>
        <v>0</v>
      </c>
      <c r="GX19" s="243">
        <v>0</v>
      </c>
      <c r="GY19" s="243"/>
      <c r="GZ19" s="194" t="s">
        <v>69</v>
      </c>
      <c r="HA19" s="243"/>
      <c r="HB19" s="243"/>
      <c r="HC19" s="201">
        <f t="shared" si="13"/>
        <v>1</v>
      </c>
      <c r="HD19" s="89"/>
      <c r="HE19" s="89"/>
      <c r="HF19" s="89"/>
      <c r="HG19" s="89"/>
      <c r="HH19" s="89"/>
      <c r="HI19" s="89"/>
      <c r="HJ19" s="89"/>
      <c r="HK19" s="89"/>
      <c r="HL19" s="89"/>
      <c r="HM19" s="89"/>
      <c r="HN19" s="203">
        <f t="shared" si="14"/>
        <v>1</v>
      </c>
    </row>
    <row r="20" spans="1:222" ht="22.5" customHeight="1">
      <c r="A20" s="142"/>
      <c r="B20" s="204">
        <v>158268</v>
      </c>
      <c r="C20" s="204" t="s">
        <v>216</v>
      </c>
      <c r="D20" s="205" t="s">
        <v>82</v>
      </c>
      <c r="E20" s="206">
        <v>0</v>
      </c>
      <c r="F20" s="207">
        <v>5</v>
      </c>
      <c r="G20" s="244">
        <v>2</v>
      </c>
      <c r="H20" s="268" t="s">
        <v>129</v>
      </c>
      <c r="I20" s="269" t="s">
        <v>131</v>
      </c>
      <c r="J20" s="270">
        <v>1502.5</v>
      </c>
      <c r="K20" s="271">
        <v>0.2</v>
      </c>
      <c r="L20" s="953" t="s">
        <v>200</v>
      </c>
      <c r="M20" s="936"/>
      <c r="N20" s="246">
        <v>0.2</v>
      </c>
      <c r="O20" s="247" t="s">
        <v>201</v>
      </c>
      <c r="P20" s="272">
        <v>44</v>
      </c>
      <c r="Q20" s="273">
        <f t="shared" si="23"/>
        <v>0</v>
      </c>
      <c r="R20" s="273">
        <f t="shared" si="24"/>
        <v>0</v>
      </c>
      <c r="S20" s="274">
        <v>25</v>
      </c>
      <c r="T20" s="275">
        <v>22</v>
      </c>
      <c r="U20" s="269" t="s">
        <v>69</v>
      </c>
      <c r="V20" s="250">
        <v>0</v>
      </c>
      <c r="W20" s="217">
        <v>0</v>
      </c>
      <c r="X20" s="251">
        <v>4</v>
      </c>
      <c r="Y20" s="219" t="s">
        <v>129</v>
      </c>
      <c r="Z20" s="276" t="s">
        <v>131</v>
      </c>
      <c r="AA20" s="277">
        <v>1502.5</v>
      </c>
      <c r="AB20" s="222">
        <v>0.25</v>
      </c>
      <c r="AC20" s="954" t="s">
        <v>202</v>
      </c>
      <c r="AD20" s="936"/>
      <c r="AE20" s="254">
        <v>0.2</v>
      </c>
      <c r="AF20" s="255" t="s">
        <v>201</v>
      </c>
      <c r="AG20" s="256">
        <v>44</v>
      </c>
      <c r="AH20" s="167">
        <f>IFERROR((52/(IF(Y20="S",(X20-1)+(IF(H20="S",G20,0))+(IF(AP20="S",AO20,0)),0)))/12,0)</f>
        <v>0</v>
      </c>
      <c r="AI20" s="167">
        <f t="shared" si="26"/>
        <v>0</v>
      </c>
      <c r="AJ20" s="224">
        <v>25</v>
      </c>
      <c r="AK20" s="224">
        <v>22</v>
      </c>
      <c r="AL20" s="161" t="s">
        <v>69</v>
      </c>
      <c r="AM20" s="224">
        <v>0</v>
      </c>
      <c r="AN20" s="224">
        <v>0</v>
      </c>
      <c r="AO20" s="257">
        <v>10</v>
      </c>
      <c r="AP20" s="226" t="s">
        <v>129</v>
      </c>
      <c r="AQ20" s="269" t="s">
        <v>131</v>
      </c>
      <c r="AR20" s="270">
        <v>1431.04</v>
      </c>
      <c r="AS20" s="227">
        <v>0.1</v>
      </c>
      <c r="AT20" s="935" t="s">
        <v>202</v>
      </c>
      <c r="AU20" s="936"/>
      <c r="AV20" s="246">
        <v>0.2</v>
      </c>
      <c r="AW20" s="247" t="s">
        <v>201</v>
      </c>
      <c r="AX20" s="248">
        <v>44</v>
      </c>
      <c r="AY20" s="172">
        <f t="shared" si="27"/>
        <v>0</v>
      </c>
      <c r="AZ20" s="172">
        <f t="shared" si="28"/>
        <v>0</v>
      </c>
      <c r="BA20" s="173">
        <v>25</v>
      </c>
      <c r="BB20" s="173">
        <v>22</v>
      </c>
      <c r="BC20" s="149" t="s">
        <v>129</v>
      </c>
      <c r="BD20" s="149">
        <v>0</v>
      </c>
      <c r="BE20" s="149">
        <v>0</v>
      </c>
      <c r="BF20" s="251">
        <v>1</v>
      </c>
      <c r="BG20" s="219" t="s">
        <v>129</v>
      </c>
      <c r="BH20" s="276" t="s">
        <v>131</v>
      </c>
      <c r="BI20" s="277">
        <v>1431.04</v>
      </c>
      <c r="BJ20" s="222">
        <v>0.25</v>
      </c>
      <c r="BK20" s="975" t="s">
        <v>202</v>
      </c>
      <c r="BL20" s="936"/>
      <c r="BM20" s="254">
        <v>0.2</v>
      </c>
      <c r="BN20" s="255" t="s">
        <v>201</v>
      </c>
      <c r="BO20" s="256">
        <v>40</v>
      </c>
      <c r="BP20" s="167">
        <f t="shared" si="3"/>
        <v>0</v>
      </c>
      <c r="BQ20" s="167">
        <f t="shared" si="29"/>
        <v>0</v>
      </c>
      <c r="BR20" s="224">
        <v>22</v>
      </c>
      <c r="BS20" s="224">
        <v>22</v>
      </c>
      <c r="BT20" s="161" t="s">
        <v>129</v>
      </c>
      <c r="BU20" s="224"/>
      <c r="BV20" s="229"/>
      <c r="BW20" s="230">
        <v>0</v>
      </c>
      <c r="BX20" s="231" t="s">
        <v>129</v>
      </c>
      <c r="BY20" s="178" t="s">
        <v>114</v>
      </c>
      <c r="BZ20" s="234">
        <v>2461.8000000000002</v>
      </c>
      <c r="CA20" s="232">
        <v>0.25</v>
      </c>
      <c r="CB20" s="974" t="s">
        <v>202</v>
      </c>
      <c r="CC20" s="936"/>
      <c r="CD20" s="232">
        <v>0.2</v>
      </c>
      <c r="CE20" s="181" t="s">
        <v>203</v>
      </c>
      <c r="CF20" s="182">
        <v>40</v>
      </c>
      <c r="CG20" s="183">
        <f t="shared" si="5"/>
        <v>0</v>
      </c>
      <c r="CH20" s="183">
        <f t="shared" si="30"/>
        <v>0</v>
      </c>
      <c r="CI20" s="233">
        <v>22</v>
      </c>
      <c r="CJ20" s="233">
        <v>22</v>
      </c>
      <c r="CK20" s="178" t="s">
        <v>129</v>
      </c>
      <c r="CL20" s="233"/>
      <c r="CM20" s="233"/>
      <c r="CN20" s="230">
        <v>0</v>
      </c>
      <c r="CO20" s="231" t="s">
        <v>129</v>
      </c>
      <c r="CP20" s="178" t="s">
        <v>117</v>
      </c>
      <c r="CQ20" s="234">
        <v>1886.79</v>
      </c>
      <c r="CR20" s="232">
        <v>0.3</v>
      </c>
      <c r="CS20" s="974" t="s">
        <v>200</v>
      </c>
      <c r="CT20" s="936"/>
      <c r="CU20" s="232">
        <v>0.2</v>
      </c>
      <c r="CV20" s="181" t="s">
        <v>201</v>
      </c>
      <c r="CW20" s="182">
        <v>40</v>
      </c>
      <c r="CX20" s="183">
        <f t="shared" si="6"/>
        <v>0</v>
      </c>
      <c r="CY20" s="183">
        <f t="shared" si="31"/>
        <v>0</v>
      </c>
      <c r="CZ20" s="233">
        <v>22</v>
      </c>
      <c r="DA20" s="233">
        <v>1</v>
      </c>
      <c r="DB20" s="178" t="s">
        <v>129</v>
      </c>
      <c r="DC20" s="233"/>
      <c r="DD20" s="233"/>
      <c r="DE20" s="230">
        <v>0</v>
      </c>
      <c r="DF20" s="231" t="s">
        <v>129</v>
      </c>
      <c r="DG20" s="178" t="s">
        <v>117</v>
      </c>
      <c r="DH20" s="260">
        <v>1566.78</v>
      </c>
      <c r="DI20" s="258">
        <v>0.25</v>
      </c>
      <c r="DJ20" s="968" t="s">
        <v>202</v>
      </c>
      <c r="DK20" s="936"/>
      <c r="DL20" s="258">
        <v>0.2</v>
      </c>
      <c r="DM20" s="191" t="s">
        <v>201</v>
      </c>
      <c r="DN20" s="185">
        <v>40</v>
      </c>
      <c r="DO20" s="186">
        <f t="shared" si="7"/>
        <v>0</v>
      </c>
      <c r="DP20" s="186">
        <f t="shared" si="32"/>
        <v>0</v>
      </c>
      <c r="DQ20" s="259">
        <v>22</v>
      </c>
      <c r="DR20" s="259">
        <v>1</v>
      </c>
      <c r="DS20" s="187" t="s">
        <v>129</v>
      </c>
      <c r="DT20" s="259"/>
      <c r="DU20" s="259"/>
      <c r="DV20" s="235">
        <v>0</v>
      </c>
      <c r="DW20" s="236" t="s">
        <v>129</v>
      </c>
      <c r="DX20" s="178" t="s">
        <v>19</v>
      </c>
      <c r="DY20" s="260">
        <v>4128.0200000000004</v>
      </c>
      <c r="DZ20" s="258">
        <v>0.25</v>
      </c>
      <c r="EA20" s="968" t="s">
        <v>202</v>
      </c>
      <c r="EB20" s="936"/>
      <c r="EC20" s="258">
        <v>0.2</v>
      </c>
      <c r="ED20" s="191" t="s">
        <v>204</v>
      </c>
      <c r="EE20" s="185">
        <v>44</v>
      </c>
      <c r="EF20" s="186">
        <f t="shared" si="8"/>
        <v>0</v>
      </c>
      <c r="EG20" s="186">
        <f t="shared" si="33"/>
        <v>0</v>
      </c>
      <c r="EH20" s="259">
        <v>22</v>
      </c>
      <c r="EI20" s="259">
        <v>22</v>
      </c>
      <c r="EJ20" s="187" t="s">
        <v>69</v>
      </c>
      <c r="EK20" s="259"/>
      <c r="EL20" s="259"/>
      <c r="EM20" s="237">
        <v>0</v>
      </c>
      <c r="EN20" s="238" t="s">
        <v>129</v>
      </c>
      <c r="EO20" s="194" t="s">
        <v>19</v>
      </c>
      <c r="EP20" s="261">
        <v>4128.0200000000004</v>
      </c>
      <c r="EQ20" s="262">
        <v>0.25</v>
      </c>
      <c r="ER20" s="955" t="s">
        <v>202</v>
      </c>
      <c r="ES20" s="936"/>
      <c r="ET20" s="262">
        <v>0.2</v>
      </c>
      <c r="EU20" s="197" t="s">
        <v>204</v>
      </c>
      <c r="EV20" s="198">
        <v>44</v>
      </c>
      <c r="EW20" s="199">
        <f t="shared" si="9"/>
        <v>0</v>
      </c>
      <c r="EX20" s="199">
        <f t="shared" si="34"/>
        <v>0</v>
      </c>
      <c r="EY20" s="263">
        <v>22</v>
      </c>
      <c r="EZ20" s="263">
        <v>22</v>
      </c>
      <c r="FA20" s="200" t="s">
        <v>69</v>
      </c>
      <c r="FB20" s="263"/>
      <c r="FC20" s="263"/>
      <c r="FD20" s="237">
        <v>0</v>
      </c>
      <c r="FE20" s="238" t="s">
        <v>129</v>
      </c>
      <c r="FF20" s="194" t="s">
        <v>19</v>
      </c>
      <c r="FG20" s="261">
        <v>1741.45</v>
      </c>
      <c r="FH20" s="262">
        <v>0.25</v>
      </c>
      <c r="FI20" s="955" t="s">
        <v>202</v>
      </c>
      <c r="FJ20" s="936"/>
      <c r="FK20" s="262">
        <v>0.2</v>
      </c>
      <c r="FL20" s="197" t="s">
        <v>205</v>
      </c>
      <c r="FM20" s="198">
        <v>44</v>
      </c>
      <c r="FN20" s="199">
        <f t="shared" si="10"/>
        <v>0</v>
      </c>
      <c r="FO20" s="199">
        <f t="shared" si="35"/>
        <v>0</v>
      </c>
      <c r="FP20" s="263">
        <v>9</v>
      </c>
      <c r="FQ20" s="263"/>
      <c r="FR20" s="200" t="s">
        <v>69</v>
      </c>
      <c r="FS20" s="263"/>
      <c r="FT20" s="263"/>
      <c r="FU20" s="237">
        <v>0</v>
      </c>
      <c r="FV20" s="238" t="s">
        <v>129</v>
      </c>
      <c r="FW20" s="194" t="s">
        <v>19</v>
      </c>
      <c r="FX20" s="261">
        <v>0</v>
      </c>
      <c r="FY20" s="262">
        <v>0.25</v>
      </c>
      <c r="FZ20" s="955" t="s">
        <v>202</v>
      </c>
      <c r="GA20" s="936"/>
      <c r="GB20" s="262">
        <v>0.2</v>
      </c>
      <c r="GC20" s="197" t="s">
        <v>204</v>
      </c>
      <c r="GD20" s="198">
        <v>44</v>
      </c>
      <c r="GE20" s="199">
        <f t="shared" si="11"/>
        <v>0</v>
      </c>
      <c r="GF20" s="199">
        <f t="shared" si="36"/>
        <v>0</v>
      </c>
      <c r="GG20" s="263">
        <v>0</v>
      </c>
      <c r="GH20" s="263"/>
      <c r="GI20" s="200" t="s">
        <v>69</v>
      </c>
      <c r="GJ20" s="263"/>
      <c r="GK20" s="263"/>
      <c r="GL20" s="237">
        <v>0</v>
      </c>
      <c r="GM20" s="238" t="s">
        <v>129</v>
      </c>
      <c r="GN20" s="194" t="s">
        <v>19</v>
      </c>
      <c r="GO20" s="261">
        <v>0</v>
      </c>
      <c r="GP20" s="262">
        <v>0.25</v>
      </c>
      <c r="GQ20" s="955" t="s">
        <v>202</v>
      </c>
      <c r="GR20" s="936"/>
      <c r="GS20" s="262">
        <v>0.2</v>
      </c>
      <c r="GT20" s="197" t="s">
        <v>204</v>
      </c>
      <c r="GU20" s="198">
        <v>44</v>
      </c>
      <c r="GV20" s="199">
        <f t="shared" si="22"/>
        <v>0</v>
      </c>
      <c r="GW20" s="199">
        <f t="shared" si="37"/>
        <v>0</v>
      </c>
      <c r="GX20" s="263">
        <v>0</v>
      </c>
      <c r="GY20" s="263"/>
      <c r="GZ20" s="200" t="s">
        <v>69</v>
      </c>
      <c r="HA20" s="263"/>
      <c r="HB20" s="263"/>
      <c r="HC20" s="201">
        <f t="shared" si="13"/>
        <v>17</v>
      </c>
      <c r="HD20" s="202"/>
      <c r="HE20" s="202"/>
      <c r="HF20" s="202"/>
      <c r="HG20" s="202"/>
      <c r="HH20" s="202"/>
      <c r="HI20" s="202"/>
      <c r="HJ20" s="202"/>
      <c r="HK20" s="202"/>
      <c r="HL20" s="202"/>
      <c r="HM20" s="202"/>
      <c r="HN20" s="203">
        <f t="shared" si="14"/>
        <v>17</v>
      </c>
    </row>
    <row r="21" spans="1:222" ht="22.5" customHeight="1">
      <c r="A21" s="1"/>
      <c r="B21" s="278"/>
      <c r="C21" s="278"/>
      <c r="D21" s="205" t="s">
        <v>88</v>
      </c>
      <c r="E21" s="206">
        <v>4</v>
      </c>
      <c r="F21" s="207">
        <v>3</v>
      </c>
      <c r="G21" s="208">
        <v>0</v>
      </c>
      <c r="H21" s="209" t="s">
        <v>129</v>
      </c>
      <c r="I21" s="210" t="s">
        <v>131</v>
      </c>
      <c r="J21" s="279">
        <v>1502.5</v>
      </c>
      <c r="K21" s="212">
        <v>0.2</v>
      </c>
      <c r="L21" s="940" t="s">
        <v>200</v>
      </c>
      <c r="M21" s="936"/>
      <c r="N21" s="280">
        <v>0.2</v>
      </c>
      <c r="O21" s="281" t="s">
        <v>201</v>
      </c>
      <c r="P21" s="213">
        <v>40</v>
      </c>
      <c r="Q21" s="214">
        <f t="shared" si="23"/>
        <v>0</v>
      </c>
      <c r="R21" s="214">
        <f t="shared" si="24"/>
        <v>0</v>
      </c>
      <c r="S21" s="215">
        <v>22</v>
      </c>
      <c r="T21" s="215">
        <v>22</v>
      </c>
      <c r="U21" s="210" t="s">
        <v>69</v>
      </c>
      <c r="V21" s="216">
        <v>0</v>
      </c>
      <c r="W21" s="217">
        <v>0</v>
      </c>
      <c r="X21" s="218">
        <v>0</v>
      </c>
      <c r="Y21" s="252" t="s">
        <v>129</v>
      </c>
      <c r="Z21" s="220" t="s">
        <v>131</v>
      </c>
      <c r="AA21" s="282">
        <v>1502.5</v>
      </c>
      <c r="AB21" s="222">
        <v>0.25</v>
      </c>
      <c r="AC21" s="954" t="s">
        <v>202</v>
      </c>
      <c r="AD21" s="936"/>
      <c r="AE21" s="283">
        <v>0.2</v>
      </c>
      <c r="AF21" s="284" t="s">
        <v>201</v>
      </c>
      <c r="AG21" s="166">
        <v>40</v>
      </c>
      <c r="AH21" s="167">
        <f>IFERROR((52/(IF(Y21="S",X21+(IF(H21="S",G21,0))+(IF(AP21="S",AO21,0)),0)))/12,0)</f>
        <v>0</v>
      </c>
      <c r="AI21" s="167">
        <f t="shared" si="26"/>
        <v>0</v>
      </c>
      <c r="AJ21" s="224">
        <v>22</v>
      </c>
      <c r="AK21" s="224">
        <v>22</v>
      </c>
      <c r="AL21" s="161" t="s">
        <v>69</v>
      </c>
      <c r="AM21" s="224">
        <v>0</v>
      </c>
      <c r="AN21" s="224">
        <v>0</v>
      </c>
      <c r="AO21" s="225">
        <v>0</v>
      </c>
      <c r="AP21" s="226" t="s">
        <v>129</v>
      </c>
      <c r="AQ21" s="210" t="s">
        <v>131</v>
      </c>
      <c r="AR21" s="279">
        <v>1431.04</v>
      </c>
      <c r="AS21" s="227">
        <v>0.25</v>
      </c>
      <c r="AT21" s="935" t="s">
        <v>202</v>
      </c>
      <c r="AU21" s="936"/>
      <c r="AV21" s="280">
        <v>0.2</v>
      </c>
      <c r="AW21" s="281" t="s">
        <v>201</v>
      </c>
      <c r="AX21" s="171">
        <v>40</v>
      </c>
      <c r="AY21" s="172">
        <f t="shared" si="27"/>
        <v>0</v>
      </c>
      <c r="AZ21" s="172">
        <f t="shared" si="28"/>
        <v>0</v>
      </c>
      <c r="BA21" s="173">
        <v>22</v>
      </c>
      <c r="BB21" s="173">
        <v>22</v>
      </c>
      <c r="BC21" s="149" t="s">
        <v>129</v>
      </c>
      <c r="BD21" s="149">
        <v>0</v>
      </c>
      <c r="BE21" s="149">
        <v>0</v>
      </c>
      <c r="BF21" s="228">
        <v>0</v>
      </c>
      <c r="BG21" s="219" t="s">
        <v>129</v>
      </c>
      <c r="BH21" s="220" t="s">
        <v>131</v>
      </c>
      <c r="BI21" s="282">
        <v>1431.04</v>
      </c>
      <c r="BJ21" s="222">
        <v>0.25</v>
      </c>
      <c r="BK21" s="975" t="s">
        <v>202</v>
      </c>
      <c r="BL21" s="936"/>
      <c r="BM21" s="283">
        <v>0.2</v>
      </c>
      <c r="BN21" s="284" t="s">
        <v>201</v>
      </c>
      <c r="BO21" s="166">
        <v>44</v>
      </c>
      <c r="BP21" s="167">
        <f t="shared" si="3"/>
        <v>0</v>
      </c>
      <c r="BQ21" s="167">
        <f t="shared" si="29"/>
        <v>0</v>
      </c>
      <c r="BR21" s="224">
        <v>22</v>
      </c>
      <c r="BS21" s="224">
        <v>22</v>
      </c>
      <c r="BT21" s="161" t="s">
        <v>69</v>
      </c>
      <c r="BU21" s="224"/>
      <c r="BV21" s="229"/>
      <c r="BW21" s="230">
        <v>0</v>
      </c>
      <c r="BX21" s="231" t="s">
        <v>69</v>
      </c>
      <c r="BY21" s="178" t="s">
        <v>28</v>
      </c>
      <c r="BZ21" s="234">
        <v>2461.8000000000002</v>
      </c>
      <c r="CA21" s="232">
        <v>0.25</v>
      </c>
      <c r="CB21" s="974" t="s">
        <v>202</v>
      </c>
      <c r="CC21" s="936"/>
      <c r="CD21" s="232">
        <v>0.2</v>
      </c>
      <c r="CE21" s="181" t="s">
        <v>203</v>
      </c>
      <c r="CF21" s="182">
        <v>44</v>
      </c>
      <c r="CG21" s="183">
        <f t="shared" si="5"/>
        <v>0</v>
      </c>
      <c r="CH21" s="183">
        <f t="shared" si="30"/>
        <v>0</v>
      </c>
      <c r="CI21" s="233">
        <v>22</v>
      </c>
      <c r="CJ21" s="233">
        <v>22</v>
      </c>
      <c r="CK21" s="178" t="s">
        <v>69</v>
      </c>
      <c r="CL21" s="233"/>
      <c r="CM21" s="233"/>
      <c r="CN21" s="230">
        <v>0</v>
      </c>
      <c r="CO21" s="231" t="s">
        <v>69</v>
      </c>
      <c r="CP21" s="178" t="s">
        <v>28</v>
      </c>
      <c r="CQ21" s="234">
        <v>1396.01</v>
      </c>
      <c r="CR21" s="232">
        <v>0.3</v>
      </c>
      <c r="CS21" s="974" t="s">
        <v>202</v>
      </c>
      <c r="CT21" s="936"/>
      <c r="CU21" s="232">
        <v>0.2</v>
      </c>
      <c r="CV21" s="181" t="s">
        <v>201</v>
      </c>
      <c r="CW21" s="182">
        <v>44</v>
      </c>
      <c r="CX21" s="183">
        <f t="shared" si="6"/>
        <v>0</v>
      </c>
      <c r="CY21" s="183">
        <f t="shared" si="31"/>
        <v>0</v>
      </c>
      <c r="CZ21" s="233">
        <v>22</v>
      </c>
      <c r="DA21" s="233">
        <v>22</v>
      </c>
      <c r="DB21" s="178" t="s">
        <v>69</v>
      </c>
      <c r="DC21" s="233"/>
      <c r="DD21" s="233"/>
      <c r="DE21" s="230">
        <v>0</v>
      </c>
      <c r="DF21" s="231" t="s">
        <v>69</v>
      </c>
      <c r="DG21" s="178" t="s">
        <v>28</v>
      </c>
      <c r="DH21" s="234">
        <v>1396.01</v>
      </c>
      <c r="DI21" s="232">
        <v>0.25</v>
      </c>
      <c r="DJ21" s="968" t="s">
        <v>202</v>
      </c>
      <c r="DK21" s="936"/>
      <c r="DL21" s="232">
        <v>0.2</v>
      </c>
      <c r="DM21" s="181" t="s">
        <v>201</v>
      </c>
      <c r="DN21" s="185">
        <v>44</v>
      </c>
      <c r="DO21" s="183">
        <f t="shared" si="7"/>
        <v>0</v>
      </c>
      <c r="DP21" s="183">
        <f t="shared" si="32"/>
        <v>0</v>
      </c>
      <c r="DQ21" s="233">
        <v>22</v>
      </c>
      <c r="DR21" s="233">
        <v>22</v>
      </c>
      <c r="DS21" s="178" t="s">
        <v>69</v>
      </c>
      <c r="DT21" s="233"/>
      <c r="DU21" s="233"/>
      <c r="DV21" s="235">
        <v>0</v>
      </c>
      <c r="DW21" s="236" t="s">
        <v>129</v>
      </c>
      <c r="DX21" s="178" t="s">
        <v>19</v>
      </c>
      <c r="DY21" s="234">
        <v>4128.0200000000004</v>
      </c>
      <c r="DZ21" s="232">
        <v>0.25</v>
      </c>
      <c r="EA21" s="968" t="s">
        <v>202</v>
      </c>
      <c r="EB21" s="936"/>
      <c r="EC21" s="232">
        <v>0.2</v>
      </c>
      <c r="ED21" s="181" t="s">
        <v>204</v>
      </c>
      <c r="EE21" s="185">
        <v>44</v>
      </c>
      <c r="EF21" s="183">
        <f t="shared" si="8"/>
        <v>0</v>
      </c>
      <c r="EG21" s="183">
        <f t="shared" si="33"/>
        <v>0</v>
      </c>
      <c r="EH21" s="233">
        <v>22</v>
      </c>
      <c r="EI21" s="233">
        <v>22</v>
      </c>
      <c r="EJ21" s="178" t="s">
        <v>69</v>
      </c>
      <c r="EK21" s="233"/>
      <c r="EL21" s="233"/>
      <c r="EM21" s="237">
        <v>0</v>
      </c>
      <c r="EN21" s="238" t="s">
        <v>129</v>
      </c>
      <c r="EO21" s="194" t="s">
        <v>19</v>
      </c>
      <c r="EP21" s="239">
        <v>4128.0200000000004</v>
      </c>
      <c r="EQ21" s="240">
        <v>0.25</v>
      </c>
      <c r="ER21" s="955" t="s">
        <v>202</v>
      </c>
      <c r="ES21" s="936"/>
      <c r="ET21" s="240">
        <v>0.2</v>
      </c>
      <c r="EU21" s="241" t="s">
        <v>204</v>
      </c>
      <c r="EV21" s="198">
        <v>44</v>
      </c>
      <c r="EW21" s="242">
        <f t="shared" si="9"/>
        <v>0</v>
      </c>
      <c r="EX21" s="242">
        <f t="shared" si="34"/>
        <v>0</v>
      </c>
      <c r="EY21" s="243">
        <v>22</v>
      </c>
      <c r="EZ21" s="243">
        <v>22</v>
      </c>
      <c r="FA21" s="194" t="s">
        <v>69</v>
      </c>
      <c r="FB21" s="243"/>
      <c r="FC21" s="243"/>
      <c r="FD21" s="237">
        <v>0</v>
      </c>
      <c r="FE21" s="238" t="s">
        <v>129</v>
      </c>
      <c r="FF21" s="194" t="s">
        <v>19</v>
      </c>
      <c r="FG21" s="239">
        <v>1741.45</v>
      </c>
      <c r="FH21" s="240">
        <v>0.25</v>
      </c>
      <c r="FI21" s="955" t="s">
        <v>202</v>
      </c>
      <c r="FJ21" s="936"/>
      <c r="FK21" s="240">
        <v>0.2</v>
      </c>
      <c r="FL21" s="241" t="s">
        <v>205</v>
      </c>
      <c r="FM21" s="198">
        <v>44</v>
      </c>
      <c r="FN21" s="242">
        <f t="shared" si="10"/>
        <v>0</v>
      </c>
      <c r="FO21" s="242">
        <f t="shared" si="35"/>
        <v>0</v>
      </c>
      <c r="FP21" s="243">
        <v>9</v>
      </c>
      <c r="FQ21" s="243"/>
      <c r="FR21" s="194" t="s">
        <v>69</v>
      </c>
      <c r="FS21" s="243"/>
      <c r="FT21" s="243"/>
      <c r="FU21" s="237">
        <v>0</v>
      </c>
      <c r="FV21" s="238" t="s">
        <v>129</v>
      </c>
      <c r="FW21" s="194" t="s">
        <v>19</v>
      </c>
      <c r="FX21" s="239">
        <v>0</v>
      </c>
      <c r="FY21" s="240">
        <v>0.25</v>
      </c>
      <c r="FZ21" s="955" t="s">
        <v>202</v>
      </c>
      <c r="GA21" s="936"/>
      <c r="GB21" s="240">
        <v>0.2</v>
      </c>
      <c r="GC21" s="241" t="s">
        <v>204</v>
      </c>
      <c r="GD21" s="198">
        <v>44</v>
      </c>
      <c r="GE21" s="242">
        <f t="shared" si="11"/>
        <v>0</v>
      </c>
      <c r="GF21" s="242">
        <f t="shared" si="36"/>
        <v>0</v>
      </c>
      <c r="GG21" s="243">
        <v>0</v>
      </c>
      <c r="GH21" s="243"/>
      <c r="GI21" s="194" t="s">
        <v>69</v>
      </c>
      <c r="GJ21" s="243"/>
      <c r="GK21" s="243"/>
      <c r="GL21" s="237">
        <v>0</v>
      </c>
      <c r="GM21" s="238" t="s">
        <v>129</v>
      </c>
      <c r="GN21" s="194" t="s">
        <v>19</v>
      </c>
      <c r="GO21" s="239">
        <v>0</v>
      </c>
      <c r="GP21" s="240">
        <v>0.25</v>
      </c>
      <c r="GQ21" s="955" t="s">
        <v>202</v>
      </c>
      <c r="GR21" s="936"/>
      <c r="GS21" s="240">
        <v>0.2</v>
      </c>
      <c r="GT21" s="241" t="s">
        <v>204</v>
      </c>
      <c r="GU21" s="198">
        <v>44</v>
      </c>
      <c r="GV21" s="242">
        <f t="shared" si="22"/>
        <v>0</v>
      </c>
      <c r="GW21" s="242">
        <f t="shared" si="37"/>
        <v>0</v>
      </c>
      <c r="GX21" s="243">
        <v>0</v>
      </c>
      <c r="GY21" s="243"/>
      <c r="GZ21" s="194" t="s">
        <v>69</v>
      </c>
      <c r="HA21" s="243"/>
      <c r="HB21" s="243"/>
      <c r="HC21" s="201">
        <f t="shared" si="13"/>
        <v>0</v>
      </c>
      <c r="HD21" s="89"/>
      <c r="HE21" s="89"/>
      <c r="HF21" s="89"/>
      <c r="HG21" s="89"/>
      <c r="HH21" s="89"/>
      <c r="HI21" s="89"/>
      <c r="HJ21" s="89"/>
      <c r="HK21" s="89"/>
      <c r="HL21" s="89"/>
      <c r="HM21" s="89"/>
      <c r="HN21" s="203">
        <f t="shared" si="14"/>
        <v>0</v>
      </c>
    </row>
    <row r="22" spans="1:222" ht="18.75" customHeight="1">
      <c r="A22" s="1"/>
      <c r="B22" s="1"/>
      <c r="C22" s="1"/>
      <c r="D22" s="1"/>
      <c r="E22" s="1"/>
      <c r="F22" s="285"/>
      <c r="G22" s="286">
        <f>SUM(G10:G21)</f>
        <v>5</v>
      </c>
      <c r="H22" s="286"/>
      <c r="I22" s="287"/>
      <c r="J22" s="287"/>
      <c r="K22" s="287"/>
      <c r="L22" s="287"/>
      <c r="M22" s="287"/>
      <c r="N22" s="287"/>
      <c r="O22" s="287"/>
      <c r="P22" s="287"/>
      <c r="Q22" s="287"/>
      <c r="R22" s="287"/>
      <c r="S22" s="287"/>
      <c r="T22" s="287"/>
      <c r="U22" s="287"/>
      <c r="V22" s="287"/>
      <c r="W22" s="287"/>
      <c r="X22" s="288">
        <f>SUM(X10:X21)</f>
        <v>10</v>
      </c>
      <c r="Y22" s="288"/>
      <c r="Z22" s="289"/>
      <c r="AA22" s="288"/>
      <c r="AB22" s="288"/>
      <c r="AC22" s="289"/>
      <c r="AD22" s="289"/>
      <c r="AE22" s="289"/>
      <c r="AF22" s="289"/>
      <c r="AG22" s="289"/>
      <c r="AH22" s="289"/>
      <c r="AI22" s="289"/>
      <c r="AJ22" s="289"/>
      <c r="AK22" s="289"/>
      <c r="AL22" s="289"/>
      <c r="AM22" s="289"/>
      <c r="AN22" s="288"/>
      <c r="AO22" s="290">
        <f t="shared" ref="AO22:DE22" si="38">SUM(AO10:AO21)</f>
        <v>26</v>
      </c>
      <c r="AP22" s="290">
        <f t="shared" si="38"/>
        <v>0</v>
      </c>
      <c r="AQ22" s="288">
        <f t="shared" si="38"/>
        <v>0</v>
      </c>
      <c r="AR22" s="291">
        <f t="shared" si="38"/>
        <v>17172.480000000003</v>
      </c>
      <c r="AS22" s="292">
        <f t="shared" si="38"/>
        <v>2.8000000000000003</v>
      </c>
      <c r="AT22" s="293">
        <f t="shared" si="38"/>
        <v>0</v>
      </c>
      <c r="AU22" s="288">
        <f t="shared" si="38"/>
        <v>0</v>
      </c>
      <c r="AV22" s="292">
        <f t="shared" si="38"/>
        <v>2.4</v>
      </c>
      <c r="AW22" s="293">
        <f t="shared" si="38"/>
        <v>0</v>
      </c>
      <c r="AX22" s="294">
        <f t="shared" si="38"/>
        <v>488</v>
      </c>
      <c r="AY22" s="295">
        <f t="shared" si="38"/>
        <v>1.0833333333333333</v>
      </c>
      <c r="AZ22" s="295">
        <f t="shared" si="38"/>
        <v>1.3333333333333333</v>
      </c>
      <c r="BA22" s="288">
        <f t="shared" si="38"/>
        <v>267</v>
      </c>
      <c r="BB22" s="288">
        <f t="shared" si="38"/>
        <v>264</v>
      </c>
      <c r="BC22" s="288">
        <f t="shared" si="38"/>
        <v>0</v>
      </c>
      <c r="BD22" s="288">
        <f t="shared" si="38"/>
        <v>0</v>
      </c>
      <c r="BE22" s="288">
        <f t="shared" si="38"/>
        <v>0</v>
      </c>
      <c r="BF22" s="288">
        <f t="shared" si="38"/>
        <v>3</v>
      </c>
      <c r="BG22" s="288">
        <f t="shared" si="38"/>
        <v>0</v>
      </c>
      <c r="BH22" s="288">
        <f t="shared" si="38"/>
        <v>0</v>
      </c>
      <c r="BI22" s="296">
        <f t="shared" si="38"/>
        <v>17172.480000000003</v>
      </c>
      <c r="BJ22" s="297">
        <f t="shared" si="38"/>
        <v>3</v>
      </c>
      <c r="BK22" s="298">
        <f t="shared" si="38"/>
        <v>0</v>
      </c>
      <c r="BL22" s="299">
        <f t="shared" si="38"/>
        <v>0</v>
      </c>
      <c r="BM22" s="297">
        <f t="shared" si="38"/>
        <v>2.4</v>
      </c>
      <c r="BN22" s="298">
        <f t="shared" si="38"/>
        <v>0</v>
      </c>
      <c r="BO22" s="300">
        <f t="shared" si="38"/>
        <v>524</v>
      </c>
      <c r="BP22" s="301">
        <f t="shared" si="38"/>
        <v>0</v>
      </c>
      <c r="BQ22" s="301">
        <f t="shared" si="38"/>
        <v>0</v>
      </c>
      <c r="BR22" s="299">
        <f t="shared" si="38"/>
        <v>264</v>
      </c>
      <c r="BS22" s="299">
        <f t="shared" si="38"/>
        <v>264</v>
      </c>
      <c r="BT22" s="299">
        <f t="shared" si="38"/>
        <v>0</v>
      </c>
      <c r="BU22" s="299">
        <f t="shared" si="38"/>
        <v>0</v>
      </c>
      <c r="BV22" s="299">
        <f t="shared" si="38"/>
        <v>0</v>
      </c>
      <c r="BW22" s="302">
        <f t="shared" si="38"/>
        <v>0</v>
      </c>
      <c r="BX22" s="302">
        <f t="shared" si="38"/>
        <v>0</v>
      </c>
      <c r="BY22" s="302">
        <f t="shared" si="38"/>
        <v>0</v>
      </c>
      <c r="BZ22" s="303">
        <f t="shared" si="38"/>
        <v>29541.599999999995</v>
      </c>
      <c r="CA22" s="304">
        <f t="shared" si="38"/>
        <v>3</v>
      </c>
      <c r="CB22" s="305">
        <f t="shared" si="38"/>
        <v>0</v>
      </c>
      <c r="CC22" s="302">
        <f t="shared" si="38"/>
        <v>0</v>
      </c>
      <c r="CD22" s="304">
        <f t="shared" si="38"/>
        <v>2.4</v>
      </c>
      <c r="CE22" s="305">
        <f t="shared" si="38"/>
        <v>0</v>
      </c>
      <c r="CF22" s="306">
        <f t="shared" si="38"/>
        <v>524</v>
      </c>
      <c r="CG22" s="307">
        <f t="shared" si="38"/>
        <v>0</v>
      </c>
      <c r="CH22" s="307">
        <f t="shared" si="38"/>
        <v>0</v>
      </c>
      <c r="CI22" s="302">
        <f t="shared" si="38"/>
        <v>264</v>
      </c>
      <c r="CJ22" s="302">
        <f t="shared" si="38"/>
        <v>264</v>
      </c>
      <c r="CK22" s="302">
        <f t="shared" si="38"/>
        <v>0</v>
      </c>
      <c r="CL22" s="302">
        <f t="shared" si="38"/>
        <v>0</v>
      </c>
      <c r="CM22" s="302">
        <f t="shared" si="38"/>
        <v>0</v>
      </c>
      <c r="CN22" s="302">
        <f t="shared" si="38"/>
        <v>0</v>
      </c>
      <c r="CO22" s="302">
        <f t="shared" si="38"/>
        <v>0</v>
      </c>
      <c r="CP22" s="302">
        <f t="shared" si="38"/>
        <v>0</v>
      </c>
      <c r="CQ22" s="303">
        <f t="shared" si="38"/>
        <v>17242.899999999998</v>
      </c>
      <c r="CR22" s="304">
        <f t="shared" si="38"/>
        <v>3.5999999999999992</v>
      </c>
      <c r="CS22" s="305">
        <f t="shared" si="38"/>
        <v>0</v>
      </c>
      <c r="CT22" s="302">
        <f t="shared" si="38"/>
        <v>0</v>
      </c>
      <c r="CU22" s="304">
        <f t="shared" si="38"/>
        <v>2.4</v>
      </c>
      <c r="CV22" s="305">
        <f t="shared" si="38"/>
        <v>0</v>
      </c>
      <c r="CW22" s="306">
        <f t="shared" si="38"/>
        <v>524</v>
      </c>
      <c r="CX22" s="307">
        <f t="shared" si="38"/>
        <v>0</v>
      </c>
      <c r="CY22" s="307">
        <f t="shared" si="38"/>
        <v>0</v>
      </c>
      <c r="CZ22" s="302">
        <f t="shared" si="38"/>
        <v>264</v>
      </c>
      <c r="DA22" s="302">
        <f t="shared" si="38"/>
        <v>243</v>
      </c>
      <c r="DB22" s="302">
        <f t="shared" si="38"/>
        <v>0</v>
      </c>
      <c r="DC22" s="302">
        <f t="shared" si="38"/>
        <v>0</v>
      </c>
      <c r="DD22" s="302">
        <f t="shared" si="38"/>
        <v>0</v>
      </c>
      <c r="DE22" s="308">
        <f t="shared" si="38"/>
        <v>0</v>
      </c>
      <c r="DF22" s="309"/>
      <c r="DG22" s="89"/>
      <c r="DH22" s="310"/>
      <c r="DI22" s="310"/>
      <c r="DJ22" s="310"/>
      <c r="DK22" s="310"/>
      <c r="DL22" s="310"/>
      <c r="DM22" s="310"/>
      <c r="DN22" s="310"/>
      <c r="DO22" s="310"/>
      <c r="DP22" s="310"/>
      <c r="DQ22" s="310"/>
      <c r="DR22" s="310"/>
      <c r="DS22" s="310"/>
      <c r="DT22" s="310"/>
      <c r="DU22" s="310"/>
      <c r="DV22" s="311">
        <f>SUM(DV10:DV21)</f>
        <v>0</v>
      </c>
      <c r="DW22" s="311"/>
      <c r="DX22" s="89"/>
      <c r="DY22" s="89"/>
      <c r="DZ22" s="89"/>
      <c r="EA22" s="89"/>
      <c r="EB22" s="89"/>
      <c r="EC22" s="89"/>
      <c r="ED22" s="89"/>
      <c r="EE22" s="89"/>
      <c r="EF22" s="89"/>
      <c r="EG22" s="89"/>
      <c r="EH22" s="89"/>
      <c r="EI22" s="89"/>
      <c r="EJ22" s="89"/>
      <c r="EK22" s="89"/>
      <c r="EL22" s="89"/>
      <c r="EM22" s="311">
        <f>SUM(EM10:EM21)</f>
        <v>0</v>
      </c>
      <c r="EN22" s="311"/>
      <c r="EO22" s="89"/>
      <c r="EP22" s="89"/>
      <c r="EQ22" s="89"/>
      <c r="ER22" s="89"/>
      <c r="ES22" s="89"/>
      <c r="ET22" s="89"/>
      <c r="EU22" s="89"/>
      <c r="EV22" s="89"/>
      <c r="EW22" s="89"/>
      <c r="EX22" s="89"/>
      <c r="EY22" s="89"/>
      <c r="EZ22" s="89"/>
      <c r="FA22" s="89"/>
      <c r="FB22" s="89"/>
      <c r="FC22" s="89"/>
      <c r="FD22" s="311">
        <f>SUM(FD10:FD21)</f>
        <v>0</v>
      </c>
      <c r="FE22" s="311"/>
      <c r="FF22" s="89"/>
      <c r="FG22" s="89"/>
      <c r="FH22" s="89"/>
      <c r="FI22" s="89"/>
      <c r="FJ22" s="89"/>
      <c r="FK22" s="89"/>
      <c r="FL22" s="89"/>
      <c r="FM22" s="89"/>
      <c r="FN22" s="89"/>
      <c r="FO22" s="89"/>
      <c r="FP22" s="89"/>
      <c r="FQ22" s="89"/>
      <c r="FR22" s="89"/>
      <c r="FS22" s="89"/>
      <c r="FT22" s="89"/>
      <c r="FU22" s="311">
        <f>SUM(FU10:FU21)</f>
        <v>0</v>
      </c>
      <c r="FV22" s="311"/>
      <c r="FW22" s="89"/>
      <c r="FX22" s="89"/>
      <c r="FY22" s="89"/>
      <c r="FZ22" s="89"/>
      <c r="GA22" s="89"/>
      <c r="GB22" s="89"/>
      <c r="GC22" s="89"/>
      <c r="GD22" s="89"/>
      <c r="GE22" s="89"/>
      <c r="GF22" s="89"/>
      <c r="GG22" s="89"/>
      <c r="GH22" s="89"/>
      <c r="GI22" s="89"/>
      <c r="GJ22" s="89"/>
      <c r="GK22" s="89"/>
      <c r="GL22" s="311">
        <f>SUM(GL10:GL21)</f>
        <v>0</v>
      </c>
      <c r="GM22" s="311"/>
      <c r="GN22" s="89"/>
      <c r="GO22" s="89"/>
      <c r="GP22" s="89"/>
      <c r="GQ22" s="89"/>
      <c r="GR22" s="89"/>
      <c r="GS22" s="89"/>
      <c r="GT22" s="89"/>
      <c r="GU22" s="89"/>
      <c r="GV22" s="89"/>
      <c r="GW22" s="89"/>
      <c r="GX22" s="89"/>
      <c r="GY22" s="89"/>
      <c r="GZ22" s="89"/>
      <c r="HA22" s="89"/>
      <c r="HB22" s="89"/>
      <c r="HC22" s="312">
        <f>SUM(HC10:HC21)</f>
        <v>44</v>
      </c>
      <c r="HD22" s="89"/>
      <c r="HE22" s="89"/>
      <c r="HF22" s="89"/>
      <c r="HG22" s="89"/>
      <c r="HH22" s="89"/>
      <c r="HI22" s="89"/>
      <c r="HJ22" s="89"/>
      <c r="HK22" s="89"/>
      <c r="HL22" s="89"/>
      <c r="HM22" s="89"/>
      <c r="HN22" s="203">
        <f t="shared" si="14"/>
        <v>44</v>
      </c>
    </row>
    <row r="23" spans="1:222" ht="14.25" customHeight="1">
      <c r="A23" s="1"/>
      <c r="B23" s="313" t="s">
        <v>217</v>
      </c>
      <c r="C23" s="313"/>
      <c r="D23" s="314"/>
      <c r="E23" s="1"/>
      <c r="F23" s="315"/>
      <c r="G23" s="316"/>
      <c r="H23" s="65"/>
      <c r="I23" s="65"/>
      <c r="J23" s="65"/>
      <c r="K23" s="1"/>
      <c r="L23" s="317" t="s">
        <v>218</v>
      </c>
      <c r="M23" s="318"/>
      <c r="N23" s="319"/>
      <c r="O23" s="320" t="s">
        <v>203</v>
      </c>
      <c r="P23" s="321">
        <v>44</v>
      </c>
      <c r="Q23" s="322" t="s">
        <v>219</v>
      </c>
      <c r="R23" s="322" t="s">
        <v>219</v>
      </c>
      <c r="S23" s="1"/>
      <c r="T23" s="1"/>
      <c r="U23" s="1"/>
      <c r="V23" s="1"/>
      <c r="W23" s="1"/>
      <c r="X23" s="323" t="s">
        <v>220</v>
      </c>
      <c r="Y23" s="66"/>
      <c r="Z23" s="66"/>
      <c r="AA23" s="66"/>
      <c r="AB23" s="66"/>
      <c r="AC23" s="1"/>
      <c r="AD23" s="1"/>
      <c r="AE23" s="1"/>
      <c r="AF23" s="1"/>
      <c r="AG23" s="1"/>
      <c r="AH23" s="319" t="s">
        <v>219</v>
      </c>
      <c r="AI23" s="319" t="s">
        <v>219</v>
      </c>
      <c r="AJ23" s="1"/>
      <c r="AK23" s="1"/>
      <c r="AL23" s="1"/>
      <c r="AM23" s="1"/>
      <c r="AN23" s="1"/>
      <c r="AO23" s="66"/>
      <c r="AP23" s="66"/>
      <c r="AQ23" s="1"/>
      <c r="AR23" s="1"/>
      <c r="AS23" s="1"/>
      <c r="AT23" s="1"/>
      <c r="AU23" s="1"/>
      <c r="AV23" s="1"/>
      <c r="AW23" s="1"/>
      <c r="AX23" s="1"/>
      <c r="AY23" s="319" t="s">
        <v>219</v>
      </c>
      <c r="AZ23" s="319" t="s">
        <v>219</v>
      </c>
      <c r="BA23" s="1"/>
      <c r="BB23" s="1"/>
      <c r="BC23" s="1"/>
      <c r="BD23" s="1"/>
      <c r="BE23" s="1"/>
      <c r="BF23" s="288"/>
      <c r="BG23" s="288"/>
      <c r="BH23" s="289"/>
      <c r="BI23" s="289"/>
      <c r="BJ23" s="289"/>
      <c r="BK23" s="289"/>
      <c r="BL23" s="289"/>
      <c r="BM23" s="289"/>
      <c r="BN23" s="289"/>
      <c r="BO23" s="289"/>
      <c r="BP23" s="289"/>
      <c r="BQ23" s="289"/>
      <c r="BR23" s="289"/>
      <c r="BS23" s="289"/>
      <c r="BT23" s="289"/>
      <c r="BU23" s="289"/>
      <c r="BV23" s="289"/>
      <c r="BW23" s="311"/>
      <c r="BX23" s="311"/>
      <c r="BY23" s="89"/>
      <c r="BZ23" s="89"/>
      <c r="CA23" s="89"/>
      <c r="CB23" s="89"/>
      <c r="CC23" s="89"/>
      <c r="CD23" s="89"/>
      <c r="CE23" s="89"/>
      <c r="CF23" s="89"/>
      <c r="CG23" s="89"/>
      <c r="CH23" s="89"/>
      <c r="CI23" s="89"/>
      <c r="CJ23" s="89"/>
      <c r="CK23" s="89"/>
      <c r="CL23" s="89"/>
      <c r="CM23" s="89"/>
      <c r="CN23" s="311"/>
      <c r="CO23" s="311"/>
      <c r="CP23" s="89"/>
      <c r="CQ23" s="89"/>
      <c r="CR23" s="89"/>
      <c r="CS23" s="89"/>
      <c r="CT23" s="89"/>
      <c r="CU23" s="89"/>
      <c r="CV23" s="89"/>
      <c r="CW23" s="89"/>
      <c r="CX23" s="89"/>
      <c r="CY23" s="89"/>
      <c r="CZ23" s="89"/>
      <c r="DA23" s="89"/>
      <c r="DB23" s="89"/>
      <c r="DC23" s="89"/>
      <c r="DD23" s="89"/>
      <c r="DE23" s="311"/>
      <c r="DF23" s="311"/>
      <c r="DG23" s="89"/>
      <c r="DH23" s="89"/>
      <c r="DI23" s="89"/>
      <c r="DJ23" s="89"/>
      <c r="DK23" s="89"/>
      <c r="DL23" s="89"/>
      <c r="DM23" s="89"/>
      <c r="DN23" s="89"/>
      <c r="DO23" s="89"/>
      <c r="DP23" s="89"/>
      <c r="DQ23" s="89"/>
      <c r="DR23" s="89"/>
      <c r="DS23" s="89"/>
      <c r="DT23" s="89"/>
      <c r="DU23" s="89"/>
      <c r="DV23" s="311"/>
      <c r="DW23" s="311"/>
      <c r="DX23" s="89"/>
      <c r="DY23" s="89"/>
      <c r="DZ23" s="89"/>
      <c r="EA23" s="89"/>
      <c r="EB23" s="89"/>
      <c r="EC23" s="89"/>
      <c r="ED23" s="89"/>
      <c r="EE23" s="89"/>
      <c r="EF23" s="89"/>
      <c r="EG23" s="89"/>
      <c r="EH23" s="89"/>
      <c r="EI23" s="89"/>
      <c r="EJ23" s="89"/>
      <c r="EK23" s="89"/>
      <c r="EL23" s="89"/>
      <c r="EM23" s="311"/>
      <c r="EN23" s="311"/>
      <c r="EO23" s="89"/>
      <c r="EP23" s="89"/>
      <c r="EQ23" s="89"/>
      <c r="ER23" s="89"/>
      <c r="ES23" s="89"/>
      <c r="ET23" s="89"/>
      <c r="EU23" s="89"/>
      <c r="EV23" s="89"/>
      <c r="EW23" s="89"/>
      <c r="EX23" s="89"/>
      <c r="EY23" s="89"/>
      <c r="EZ23" s="89"/>
      <c r="FA23" s="89"/>
      <c r="FB23" s="89"/>
      <c r="FC23" s="89"/>
      <c r="FD23" s="311"/>
      <c r="FE23" s="311"/>
      <c r="FF23" s="89"/>
      <c r="FG23" s="89"/>
      <c r="FH23" s="89"/>
      <c r="FI23" s="89"/>
      <c r="FJ23" s="89"/>
      <c r="FK23" s="89"/>
      <c r="FL23" s="89"/>
      <c r="FM23" s="89"/>
      <c r="FN23" s="89"/>
      <c r="FO23" s="89"/>
      <c r="FP23" s="89"/>
      <c r="FQ23" s="89"/>
      <c r="FR23" s="89"/>
      <c r="FS23" s="89"/>
      <c r="FT23" s="89"/>
      <c r="FU23" s="311"/>
      <c r="FV23" s="311"/>
      <c r="FW23" s="89"/>
      <c r="FX23" s="89"/>
      <c r="FY23" s="89"/>
      <c r="FZ23" s="89"/>
      <c r="GA23" s="89"/>
      <c r="GB23" s="89"/>
      <c r="GC23" s="89"/>
      <c r="GD23" s="89"/>
      <c r="GE23" s="89"/>
      <c r="GF23" s="89"/>
      <c r="GG23" s="89"/>
      <c r="GH23" s="89"/>
      <c r="GI23" s="89"/>
      <c r="GJ23" s="89"/>
      <c r="GK23" s="89"/>
      <c r="GL23" s="311"/>
      <c r="GM23" s="311"/>
      <c r="GN23" s="89"/>
      <c r="GO23" s="89"/>
      <c r="GP23" s="89"/>
      <c r="GQ23" s="89"/>
      <c r="GR23" s="89"/>
      <c r="GS23" s="89"/>
      <c r="GT23" s="89"/>
      <c r="GU23" s="89"/>
      <c r="GV23" s="89"/>
      <c r="GW23" s="89"/>
      <c r="GX23" s="89"/>
      <c r="GY23" s="89"/>
      <c r="GZ23" s="89"/>
      <c r="HA23" s="89"/>
      <c r="HB23" s="89"/>
      <c r="HC23" s="89"/>
      <c r="HD23" s="89"/>
      <c r="HE23" s="89"/>
      <c r="HF23" s="89"/>
      <c r="HG23" s="89"/>
      <c r="HH23" s="89"/>
      <c r="HI23" s="89"/>
      <c r="HJ23" s="89"/>
      <c r="HK23" s="89"/>
      <c r="HL23" s="89"/>
      <c r="HM23" s="89"/>
      <c r="HN23" s="324"/>
    </row>
    <row r="24" spans="1:222" ht="18" customHeight="1">
      <c r="A24" s="1"/>
      <c r="B24" s="1"/>
      <c r="C24" s="325"/>
      <c r="D24" s="1"/>
      <c r="E24" s="1"/>
      <c r="F24" s="315"/>
      <c r="G24" s="316"/>
      <c r="H24" s="65"/>
      <c r="I24" s="65"/>
      <c r="J24" s="65"/>
      <c r="K24" s="1"/>
      <c r="L24" s="317" t="s">
        <v>200</v>
      </c>
      <c r="M24" s="326"/>
      <c r="N24" s="1"/>
      <c r="O24" s="327" t="s">
        <v>201</v>
      </c>
      <c r="P24" s="321">
        <v>40</v>
      </c>
      <c r="Q24" s="328" t="s">
        <v>221</v>
      </c>
      <c r="R24" s="328" t="s">
        <v>221</v>
      </c>
      <c r="S24" s="1"/>
      <c r="T24" s="1"/>
      <c r="U24" s="1"/>
      <c r="V24" s="1"/>
      <c r="W24" s="1"/>
      <c r="X24" s="66"/>
      <c r="Y24" s="66"/>
      <c r="Z24" s="66"/>
      <c r="AA24" s="66"/>
      <c r="AB24" s="66"/>
      <c r="AC24" s="1"/>
      <c r="AD24" s="1"/>
      <c r="AE24" s="1"/>
      <c r="AF24" s="1"/>
      <c r="AG24" s="1"/>
      <c r="AH24" s="1" t="s">
        <v>221</v>
      </c>
      <c r="AI24" s="1" t="s">
        <v>221</v>
      </c>
      <c r="AJ24" s="1"/>
      <c r="AK24" s="1"/>
      <c r="AL24" s="1"/>
      <c r="AM24" s="1"/>
      <c r="AN24" s="1"/>
      <c r="AO24" s="66"/>
      <c r="AP24" s="66"/>
      <c r="AQ24" s="1"/>
      <c r="AR24" s="1"/>
      <c r="AS24" s="1"/>
      <c r="AT24" s="1"/>
      <c r="AU24" s="1"/>
      <c r="AV24" s="1"/>
      <c r="AW24" s="1"/>
      <c r="AX24" s="1"/>
      <c r="AY24" s="1" t="s">
        <v>221</v>
      </c>
      <c r="AZ24" s="1" t="s">
        <v>221</v>
      </c>
      <c r="BA24" s="1"/>
      <c r="BB24" s="1"/>
      <c r="BC24" s="1"/>
      <c r="BD24" s="1"/>
      <c r="BE24" s="1"/>
      <c r="BF24" s="66"/>
      <c r="BG24" s="66"/>
      <c r="BH24" s="1"/>
      <c r="BI24" s="1"/>
      <c r="BJ24" s="1"/>
      <c r="BK24" s="1"/>
      <c r="BL24" s="1"/>
      <c r="BM24" s="1"/>
      <c r="BN24" s="1"/>
      <c r="BO24" s="1"/>
      <c r="BP24" s="1"/>
      <c r="BQ24" s="1"/>
      <c r="BR24" s="1"/>
      <c r="BS24" s="1"/>
      <c r="BT24" s="1"/>
      <c r="BU24" s="1"/>
      <c r="BV24" s="1"/>
      <c r="BW24" s="286"/>
      <c r="BX24" s="286"/>
      <c r="BY24" s="287"/>
      <c r="BZ24" s="287"/>
      <c r="CA24" s="287"/>
      <c r="CB24" s="287"/>
      <c r="CC24" s="287"/>
      <c r="CD24" s="287"/>
      <c r="CE24" s="287"/>
      <c r="CF24" s="287"/>
      <c r="CG24" s="287"/>
      <c r="CH24" s="287"/>
      <c r="CI24" s="287"/>
      <c r="CJ24" s="287"/>
      <c r="CK24" s="287"/>
      <c r="CL24" s="287"/>
      <c r="CM24" s="287"/>
      <c r="CN24" s="286"/>
      <c r="CO24" s="286"/>
      <c r="CP24" s="287"/>
      <c r="CQ24" s="287"/>
      <c r="CR24" s="287"/>
      <c r="CS24" s="287"/>
      <c r="CT24" s="287"/>
      <c r="CU24" s="287"/>
      <c r="CV24" s="287"/>
      <c r="CW24" s="287"/>
      <c r="CX24" s="287"/>
      <c r="CY24" s="287"/>
      <c r="CZ24" s="287"/>
      <c r="DA24" s="287"/>
      <c r="DB24" s="287"/>
      <c r="DC24" s="287"/>
      <c r="DD24" s="287"/>
      <c r="DE24" s="286"/>
      <c r="DF24" s="286"/>
      <c r="DG24" s="287"/>
      <c r="DH24" s="287"/>
      <c r="DI24" s="287"/>
      <c r="DJ24" s="287"/>
      <c r="DK24" s="287"/>
      <c r="DL24" s="287"/>
      <c r="DM24" s="287"/>
      <c r="DN24" s="287"/>
      <c r="DO24" s="287"/>
      <c r="DP24" s="287"/>
      <c r="DQ24" s="287"/>
      <c r="DR24" s="287"/>
      <c r="DS24" s="287"/>
      <c r="DT24" s="287"/>
      <c r="DU24" s="287"/>
      <c r="DV24" s="286"/>
      <c r="DW24" s="286"/>
      <c r="DX24" s="287"/>
      <c r="DY24" s="287"/>
      <c r="DZ24" s="287"/>
      <c r="EA24" s="287"/>
      <c r="EB24" s="287"/>
      <c r="EC24" s="287"/>
      <c r="ED24" s="287"/>
      <c r="EE24" s="287"/>
      <c r="EF24" s="287"/>
      <c r="EG24" s="287"/>
      <c r="EH24" s="287"/>
      <c r="EI24" s="287"/>
      <c r="EJ24" s="287"/>
      <c r="EK24" s="287"/>
      <c r="EL24" s="287"/>
      <c r="EM24" s="286"/>
      <c r="EN24" s="286"/>
      <c r="EO24" s="287"/>
      <c r="EP24" s="287"/>
      <c r="EQ24" s="287"/>
      <c r="ER24" s="287"/>
      <c r="ES24" s="287"/>
      <c r="ET24" s="287"/>
      <c r="EU24" s="287"/>
      <c r="EV24" s="287"/>
      <c r="EW24" s="287"/>
      <c r="EX24" s="287"/>
      <c r="EY24" s="287"/>
      <c r="EZ24" s="287"/>
      <c r="FA24" s="287"/>
      <c r="FB24" s="287"/>
      <c r="FC24" s="287"/>
      <c r="FD24" s="286"/>
      <c r="FE24" s="286"/>
      <c r="FF24" s="287"/>
      <c r="FG24" s="287"/>
      <c r="FH24" s="287"/>
      <c r="FI24" s="287"/>
      <c r="FJ24" s="287"/>
      <c r="FK24" s="287"/>
      <c r="FL24" s="287"/>
      <c r="FM24" s="287"/>
      <c r="FN24" s="287"/>
      <c r="FO24" s="287"/>
      <c r="FP24" s="287"/>
      <c r="FQ24" s="287"/>
      <c r="FR24" s="287"/>
      <c r="FS24" s="287"/>
      <c r="FT24" s="287"/>
      <c r="FU24" s="286"/>
      <c r="FV24" s="286"/>
      <c r="FW24" s="287"/>
      <c r="FX24" s="287"/>
      <c r="FY24" s="287"/>
      <c r="FZ24" s="287"/>
      <c r="GA24" s="287"/>
      <c r="GB24" s="287"/>
      <c r="GC24" s="287"/>
      <c r="GD24" s="287"/>
      <c r="GE24" s="287"/>
      <c r="GF24" s="287"/>
      <c r="GG24" s="287"/>
      <c r="GH24" s="287"/>
      <c r="GI24" s="287"/>
      <c r="GJ24" s="287"/>
      <c r="GK24" s="287"/>
      <c r="GL24" s="286"/>
      <c r="GM24" s="286"/>
      <c r="GN24" s="287"/>
      <c r="GO24" s="287"/>
      <c r="GP24" s="287"/>
      <c r="GQ24" s="287"/>
      <c r="GR24" s="287"/>
      <c r="GS24" s="287"/>
      <c r="GT24" s="287"/>
      <c r="GU24" s="287"/>
      <c r="GV24" s="287"/>
      <c r="GW24" s="287"/>
      <c r="GX24" s="287"/>
      <c r="GY24" s="287"/>
      <c r="GZ24" s="287"/>
      <c r="HA24" s="287"/>
      <c r="HB24" s="287"/>
      <c r="HC24" s="287"/>
      <c r="HD24" s="287"/>
      <c r="HE24" s="287"/>
      <c r="HF24" s="287"/>
      <c r="HG24" s="287"/>
      <c r="HH24" s="287"/>
      <c r="HI24" s="287"/>
      <c r="HJ24" s="287"/>
      <c r="HK24" s="287"/>
      <c r="HL24" s="287"/>
      <c r="HM24" s="1"/>
      <c r="HN24" s="1"/>
    </row>
    <row r="25" spans="1:222" ht="18" customHeight="1">
      <c r="A25" s="329"/>
      <c r="B25" s="1"/>
      <c r="C25" s="325"/>
      <c r="E25" s="329"/>
      <c r="F25" s="329"/>
      <c r="G25" s="330"/>
      <c r="H25" s="330"/>
      <c r="I25" s="330"/>
      <c r="J25" s="330"/>
      <c r="K25" s="330"/>
      <c r="L25" s="331" t="s">
        <v>202</v>
      </c>
      <c r="M25" s="332"/>
      <c r="N25" s="329"/>
      <c r="O25" s="320" t="s">
        <v>222</v>
      </c>
      <c r="P25" s="321">
        <v>30</v>
      </c>
      <c r="Q25" s="333" t="s">
        <v>223</v>
      </c>
      <c r="R25" s="333" t="s">
        <v>223</v>
      </c>
      <c r="S25" s="330"/>
      <c r="T25" s="330"/>
      <c r="U25" s="330"/>
      <c r="V25" s="330"/>
      <c r="W25" s="330"/>
      <c r="X25" s="334"/>
      <c r="Y25" s="334"/>
      <c r="Z25" s="334"/>
      <c r="AA25" s="334"/>
      <c r="AB25" s="334"/>
      <c r="AC25" s="334"/>
      <c r="AD25" s="334"/>
      <c r="AE25" s="334"/>
      <c r="AF25" s="334"/>
      <c r="AG25" s="334"/>
      <c r="AH25" s="329" t="s">
        <v>223</v>
      </c>
      <c r="AI25" s="329" t="s">
        <v>223</v>
      </c>
      <c r="AJ25" s="334"/>
      <c r="AK25" s="334"/>
      <c r="AL25" s="334"/>
      <c r="AM25" s="334"/>
      <c r="AN25" s="334"/>
      <c r="AO25" s="334"/>
      <c r="AP25" s="334"/>
      <c r="AQ25" s="334"/>
      <c r="AR25" s="334"/>
      <c r="AS25" s="334"/>
      <c r="AT25" s="334"/>
      <c r="AU25" s="334"/>
      <c r="AV25" s="334"/>
      <c r="AW25" s="334"/>
      <c r="AX25" s="334"/>
      <c r="AY25" s="329" t="s">
        <v>223</v>
      </c>
      <c r="AZ25" s="329" t="s">
        <v>223</v>
      </c>
      <c r="BA25" s="334"/>
      <c r="BB25" s="334"/>
      <c r="BC25" s="334"/>
      <c r="BD25" s="334"/>
      <c r="BE25" s="334"/>
      <c r="BF25" s="334"/>
      <c r="BG25" s="334"/>
      <c r="BH25" s="334"/>
      <c r="BI25" s="334"/>
      <c r="BJ25" s="334"/>
      <c r="BK25" s="334"/>
      <c r="BL25" s="334"/>
      <c r="BM25" s="334"/>
      <c r="BN25" s="334"/>
      <c r="BO25" s="334"/>
      <c r="BP25" s="334"/>
      <c r="BQ25" s="334"/>
      <c r="BR25" s="334"/>
      <c r="BS25" s="334"/>
      <c r="BT25" s="334"/>
      <c r="BU25" s="334"/>
      <c r="BV25" s="334"/>
      <c r="BW25" s="330"/>
      <c r="BX25" s="330"/>
      <c r="BY25" s="330"/>
      <c r="BZ25" s="330"/>
      <c r="CA25" s="330"/>
      <c r="CB25" s="330"/>
      <c r="CC25" s="330"/>
      <c r="CD25" s="330"/>
      <c r="CE25" s="330"/>
      <c r="CF25" s="330"/>
      <c r="CG25" s="330"/>
      <c r="CH25" s="330"/>
      <c r="CI25" s="330"/>
      <c r="CJ25" s="330"/>
      <c r="CK25" s="330"/>
      <c r="CL25" s="330"/>
      <c r="CM25" s="330"/>
      <c r="CN25" s="330"/>
      <c r="CO25" s="330"/>
      <c r="CP25" s="330"/>
      <c r="CQ25" s="330"/>
      <c r="CR25" s="330"/>
      <c r="CS25" s="330"/>
      <c r="CT25" s="330"/>
      <c r="CU25" s="330"/>
      <c r="CV25" s="330"/>
      <c r="CW25" s="330"/>
      <c r="CX25" s="330"/>
      <c r="CY25" s="330"/>
      <c r="CZ25" s="330"/>
      <c r="DA25" s="330"/>
      <c r="DB25" s="330"/>
      <c r="DC25" s="330"/>
      <c r="DD25" s="330"/>
      <c r="DE25" s="330"/>
      <c r="DF25" s="330"/>
      <c r="DG25" s="330"/>
      <c r="DH25" s="330"/>
      <c r="DI25" s="330"/>
      <c r="DJ25" s="330"/>
      <c r="DK25" s="330"/>
      <c r="DL25" s="330"/>
      <c r="DM25" s="330"/>
      <c r="DN25" s="330"/>
      <c r="DO25" s="330"/>
      <c r="DP25" s="330"/>
      <c r="DQ25" s="330"/>
      <c r="DR25" s="330"/>
      <c r="DS25" s="330"/>
      <c r="DT25" s="330"/>
      <c r="DU25" s="330"/>
      <c r="DV25" s="330"/>
      <c r="DW25" s="330"/>
      <c r="DX25" s="330"/>
      <c r="DY25" s="330"/>
      <c r="DZ25" s="330"/>
      <c r="EA25" s="330"/>
      <c r="EB25" s="330"/>
      <c r="EC25" s="330"/>
      <c r="ED25" s="330"/>
      <c r="EE25" s="330"/>
      <c r="EF25" s="330"/>
      <c r="EG25" s="330"/>
      <c r="EH25" s="330"/>
      <c r="EI25" s="330"/>
      <c r="EJ25" s="330"/>
      <c r="EK25" s="330"/>
      <c r="EL25" s="330"/>
      <c r="EM25" s="330"/>
      <c r="EN25" s="330"/>
      <c r="EO25" s="330"/>
      <c r="EP25" s="330"/>
      <c r="EQ25" s="330"/>
      <c r="ER25" s="330"/>
      <c r="ES25" s="330"/>
      <c r="ET25" s="330"/>
      <c r="EU25" s="330"/>
      <c r="EV25" s="330"/>
      <c r="EW25" s="330"/>
      <c r="EX25" s="330"/>
      <c r="EY25" s="330"/>
      <c r="EZ25" s="330"/>
      <c r="FA25" s="330"/>
      <c r="FB25" s="330"/>
      <c r="FC25" s="330"/>
      <c r="FD25" s="330"/>
      <c r="FE25" s="330"/>
      <c r="FF25" s="330"/>
      <c r="FG25" s="330"/>
      <c r="FH25" s="330"/>
      <c r="FI25" s="330"/>
      <c r="FJ25" s="330"/>
      <c r="FK25" s="330"/>
      <c r="FL25" s="330"/>
      <c r="FM25" s="330"/>
      <c r="FN25" s="330"/>
      <c r="FO25" s="330"/>
      <c r="FP25" s="330"/>
      <c r="FQ25" s="330"/>
      <c r="FR25" s="330"/>
      <c r="FS25" s="330"/>
      <c r="FT25" s="330"/>
      <c r="FU25" s="330"/>
      <c r="FV25" s="330"/>
      <c r="FW25" s="330"/>
      <c r="FX25" s="330"/>
      <c r="FY25" s="330"/>
      <c r="FZ25" s="330"/>
      <c r="GA25" s="330"/>
      <c r="GB25" s="330"/>
      <c r="GC25" s="330"/>
      <c r="GD25" s="330"/>
      <c r="GE25" s="330"/>
      <c r="GF25" s="330"/>
      <c r="GG25" s="330"/>
      <c r="GH25" s="330"/>
      <c r="GI25" s="330"/>
      <c r="GJ25" s="330"/>
      <c r="GK25" s="330"/>
      <c r="GL25" s="330"/>
      <c r="GM25" s="330">
        <f t="shared" ref="GM25:HM25" si="39">GM6</f>
        <v>0</v>
      </c>
      <c r="GN25" s="330">
        <f t="shared" si="39"/>
        <v>0</v>
      </c>
      <c r="GO25" s="330">
        <f t="shared" si="39"/>
        <v>0</v>
      </c>
      <c r="GP25" s="330">
        <f t="shared" si="39"/>
        <v>0</v>
      </c>
      <c r="GQ25" s="330">
        <f t="shared" si="39"/>
        <v>0</v>
      </c>
      <c r="GR25" s="330">
        <f t="shared" si="39"/>
        <v>0</v>
      </c>
      <c r="GS25" s="330">
        <f t="shared" si="39"/>
        <v>0</v>
      </c>
      <c r="GT25" s="330">
        <f t="shared" si="39"/>
        <v>0</v>
      </c>
      <c r="GU25" s="330">
        <f t="shared" si="39"/>
        <v>0</v>
      </c>
      <c r="GV25" s="330">
        <f t="shared" si="39"/>
        <v>0</v>
      </c>
      <c r="GW25" s="330">
        <f t="shared" si="39"/>
        <v>0</v>
      </c>
      <c r="GX25" s="330">
        <f t="shared" si="39"/>
        <v>0</v>
      </c>
      <c r="GY25" s="330">
        <f t="shared" si="39"/>
        <v>0</v>
      </c>
      <c r="GZ25" s="330">
        <f t="shared" si="39"/>
        <v>0</v>
      </c>
      <c r="HA25" s="330">
        <f t="shared" si="39"/>
        <v>0</v>
      </c>
      <c r="HB25" s="330">
        <f t="shared" si="39"/>
        <v>0</v>
      </c>
      <c r="HC25" s="330">
        <f t="shared" si="39"/>
        <v>0</v>
      </c>
      <c r="HD25" s="330">
        <f t="shared" si="39"/>
        <v>0</v>
      </c>
      <c r="HE25" s="330">
        <f t="shared" si="39"/>
        <v>0</v>
      </c>
      <c r="HF25" s="330">
        <f t="shared" si="39"/>
        <v>0</v>
      </c>
      <c r="HG25" s="330">
        <f t="shared" si="39"/>
        <v>0</v>
      </c>
      <c r="HH25" s="330">
        <f t="shared" si="39"/>
        <v>0</v>
      </c>
      <c r="HI25" s="330">
        <f t="shared" si="39"/>
        <v>0</v>
      </c>
      <c r="HJ25" s="330">
        <f t="shared" si="39"/>
        <v>0</v>
      </c>
      <c r="HK25" s="330">
        <f t="shared" si="39"/>
        <v>0</v>
      </c>
      <c r="HL25" s="330">
        <f t="shared" si="39"/>
        <v>0</v>
      </c>
      <c r="HM25" s="330">
        <f t="shared" si="39"/>
        <v>0</v>
      </c>
      <c r="HN25" s="329"/>
    </row>
    <row r="26" spans="1:222" ht="18" customHeight="1">
      <c r="A26" s="329"/>
      <c r="B26" s="1"/>
      <c r="C26" s="335" t="s">
        <v>224</v>
      </c>
      <c r="D26" s="335" t="s">
        <v>225</v>
      </c>
      <c r="E26" s="336"/>
      <c r="F26" s="336"/>
      <c r="G26" s="330"/>
      <c r="H26" s="65"/>
      <c r="I26" s="65"/>
      <c r="J26" s="65"/>
      <c r="K26" s="336"/>
      <c r="L26" s="331" t="s">
        <v>226</v>
      </c>
      <c r="M26" s="337"/>
      <c r="N26" s="336"/>
      <c r="O26" s="327" t="s">
        <v>204</v>
      </c>
      <c r="P26" s="321">
        <v>20</v>
      </c>
      <c r="Q26" s="338"/>
      <c r="R26" s="338" t="s">
        <v>227</v>
      </c>
      <c r="S26" s="336"/>
      <c r="T26" s="336"/>
      <c r="U26" s="336"/>
      <c r="V26" s="336"/>
      <c r="W26" s="329"/>
      <c r="X26" s="66"/>
      <c r="Y26" s="66"/>
      <c r="Z26" s="66"/>
      <c r="AA26" s="66"/>
      <c r="AB26" s="66"/>
      <c r="AC26" s="329"/>
      <c r="AD26" s="329"/>
      <c r="AE26" s="329"/>
      <c r="AF26" s="329"/>
      <c r="AG26" s="339"/>
      <c r="AH26" s="340" t="s">
        <v>228</v>
      </c>
      <c r="AI26" s="336" t="s">
        <v>227</v>
      </c>
      <c r="AJ26" s="329"/>
      <c r="AK26" s="329"/>
      <c r="AL26" s="329"/>
      <c r="AM26" s="329"/>
      <c r="AN26" s="329"/>
      <c r="AO26" s="66"/>
      <c r="AP26" s="66"/>
      <c r="AQ26" s="329">
        <v>0</v>
      </c>
      <c r="AR26" s="329"/>
      <c r="AS26" s="329"/>
      <c r="AT26" s="329"/>
      <c r="AU26" s="329"/>
      <c r="AV26" s="329"/>
      <c r="AW26" s="329"/>
      <c r="AX26" s="329"/>
      <c r="AY26" s="329"/>
      <c r="AZ26" s="336" t="s">
        <v>227</v>
      </c>
      <c r="BA26" s="329"/>
      <c r="BB26" s="329"/>
      <c r="BC26" s="329"/>
      <c r="BD26" s="329"/>
      <c r="BE26" s="329"/>
      <c r="BF26" s="66"/>
      <c r="BG26" s="66"/>
      <c r="BH26" s="329"/>
      <c r="BI26" s="329"/>
      <c r="BJ26" s="329"/>
      <c r="BK26" s="329"/>
      <c r="BL26" s="329"/>
      <c r="BM26" s="329"/>
      <c r="BN26" s="329"/>
      <c r="BO26" s="329"/>
      <c r="BP26" s="329"/>
      <c r="BQ26" s="329"/>
      <c r="BR26" s="329"/>
      <c r="BS26" s="329"/>
      <c r="BT26" s="329"/>
      <c r="BU26" s="329"/>
      <c r="BV26" s="329"/>
      <c r="BW26" s="65"/>
      <c r="BX26" s="65"/>
      <c r="BY26" s="329"/>
      <c r="BZ26" s="329"/>
      <c r="CA26" s="329"/>
      <c r="CB26" s="329"/>
      <c r="CC26" s="329"/>
      <c r="CD26" s="329"/>
      <c r="CE26" s="329"/>
      <c r="CF26" s="329"/>
      <c r="CG26" s="329"/>
      <c r="CH26" s="329"/>
      <c r="CI26" s="329"/>
      <c r="CJ26" s="329"/>
      <c r="CK26" s="329"/>
      <c r="CL26" s="329"/>
      <c r="CM26" s="329"/>
      <c r="CN26" s="65"/>
      <c r="CO26" s="65"/>
      <c r="CP26" s="329"/>
      <c r="CQ26" s="329"/>
      <c r="CR26" s="329"/>
      <c r="CS26" s="329"/>
      <c r="CT26" s="329"/>
      <c r="CU26" s="329"/>
      <c r="CV26" s="329"/>
      <c r="CW26" s="329"/>
      <c r="CX26" s="329"/>
      <c r="CY26" s="329"/>
      <c r="CZ26" s="329"/>
      <c r="DA26" s="329"/>
      <c r="DB26" s="329"/>
      <c r="DC26" s="329"/>
      <c r="DD26" s="329"/>
      <c r="DE26" s="65"/>
      <c r="DF26" s="65"/>
      <c r="DG26" s="329"/>
      <c r="DH26" s="329"/>
      <c r="DI26" s="329"/>
      <c r="DJ26" s="329"/>
      <c r="DK26" s="329"/>
      <c r="DL26" s="329"/>
      <c r="DM26" s="329"/>
      <c r="DN26" s="329"/>
      <c r="DO26" s="329"/>
      <c r="DP26" s="329"/>
      <c r="DQ26" s="329"/>
      <c r="DR26" s="329"/>
      <c r="DS26" s="329"/>
      <c r="DT26" s="329"/>
      <c r="DU26" s="329"/>
      <c r="DV26" s="65"/>
      <c r="DW26" s="65"/>
      <c r="DX26" s="329"/>
      <c r="DY26" s="329"/>
      <c r="DZ26" s="329"/>
      <c r="EA26" s="329"/>
      <c r="EB26" s="329"/>
      <c r="EC26" s="329"/>
      <c r="ED26" s="329"/>
      <c r="EE26" s="329"/>
      <c r="EF26" s="329"/>
      <c r="EG26" s="329"/>
      <c r="EH26" s="329"/>
      <c r="EI26" s="329"/>
      <c r="EJ26" s="329"/>
      <c r="EK26" s="329"/>
      <c r="EL26" s="329"/>
      <c r="EM26" s="65"/>
      <c r="EN26" s="65"/>
      <c r="EO26" s="329"/>
      <c r="EP26" s="329"/>
      <c r="EQ26" s="329"/>
      <c r="ER26" s="329"/>
      <c r="ES26" s="329"/>
      <c r="ET26" s="329"/>
      <c r="EU26" s="329"/>
      <c r="EV26" s="329"/>
      <c r="EW26" s="329"/>
      <c r="EX26" s="329"/>
      <c r="EY26" s="329"/>
      <c r="EZ26" s="329"/>
      <c r="FA26" s="329"/>
      <c r="FB26" s="329"/>
      <c r="FC26" s="329"/>
      <c r="FD26" s="65"/>
      <c r="FE26" s="65"/>
      <c r="FF26" s="329"/>
      <c r="FG26" s="329"/>
      <c r="FH26" s="329"/>
      <c r="FI26" s="329"/>
      <c r="FJ26" s="329"/>
      <c r="FK26" s="329"/>
      <c r="FL26" s="329"/>
      <c r="FM26" s="329"/>
      <c r="FN26" s="329"/>
      <c r="FO26" s="329"/>
      <c r="FP26" s="329"/>
      <c r="FQ26" s="329"/>
      <c r="FR26" s="329"/>
      <c r="FS26" s="329"/>
      <c r="FT26" s="329"/>
      <c r="FU26" s="65"/>
      <c r="FV26" s="65"/>
      <c r="FW26" s="329"/>
      <c r="FX26" s="329"/>
      <c r="FY26" s="329"/>
      <c r="FZ26" s="329"/>
      <c r="GA26" s="329"/>
      <c r="GB26" s="329"/>
      <c r="GC26" s="329"/>
      <c r="GD26" s="329"/>
      <c r="GE26" s="329"/>
      <c r="GF26" s="329"/>
      <c r="GG26" s="329"/>
      <c r="GH26" s="329"/>
      <c r="GI26" s="329"/>
      <c r="GJ26" s="329"/>
      <c r="GK26" s="329"/>
      <c r="GL26" s="65"/>
      <c r="GM26" s="65"/>
      <c r="GN26" s="329"/>
      <c r="GO26" s="329"/>
      <c r="GP26" s="329"/>
      <c r="GQ26" s="329"/>
      <c r="GR26" s="329"/>
      <c r="GS26" s="329"/>
      <c r="GT26" s="329"/>
      <c r="GU26" s="329"/>
      <c r="GV26" s="329"/>
      <c r="GW26" s="329"/>
      <c r="GX26" s="329"/>
      <c r="GY26" s="329"/>
      <c r="GZ26" s="329"/>
      <c r="HA26" s="329"/>
      <c r="HB26" s="329"/>
      <c r="HC26" s="329"/>
      <c r="HD26" s="329"/>
      <c r="HE26" s="329"/>
      <c r="HF26" s="329"/>
      <c r="HG26" s="329"/>
      <c r="HH26" s="329"/>
      <c r="HI26" s="329"/>
      <c r="HJ26" s="329"/>
      <c r="HK26" s="329"/>
      <c r="HL26" s="329"/>
      <c r="HM26" s="329"/>
      <c r="HN26" s="329"/>
    </row>
    <row r="27" spans="1:222" ht="18" customHeight="1">
      <c r="A27" s="1"/>
      <c r="B27" s="1">
        <v>0</v>
      </c>
      <c r="C27" s="341" t="e">
        <f t="shared" ref="C27:C32" ca="1" si="40">D27</f>
        <v>#NAME?</v>
      </c>
      <c r="D27" s="341" t="e">
        <f ca="1">nomeaba0()</f>
        <v>#NAME?</v>
      </c>
      <c r="E27" s="1"/>
      <c r="F27" s="315"/>
      <c r="G27" s="330"/>
      <c r="H27" s="65"/>
      <c r="I27" s="65"/>
      <c r="J27" s="65"/>
      <c r="K27" s="1"/>
      <c r="L27" s="342" t="s">
        <v>229</v>
      </c>
      <c r="M27" s="1"/>
      <c r="N27" s="1"/>
      <c r="O27" s="343" t="s">
        <v>229</v>
      </c>
      <c r="P27" s="344">
        <v>35</v>
      </c>
      <c r="Q27" s="328"/>
      <c r="R27" s="328" t="s">
        <v>230</v>
      </c>
      <c r="S27" s="1"/>
      <c r="T27" s="1"/>
      <c r="U27" s="1"/>
      <c r="V27" s="1"/>
      <c r="W27" s="1"/>
      <c r="X27" s="66"/>
      <c r="Y27" s="66"/>
      <c r="Z27" s="66"/>
      <c r="AA27" s="66"/>
      <c r="AB27" s="66"/>
      <c r="AC27" s="1"/>
      <c r="AD27" s="1"/>
      <c r="AE27" s="1"/>
      <c r="AF27" s="1"/>
      <c r="AG27" s="1"/>
      <c r="AH27" s="1"/>
      <c r="AI27" s="1" t="s">
        <v>230</v>
      </c>
      <c r="AJ27" s="1"/>
      <c r="AK27" s="1"/>
      <c r="AL27" s="1"/>
      <c r="AM27" s="1"/>
      <c r="AN27" s="1"/>
      <c r="AO27" s="66"/>
      <c r="AP27" s="66"/>
      <c r="AQ27" s="1"/>
      <c r="AR27" s="1"/>
      <c r="AS27" s="1"/>
      <c r="AT27" s="1"/>
      <c r="AU27" s="1"/>
      <c r="AV27" s="1"/>
      <c r="AW27" s="1"/>
      <c r="AX27" s="1"/>
      <c r="AY27" s="1"/>
      <c r="AZ27" s="1" t="s">
        <v>230</v>
      </c>
      <c r="BA27" s="1"/>
      <c r="BB27" s="1"/>
      <c r="BC27" s="1"/>
      <c r="BD27" s="1"/>
      <c r="BE27" s="1"/>
      <c r="BF27" s="66"/>
      <c r="BG27" s="66"/>
      <c r="BH27" s="1"/>
      <c r="BI27" s="1"/>
      <c r="BJ27" s="1"/>
      <c r="BK27" s="1"/>
      <c r="BL27" s="1"/>
      <c r="BM27" s="1"/>
      <c r="BN27" s="1"/>
      <c r="BO27" s="1"/>
      <c r="BP27" s="1"/>
      <c r="BQ27" s="1"/>
      <c r="BR27" s="1"/>
      <c r="BS27" s="1"/>
      <c r="BT27" s="1"/>
      <c r="BU27" s="1"/>
      <c r="BV27" s="1"/>
      <c r="BW27" s="65"/>
      <c r="BX27" s="65"/>
      <c r="BY27" s="1"/>
      <c r="BZ27" s="1"/>
      <c r="CA27" s="1"/>
      <c r="CB27" s="1"/>
      <c r="CC27" s="1"/>
      <c r="CD27" s="1"/>
      <c r="CE27" s="1"/>
      <c r="CF27" s="1"/>
      <c r="CG27" s="1"/>
      <c r="CH27" s="1"/>
      <c r="CI27" s="1"/>
      <c r="CJ27" s="1"/>
      <c r="CK27" s="1"/>
      <c r="CL27" s="1"/>
      <c r="CM27" s="1"/>
      <c r="CN27" s="65"/>
      <c r="CO27" s="65"/>
      <c r="CP27" s="1"/>
      <c r="CQ27" s="1"/>
      <c r="CR27" s="1"/>
      <c r="CS27" s="1"/>
      <c r="CT27" s="1"/>
      <c r="CU27" s="1"/>
      <c r="CV27" s="1"/>
      <c r="CW27" s="1"/>
      <c r="CX27" s="1"/>
      <c r="CY27" s="1"/>
      <c r="CZ27" s="1"/>
      <c r="DA27" s="1"/>
      <c r="DB27" s="1"/>
      <c r="DC27" s="1"/>
      <c r="DD27" s="1"/>
      <c r="DE27" s="65"/>
      <c r="DF27" s="65"/>
      <c r="DG27" s="1"/>
      <c r="DH27" s="1"/>
      <c r="DI27" s="1"/>
      <c r="DJ27" s="1"/>
      <c r="DK27" s="1"/>
      <c r="DL27" s="1"/>
      <c r="DM27" s="1"/>
      <c r="DN27" s="1"/>
      <c r="DO27" s="1"/>
      <c r="DP27" s="1"/>
      <c r="DQ27" s="1"/>
      <c r="DR27" s="1"/>
      <c r="DS27" s="1"/>
      <c r="DT27" s="1"/>
      <c r="DU27" s="1"/>
      <c r="DV27" s="65"/>
      <c r="DW27" s="65"/>
      <c r="DX27" s="1"/>
      <c r="DY27" s="1"/>
      <c r="DZ27" s="1"/>
      <c r="EA27" s="1"/>
      <c r="EB27" s="1"/>
      <c r="EC27" s="1"/>
      <c r="ED27" s="1"/>
      <c r="EE27" s="1"/>
      <c r="EF27" s="1"/>
      <c r="EG27" s="1"/>
      <c r="EH27" s="1"/>
      <c r="EI27" s="1"/>
      <c r="EJ27" s="1"/>
      <c r="EK27" s="1"/>
      <c r="EL27" s="1"/>
      <c r="EM27" s="65"/>
      <c r="EN27" s="65"/>
      <c r="EO27" s="1"/>
      <c r="EP27" s="1"/>
      <c r="EQ27" s="1"/>
      <c r="ER27" s="1"/>
      <c r="ES27" s="1"/>
      <c r="ET27" s="1"/>
      <c r="EU27" s="1"/>
      <c r="EV27" s="1"/>
      <c r="EW27" s="1"/>
      <c r="EX27" s="1"/>
      <c r="EY27" s="1"/>
      <c r="EZ27" s="1"/>
      <c r="FA27" s="1"/>
      <c r="FB27" s="1"/>
      <c r="FC27" s="1"/>
      <c r="FD27" s="65"/>
      <c r="FE27" s="65"/>
      <c r="FF27" s="1"/>
      <c r="FG27" s="1"/>
      <c r="FH27" s="1"/>
      <c r="FI27" s="1"/>
      <c r="FJ27" s="1"/>
      <c r="FK27" s="1"/>
      <c r="FL27" s="1"/>
      <c r="FM27" s="1"/>
      <c r="FN27" s="1"/>
      <c r="FO27" s="1"/>
      <c r="FP27" s="1"/>
      <c r="FQ27" s="1"/>
      <c r="FR27" s="1"/>
      <c r="FS27" s="1"/>
      <c r="FT27" s="1"/>
      <c r="FU27" s="65"/>
      <c r="FV27" s="65"/>
      <c r="FW27" s="1"/>
      <c r="FX27" s="1"/>
      <c r="FY27" s="1"/>
      <c r="FZ27" s="1"/>
      <c r="GA27" s="1"/>
      <c r="GB27" s="1"/>
      <c r="GC27" s="1"/>
      <c r="GD27" s="1"/>
      <c r="GE27" s="1"/>
      <c r="GF27" s="1"/>
      <c r="GG27" s="1"/>
      <c r="GH27" s="1"/>
      <c r="GI27" s="1"/>
      <c r="GJ27" s="1"/>
      <c r="GK27" s="1"/>
      <c r="GL27" s="65"/>
      <c r="GM27" s="65"/>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row>
    <row r="28" spans="1:222" ht="18" customHeight="1">
      <c r="A28" s="1"/>
      <c r="B28" s="1">
        <f t="shared" ref="B28:B44" si="41">B27+1</f>
        <v>1</v>
      </c>
      <c r="C28" s="341" t="e">
        <f t="shared" ca="1" si="40"/>
        <v>#NAME?</v>
      </c>
      <c r="D28" s="341" t="e">
        <f ca="1">nomeaba1()</f>
        <v>#NAME?</v>
      </c>
      <c r="E28" s="1"/>
      <c r="F28" s="315"/>
      <c r="G28" s="330"/>
      <c r="H28" s="65"/>
      <c r="I28" s="1"/>
      <c r="J28" s="1"/>
      <c r="K28" s="1"/>
      <c r="L28" s="345"/>
      <c r="M28" s="1"/>
      <c r="N28" s="1"/>
      <c r="O28" s="1"/>
      <c r="P28" s="1"/>
      <c r="Q28" s="1"/>
      <c r="R28" s="1"/>
      <c r="S28" s="1"/>
      <c r="T28" s="1"/>
      <c r="U28" s="1"/>
      <c r="V28" s="1"/>
      <c r="W28" s="1"/>
      <c r="X28" s="66"/>
      <c r="Y28" s="66"/>
      <c r="Z28" s="66"/>
      <c r="AA28" s="66"/>
      <c r="AB28" s="66"/>
      <c r="AC28" s="1"/>
      <c r="AD28" s="1"/>
      <c r="AE28" s="1"/>
      <c r="AF28" s="1"/>
      <c r="AG28" s="1"/>
      <c r="AH28" s="1"/>
      <c r="AI28" s="1"/>
      <c r="AJ28" s="1"/>
      <c r="AK28" s="1"/>
      <c r="AL28" s="1"/>
      <c r="AM28" s="1"/>
      <c r="AN28" s="1"/>
      <c r="AO28" s="66"/>
      <c r="AP28" s="66"/>
      <c r="AQ28" s="1"/>
      <c r="AR28" s="1"/>
      <c r="AS28" s="1"/>
      <c r="AT28" s="1"/>
      <c r="AU28" s="1"/>
      <c r="AV28" s="1"/>
      <c r="AW28" s="1"/>
      <c r="AX28" s="1"/>
      <c r="AY28" s="1"/>
      <c r="AZ28" s="1"/>
      <c r="BA28" s="1"/>
      <c r="BB28" s="1"/>
      <c r="BC28" s="1"/>
      <c r="BD28" s="1"/>
      <c r="BE28" s="1"/>
      <c r="BF28" s="66"/>
      <c r="BG28" s="66"/>
      <c r="BH28" s="1"/>
      <c r="BI28" s="1"/>
      <c r="BJ28" s="1"/>
      <c r="BK28" s="1"/>
      <c r="BL28" s="1"/>
      <c r="BM28" s="1"/>
      <c r="BN28" s="1">
        <v>1200.83</v>
      </c>
      <c r="BO28" s="1"/>
      <c r="BP28" s="1"/>
      <c r="BQ28" s="1"/>
      <c r="BR28" s="1"/>
      <c r="BS28" s="1"/>
      <c r="BT28" s="1"/>
      <c r="BU28" s="1"/>
      <c r="BV28" s="1"/>
      <c r="BW28" s="65"/>
      <c r="BX28" s="65"/>
      <c r="BY28" s="1"/>
      <c r="BZ28" s="1"/>
      <c r="CA28" s="1"/>
      <c r="CB28" s="1"/>
      <c r="CC28" s="1"/>
      <c r="CD28" s="1"/>
      <c r="CE28" s="1"/>
      <c r="CF28" s="1"/>
      <c r="CG28" s="1"/>
      <c r="CH28" s="1"/>
      <c r="CI28" s="1"/>
      <c r="CJ28" s="1"/>
      <c r="CK28" s="1"/>
      <c r="CL28" s="1"/>
      <c r="CM28" s="1"/>
      <c r="CN28" s="65"/>
      <c r="CO28" s="65"/>
      <c r="CP28" s="1"/>
      <c r="CQ28" s="1"/>
      <c r="CR28" s="1"/>
      <c r="CS28" s="1"/>
      <c r="CT28" s="1"/>
      <c r="CU28" s="1"/>
      <c r="CV28" s="1"/>
      <c r="CW28" s="1"/>
      <c r="CX28" s="1"/>
      <c r="CY28" s="1"/>
      <c r="CZ28" s="1"/>
      <c r="DA28" s="1"/>
      <c r="DB28" s="1"/>
      <c r="DC28" s="1"/>
      <c r="DD28" s="1"/>
      <c r="DE28" s="65"/>
      <c r="DF28" s="65"/>
      <c r="DG28" s="1"/>
      <c r="DH28" s="1"/>
      <c r="DI28" s="1"/>
      <c r="DJ28" s="1"/>
      <c r="DK28" s="1"/>
      <c r="DL28" s="1"/>
      <c r="DM28" s="1"/>
      <c r="DN28" s="1"/>
      <c r="DO28" s="1"/>
      <c r="DP28" s="1"/>
      <c r="DQ28" s="1"/>
      <c r="DR28" s="1"/>
      <c r="DS28" s="1"/>
      <c r="DT28" s="1"/>
      <c r="DU28" s="1"/>
      <c r="DV28" s="65"/>
      <c r="DW28" s="65"/>
      <c r="DX28" s="1"/>
      <c r="DY28" s="1"/>
      <c r="DZ28" s="1"/>
      <c r="EA28" s="1"/>
      <c r="EB28" s="1"/>
      <c r="EC28" s="1"/>
      <c r="ED28" s="1"/>
      <c r="EE28" s="1"/>
      <c r="EF28" s="1"/>
      <c r="EG28" s="1"/>
      <c r="EH28" s="1"/>
      <c r="EI28" s="1"/>
      <c r="EJ28" s="1"/>
      <c r="EK28" s="1"/>
      <c r="EL28" s="1"/>
      <c r="EM28" s="65"/>
      <c r="EN28" s="65"/>
      <c r="EO28" s="1"/>
      <c r="EP28" s="1"/>
      <c r="EQ28" s="1"/>
      <c r="ER28" s="1"/>
      <c r="ES28" s="1"/>
      <c r="ET28" s="1"/>
      <c r="EU28" s="1"/>
      <c r="EV28" s="1"/>
      <c r="EW28" s="1"/>
      <c r="EX28" s="1"/>
      <c r="EY28" s="1"/>
      <c r="EZ28" s="1"/>
      <c r="FA28" s="1"/>
      <c r="FB28" s="1"/>
      <c r="FC28" s="1"/>
      <c r="FD28" s="65"/>
      <c r="FE28" s="65"/>
      <c r="FF28" s="1"/>
      <c r="FG28" s="1"/>
      <c r="FH28" s="1"/>
      <c r="FI28" s="1"/>
      <c r="FJ28" s="1"/>
      <c r="FK28" s="1"/>
      <c r="FL28" s="1"/>
      <c r="FM28" s="1"/>
      <c r="FN28" s="1"/>
      <c r="FO28" s="1"/>
      <c r="FP28" s="1"/>
      <c r="FQ28" s="1"/>
      <c r="FR28" s="1"/>
      <c r="FS28" s="1"/>
      <c r="FT28" s="1"/>
      <c r="FU28" s="65"/>
      <c r="FV28" s="65"/>
      <c r="FW28" s="1"/>
      <c r="FX28" s="1"/>
      <c r="FY28" s="1"/>
      <c r="FZ28" s="1"/>
      <c r="GA28" s="1"/>
      <c r="GB28" s="1"/>
      <c r="GC28" s="1"/>
      <c r="GD28" s="1"/>
      <c r="GE28" s="1"/>
      <c r="GF28" s="1"/>
      <c r="GG28" s="1"/>
      <c r="GH28" s="1"/>
      <c r="GI28" s="1"/>
      <c r="GJ28" s="1"/>
      <c r="GK28" s="1"/>
      <c r="GL28" s="65"/>
      <c r="GM28" s="65"/>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row>
    <row r="29" spans="1:222" ht="18" customHeight="1">
      <c r="A29" s="1"/>
      <c r="B29" s="1">
        <f t="shared" si="41"/>
        <v>2</v>
      </c>
      <c r="C29" s="341" t="e">
        <f t="shared" ca="1" si="40"/>
        <v>#NAME?</v>
      </c>
      <c r="D29" s="341" t="e">
        <f ca="1">nomeaba2()</f>
        <v>#NAME?</v>
      </c>
      <c r="E29" s="1"/>
      <c r="F29" s="315"/>
      <c r="G29" s="330"/>
      <c r="H29" s="65"/>
      <c r="I29" s="1"/>
      <c r="J29" s="1"/>
      <c r="K29" s="1"/>
      <c r="L29" s="1"/>
      <c r="M29" s="1"/>
      <c r="N29" s="1"/>
      <c r="O29" s="1"/>
      <c r="P29" s="1"/>
      <c r="Q29" s="1"/>
      <c r="R29" s="1"/>
      <c r="S29" s="1"/>
      <c r="T29" s="1"/>
      <c r="U29" s="1"/>
      <c r="V29" s="1"/>
      <c r="W29" s="1"/>
      <c r="X29" s="66"/>
      <c r="Y29" s="66"/>
      <c r="Z29" s="66"/>
      <c r="AA29" s="66"/>
      <c r="AB29" s="66"/>
      <c r="AC29" s="1"/>
      <c r="AD29" s="1"/>
      <c r="AE29" s="1"/>
      <c r="AF29" s="1"/>
      <c r="AG29" s="1"/>
      <c r="AH29" s="1"/>
      <c r="AI29" s="1"/>
      <c r="AJ29" s="1"/>
      <c r="AK29" s="1"/>
      <c r="AL29" s="1"/>
      <c r="AM29" s="1"/>
      <c r="AN29" s="1"/>
      <c r="AO29" s="66"/>
      <c r="AP29" s="66"/>
      <c r="AQ29" s="1"/>
      <c r="AR29" s="1"/>
      <c r="AS29" s="1"/>
      <c r="AT29" s="1"/>
      <c r="AU29" s="1"/>
      <c r="AV29" s="1"/>
      <c r="AW29" s="1"/>
      <c r="AX29" s="1"/>
      <c r="AY29" s="1"/>
      <c r="AZ29" s="1"/>
      <c r="BA29" s="1"/>
      <c r="BB29" s="1"/>
      <c r="BC29" s="1"/>
      <c r="BD29" s="1"/>
      <c r="BE29" s="1"/>
      <c r="BF29" s="66"/>
      <c r="BG29" s="66"/>
      <c r="BH29" s="1"/>
      <c r="BI29" s="1"/>
      <c r="BJ29" s="1"/>
      <c r="BK29" s="1"/>
      <c r="BL29" s="1"/>
      <c r="BM29" s="1"/>
      <c r="BN29" s="1">
        <f>BN28/200*220</f>
        <v>1320.9129999999998</v>
      </c>
      <c r="BO29" s="1"/>
      <c r="BP29" s="1"/>
      <c r="BQ29" s="1"/>
      <c r="BR29" s="1"/>
      <c r="BS29" s="1"/>
      <c r="BT29" s="1"/>
      <c r="BU29" s="1"/>
      <c r="BV29" s="1"/>
      <c r="BW29" s="65"/>
      <c r="BX29" s="65"/>
      <c r="BY29" s="1"/>
      <c r="BZ29" s="1"/>
      <c r="CA29" s="1"/>
      <c r="CB29" s="1"/>
      <c r="CC29" s="1"/>
      <c r="CD29" s="1"/>
      <c r="CE29" s="1"/>
      <c r="CF29" s="1"/>
      <c r="CG29" s="1"/>
      <c r="CH29" s="1"/>
      <c r="CI29" s="1"/>
      <c r="CJ29" s="1"/>
      <c r="CK29" s="1"/>
      <c r="CL29" s="1"/>
      <c r="CM29" s="1"/>
      <c r="CN29" s="65"/>
      <c r="CO29" s="65"/>
      <c r="CP29" s="1"/>
      <c r="CQ29" s="1"/>
      <c r="CR29" s="1"/>
      <c r="CS29" s="1"/>
      <c r="CT29" s="1"/>
      <c r="CU29" s="1"/>
      <c r="CV29" s="1"/>
      <c r="CW29" s="1"/>
      <c r="CX29" s="1"/>
      <c r="CY29" s="1"/>
      <c r="CZ29" s="1"/>
      <c r="DA29" s="1"/>
      <c r="DB29" s="1"/>
      <c r="DC29" s="1"/>
      <c r="DD29" s="1"/>
      <c r="DE29" s="65"/>
      <c r="DF29" s="65"/>
      <c r="DG29" s="1"/>
      <c r="DH29" s="1"/>
      <c r="DI29" s="1"/>
      <c r="DJ29" s="1"/>
      <c r="DK29" s="1"/>
      <c r="DL29" s="1"/>
      <c r="DM29" s="1"/>
      <c r="DN29" s="1"/>
      <c r="DO29" s="1"/>
      <c r="DP29" s="1"/>
      <c r="DQ29" s="1"/>
      <c r="DR29" s="1"/>
      <c r="DS29" s="1"/>
      <c r="DT29" s="1"/>
      <c r="DU29" s="1"/>
      <c r="DV29" s="65"/>
      <c r="DW29" s="65"/>
      <c r="DX29" s="1"/>
      <c r="DY29" s="1"/>
      <c r="DZ29" s="1"/>
      <c r="EA29" s="1"/>
      <c r="EB29" s="1"/>
      <c r="EC29" s="1"/>
      <c r="ED29" s="1"/>
      <c r="EE29" s="1"/>
      <c r="EF29" s="1"/>
      <c r="EG29" s="1"/>
      <c r="EH29" s="1"/>
      <c r="EI29" s="1"/>
      <c r="EJ29" s="1"/>
      <c r="EK29" s="1"/>
      <c r="EL29" s="1"/>
      <c r="EM29" s="65"/>
      <c r="EN29" s="65"/>
      <c r="EO29" s="1"/>
      <c r="EP29" s="1"/>
      <c r="EQ29" s="1"/>
      <c r="ER29" s="1"/>
      <c r="ES29" s="1"/>
      <c r="ET29" s="1"/>
      <c r="EU29" s="1"/>
      <c r="EV29" s="1"/>
      <c r="EW29" s="1"/>
      <c r="EX29" s="1"/>
      <c r="EY29" s="1"/>
      <c r="EZ29" s="1"/>
      <c r="FA29" s="1"/>
      <c r="FB29" s="1"/>
      <c r="FC29" s="1"/>
      <c r="FD29" s="65"/>
      <c r="FE29" s="65"/>
      <c r="FF29" s="1"/>
      <c r="FG29" s="1"/>
      <c r="FH29" s="1"/>
      <c r="FI29" s="1"/>
      <c r="FJ29" s="1"/>
      <c r="FK29" s="1"/>
      <c r="FL29" s="1"/>
      <c r="FM29" s="1"/>
      <c r="FN29" s="1"/>
      <c r="FO29" s="1"/>
      <c r="FP29" s="1"/>
      <c r="FQ29" s="1"/>
      <c r="FR29" s="1"/>
      <c r="FS29" s="1"/>
      <c r="FT29" s="1"/>
      <c r="FU29" s="65"/>
      <c r="FV29" s="65"/>
      <c r="FW29" s="1"/>
      <c r="FX29" s="1"/>
      <c r="FY29" s="1"/>
      <c r="FZ29" s="1"/>
      <c r="GA29" s="1"/>
      <c r="GB29" s="1"/>
      <c r="GC29" s="1"/>
      <c r="GD29" s="1"/>
      <c r="GE29" s="1"/>
      <c r="GF29" s="1"/>
      <c r="GG29" s="1"/>
      <c r="GH29" s="1"/>
      <c r="GI29" s="1"/>
      <c r="GJ29" s="1"/>
      <c r="GK29" s="1"/>
      <c r="GL29" s="65"/>
      <c r="GM29" s="65"/>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row>
    <row r="30" spans="1:222" ht="18" customHeight="1">
      <c r="A30" s="1"/>
      <c r="B30" s="1">
        <f t="shared" si="41"/>
        <v>3</v>
      </c>
      <c r="C30" s="341" t="e">
        <f t="shared" ca="1" si="40"/>
        <v>#NAME?</v>
      </c>
      <c r="D30" s="341" t="e">
        <f ca="1">nomeaba3()</f>
        <v>#NAME?</v>
      </c>
      <c r="E30" s="1"/>
      <c r="F30" s="315"/>
      <c r="G30" s="330"/>
      <c r="H30" s="65"/>
      <c r="I30" s="1"/>
      <c r="J30" s="1"/>
      <c r="K30" s="1"/>
      <c r="L30" s="1"/>
      <c r="M30" s="1"/>
      <c r="N30" s="1"/>
      <c r="O30" s="1"/>
      <c r="P30" s="1"/>
      <c r="Q30" s="1"/>
      <c r="R30" s="1"/>
      <c r="S30" s="1"/>
      <c r="T30" s="1"/>
      <c r="U30" s="1"/>
      <c r="V30" s="1"/>
      <c r="W30" s="1"/>
      <c r="X30" s="66"/>
      <c r="Y30" s="66"/>
      <c r="Z30" s="66"/>
      <c r="AA30" s="66"/>
      <c r="AB30" s="66"/>
      <c r="AC30" s="1"/>
      <c r="AD30" s="1"/>
      <c r="AE30" s="1"/>
      <c r="AF30" s="1"/>
      <c r="AG30" s="1"/>
      <c r="AH30" s="1"/>
      <c r="AI30" s="1"/>
      <c r="AJ30" s="1"/>
      <c r="AK30" s="1"/>
      <c r="AL30" s="1"/>
      <c r="AM30" s="1"/>
      <c r="AN30" s="1"/>
      <c r="AO30" s="66"/>
      <c r="AP30" s="66"/>
      <c r="AQ30" s="1"/>
      <c r="AR30" s="1"/>
      <c r="AS30" s="1"/>
      <c r="AT30" s="1"/>
      <c r="AU30" s="1"/>
      <c r="AV30" s="1"/>
      <c r="AW30" s="1"/>
      <c r="AX30" s="1"/>
      <c r="AY30" s="1"/>
      <c r="AZ30" s="1"/>
      <c r="BA30" s="1"/>
      <c r="BB30" s="1"/>
      <c r="BC30" s="1"/>
      <c r="BD30" s="1"/>
      <c r="BE30" s="1"/>
      <c r="BF30" s="66"/>
      <c r="BG30" s="66"/>
      <c r="BH30" s="1"/>
      <c r="BI30" s="1"/>
      <c r="BJ30" s="1"/>
      <c r="BK30" s="1"/>
      <c r="BL30" s="1"/>
      <c r="BM30" s="1"/>
      <c r="BN30" s="1"/>
      <c r="BO30" s="1"/>
      <c r="BP30" s="1"/>
      <c r="BQ30" s="1"/>
      <c r="BR30" s="1"/>
      <c r="BS30" s="1"/>
      <c r="BT30" s="1"/>
      <c r="BU30" s="1"/>
      <c r="BV30" s="1"/>
      <c r="BW30" s="65"/>
      <c r="BX30" s="65"/>
      <c r="BY30" s="1"/>
      <c r="BZ30" s="1"/>
      <c r="CA30" s="1"/>
      <c r="CB30" s="1"/>
      <c r="CC30" s="1"/>
      <c r="CD30" s="1"/>
      <c r="CE30" s="1"/>
      <c r="CF30" s="1"/>
      <c r="CG30" s="1"/>
      <c r="CH30" s="1"/>
      <c r="CI30" s="1"/>
      <c r="CJ30" s="1"/>
      <c r="CK30" s="1"/>
      <c r="CL30" s="1"/>
      <c r="CM30" s="1"/>
      <c r="CN30" s="65"/>
      <c r="CO30" s="65"/>
      <c r="CP30" s="1"/>
      <c r="CQ30" s="1"/>
      <c r="CR30" s="1"/>
      <c r="CS30" s="1"/>
      <c r="CT30" s="1"/>
      <c r="CU30" s="1"/>
      <c r="CV30" s="1"/>
      <c r="CW30" s="1"/>
      <c r="CX30" s="1"/>
      <c r="CY30" s="1"/>
      <c r="CZ30" s="1"/>
      <c r="DA30" s="1"/>
      <c r="DB30" s="1"/>
      <c r="DC30" s="1"/>
      <c r="DD30" s="1"/>
      <c r="DE30" s="65"/>
      <c r="DF30" s="65"/>
      <c r="DG30" s="1"/>
      <c r="DH30" s="1"/>
      <c r="DI30" s="1"/>
      <c r="DJ30" s="1"/>
      <c r="DK30" s="1"/>
      <c r="DL30" s="1"/>
      <c r="DM30" s="1"/>
      <c r="DN30" s="1"/>
      <c r="DO30" s="1"/>
      <c r="DP30" s="1"/>
      <c r="DQ30" s="1"/>
      <c r="DR30" s="1"/>
      <c r="DS30" s="1"/>
      <c r="DT30" s="1"/>
      <c r="DU30" s="1"/>
      <c r="DV30" s="65"/>
      <c r="DW30" s="65"/>
      <c r="DX30" s="1"/>
      <c r="DY30" s="1"/>
      <c r="DZ30" s="1"/>
      <c r="EA30" s="1"/>
      <c r="EB30" s="1"/>
      <c r="EC30" s="1"/>
      <c r="ED30" s="1"/>
      <c r="EE30" s="1"/>
      <c r="EF30" s="1"/>
      <c r="EG30" s="1"/>
      <c r="EH30" s="1"/>
      <c r="EI30" s="1"/>
      <c r="EJ30" s="1"/>
      <c r="EK30" s="1"/>
      <c r="EL30" s="1"/>
      <c r="EM30" s="65"/>
      <c r="EN30" s="65"/>
      <c r="EO30" s="1"/>
      <c r="EP30" s="1"/>
      <c r="EQ30" s="1"/>
      <c r="ER30" s="1"/>
      <c r="ES30" s="1"/>
      <c r="ET30" s="1"/>
      <c r="EU30" s="1"/>
      <c r="EV30" s="1"/>
      <c r="EW30" s="1"/>
      <c r="EX30" s="1"/>
      <c r="EY30" s="1"/>
      <c r="EZ30" s="1"/>
      <c r="FA30" s="1"/>
      <c r="FB30" s="1"/>
      <c r="FC30" s="1"/>
      <c r="FD30" s="65"/>
      <c r="FE30" s="65"/>
      <c r="FF30" s="1"/>
      <c r="FG30" s="1"/>
      <c r="FH30" s="1"/>
      <c r="FI30" s="1"/>
      <c r="FJ30" s="1"/>
      <c r="FK30" s="1"/>
      <c r="FL30" s="1"/>
      <c r="FM30" s="1"/>
      <c r="FN30" s="1"/>
      <c r="FO30" s="1"/>
      <c r="FP30" s="1"/>
      <c r="FQ30" s="1"/>
      <c r="FR30" s="1"/>
      <c r="FS30" s="1"/>
      <c r="FT30" s="1"/>
      <c r="FU30" s="65"/>
      <c r="FV30" s="65"/>
      <c r="FW30" s="1"/>
      <c r="FX30" s="1"/>
      <c r="FY30" s="1"/>
      <c r="FZ30" s="1"/>
      <c r="GA30" s="1"/>
      <c r="GB30" s="1"/>
      <c r="GC30" s="1"/>
      <c r="GD30" s="1"/>
      <c r="GE30" s="1"/>
      <c r="GF30" s="1"/>
      <c r="GG30" s="1"/>
      <c r="GH30" s="1"/>
      <c r="GI30" s="1"/>
      <c r="GJ30" s="1"/>
      <c r="GK30" s="1"/>
      <c r="GL30" s="65"/>
      <c r="GM30" s="65"/>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row>
    <row r="31" spans="1:222" ht="18" customHeight="1">
      <c r="A31" s="1"/>
      <c r="B31" s="1">
        <f t="shared" si="41"/>
        <v>4</v>
      </c>
      <c r="C31" s="341" t="e">
        <f t="shared" ca="1" si="40"/>
        <v>#NAME?</v>
      </c>
      <c r="D31" s="341" t="e">
        <f ca="1">nomeaba4()</f>
        <v>#NAME?</v>
      </c>
      <c r="E31" s="1"/>
      <c r="F31" s="315"/>
      <c r="G31" s="330"/>
      <c r="H31" s="65"/>
      <c r="I31" s="1"/>
      <c r="J31" s="1"/>
      <c r="K31" s="1"/>
      <c r="L31" s="1"/>
      <c r="M31" s="1"/>
      <c r="N31" s="1"/>
      <c r="O31" s="1"/>
      <c r="P31" s="1"/>
      <c r="Q31" s="1"/>
      <c r="R31" s="1"/>
      <c r="S31" s="1"/>
      <c r="T31" s="1"/>
      <c r="U31" s="1"/>
      <c r="V31" s="1"/>
      <c r="W31" s="1"/>
      <c r="X31" s="66"/>
      <c r="Y31" s="66"/>
      <c r="Z31" s="66"/>
      <c r="AA31" s="66"/>
      <c r="AB31" s="66"/>
      <c r="AC31" s="1"/>
      <c r="AD31" s="1"/>
      <c r="AE31" s="1"/>
      <c r="AF31" s="1"/>
      <c r="AG31" s="1"/>
      <c r="AH31" s="1"/>
      <c r="AI31" s="1"/>
      <c r="AJ31" s="1"/>
      <c r="AK31" s="1"/>
      <c r="AL31" s="1"/>
      <c r="AM31" s="1"/>
      <c r="AN31" s="1"/>
      <c r="AO31" s="66"/>
      <c r="AP31" s="66"/>
      <c r="AQ31" s="1"/>
      <c r="AR31" s="1"/>
      <c r="AS31" s="1"/>
      <c r="AT31" s="1"/>
      <c r="AU31" s="1"/>
      <c r="AV31" s="1"/>
      <c r="AW31" s="1"/>
      <c r="AX31" s="1"/>
      <c r="AY31" s="1"/>
      <c r="AZ31" s="1"/>
      <c r="BA31" s="1"/>
      <c r="BB31" s="1"/>
      <c r="BC31" s="1"/>
      <c r="BD31" s="1"/>
      <c r="BE31" s="1"/>
      <c r="BF31" s="66"/>
      <c r="BG31" s="66"/>
      <c r="BH31" s="1"/>
      <c r="BI31" s="1"/>
      <c r="BJ31" s="1"/>
      <c r="BK31" s="1"/>
      <c r="BL31" s="1"/>
      <c r="BM31" s="1"/>
      <c r="BN31" s="1"/>
      <c r="BO31" s="1"/>
      <c r="BP31" s="1"/>
      <c r="BQ31" s="1"/>
      <c r="BR31" s="1"/>
      <c r="BS31" s="1"/>
      <c r="BT31" s="1"/>
      <c r="BU31" s="1"/>
      <c r="BV31" s="1"/>
      <c r="BW31" s="65"/>
      <c r="BX31" s="65"/>
      <c r="BY31" s="1"/>
      <c r="BZ31" s="1"/>
      <c r="CA31" s="1"/>
      <c r="CB31" s="1"/>
      <c r="CC31" s="1"/>
      <c r="CD31" s="1"/>
      <c r="CE31" s="1"/>
      <c r="CF31" s="1"/>
      <c r="CG31" s="1"/>
      <c r="CH31" s="1"/>
      <c r="CI31" s="1"/>
      <c r="CJ31" s="1"/>
      <c r="CK31" s="1"/>
      <c r="CL31" s="1"/>
      <c r="CM31" s="1"/>
      <c r="CN31" s="65"/>
      <c r="CO31" s="65"/>
      <c r="CP31" s="1"/>
      <c r="CQ31" s="1"/>
      <c r="CR31" s="1"/>
      <c r="CS31" s="1"/>
      <c r="CT31" s="1"/>
      <c r="CU31" s="1"/>
      <c r="CV31" s="1"/>
      <c r="CW31" s="1"/>
      <c r="CX31" s="1"/>
      <c r="CY31" s="1"/>
      <c r="CZ31" s="1"/>
      <c r="DA31" s="1"/>
      <c r="DB31" s="1"/>
      <c r="DC31" s="1"/>
      <c r="DD31" s="1"/>
      <c r="DE31" s="65"/>
      <c r="DF31" s="65"/>
      <c r="DG31" s="1"/>
      <c r="DH31" s="1"/>
      <c r="DI31" s="1"/>
      <c r="DJ31" s="1"/>
      <c r="DK31" s="1"/>
      <c r="DL31" s="1"/>
      <c r="DM31" s="1"/>
      <c r="DN31" s="1"/>
      <c r="DO31" s="1"/>
      <c r="DP31" s="1"/>
      <c r="DQ31" s="1"/>
      <c r="DR31" s="1"/>
      <c r="DS31" s="1"/>
      <c r="DT31" s="1"/>
      <c r="DU31" s="1"/>
      <c r="DV31" s="65"/>
      <c r="DW31" s="65"/>
      <c r="DX31" s="1"/>
      <c r="DY31" s="1"/>
      <c r="DZ31" s="1"/>
      <c r="EA31" s="1"/>
      <c r="EB31" s="1"/>
      <c r="EC31" s="1"/>
      <c r="ED31" s="1"/>
      <c r="EE31" s="1"/>
      <c r="EF31" s="1"/>
      <c r="EG31" s="1"/>
      <c r="EH31" s="1"/>
      <c r="EI31" s="1"/>
      <c r="EJ31" s="1"/>
      <c r="EK31" s="1"/>
      <c r="EL31" s="1"/>
      <c r="EM31" s="65"/>
      <c r="EN31" s="65"/>
      <c r="EO31" s="1"/>
      <c r="EP31" s="1"/>
      <c r="EQ31" s="1"/>
      <c r="ER31" s="1"/>
      <c r="ES31" s="1"/>
      <c r="ET31" s="1"/>
      <c r="EU31" s="1"/>
      <c r="EV31" s="1"/>
      <c r="EW31" s="1"/>
      <c r="EX31" s="1"/>
      <c r="EY31" s="1"/>
      <c r="EZ31" s="1"/>
      <c r="FA31" s="1"/>
      <c r="FB31" s="1"/>
      <c r="FC31" s="1"/>
      <c r="FD31" s="65"/>
      <c r="FE31" s="65"/>
      <c r="FF31" s="1"/>
      <c r="FG31" s="1"/>
      <c r="FH31" s="1"/>
      <c r="FI31" s="1"/>
      <c r="FJ31" s="1"/>
      <c r="FK31" s="1"/>
      <c r="FL31" s="1"/>
      <c r="FM31" s="1"/>
      <c r="FN31" s="1"/>
      <c r="FO31" s="1"/>
      <c r="FP31" s="1"/>
      <c r="FQ31" s="1"/>
      <c r="FR31" s="1"/>
      <c r="FS31" s="1"/>
      <c r="FT31" s="1"/>
      <c r="FU31" s="65"/>
      <c r="FV31" s="65"/>
      <c r="FW31" s="1"/>
      <c r="FX31" s="1"/>
      <c r="FY31" s="1"/>
      <c r="FZ31" s="1"/>
      <c r="GA31" s="1"/>
      <c r="GB31" s="1"/>
      <c r="GC31" s="1"/>
      <c r="GD31" s="1"/>
      <c r="GE31" s="1"/>
      <c r="GF31" s="1"/>
      <c r="GG31" s="1"/>
      <c r="GH31" s="1"/>
      <c r="GI31" s="1"/>
      <c r="GJ31" s="1"/>
      <c r="GK31" s="1"/>
      <c r="GL31" s="65"/>
      <c r="GM31" s="65"/>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row>
    <row r="32" spans="1:222" ht="18" customHeight="1">
      <c r="A32" s="1"/>
      <c r="B32" s="1">
        <f t="shared" si="41"/>
        <v>5</v>
      </c>
      <c r="C32" s="341" t="e">
        <f t="shared" ca="1" si="40"/>
        <v>#NAME?</v>
      </c>
      <c r="D32" s="341" t="e">
        <f ca="1">nomeaba5()</f>
        <v>#NAME?</v>
      </c>
      <c r="E32" s="1"/>
      <c r="F32" s="315"/>
      <c r="G32" s="330"/>
      <c r="H32" s="65"/>
      <c r="I32" s="1"/>
      <c r="J32" s="1"/>
      <c r="K32" s="1"/>
      <c r="L32" s="1"/>
      <c r="M32" s="1"/>
      <c r="N32" s="1"/>
      <c r="O32" s="1"/>
      <c r="P32" s="1"/>
      <c r="Q32" s="1"/>
      <c r="R32" s="1"/>
      <c r="S32" s="1"/>
      <c r="T32" s="1"/>
      <c r="U32" s="1"/>
      <c r="V32" s="1"/>
      <c r="W32" s="1"/>
      <c r="X32" s="66"/>
      <c r="Y32" s="66"/>
      <c r="Z32" s="66"/>
      <c r="AA32" s="66"/>
      <c r="AB32" s="66"/>
      <c r="AC32" s="1"/>
      <c r="AD32" s="1"/>
      <c r="AE32" s="1"/>
      <c r="AF32" s="1"/>
      <c r="AG32" s="1"/>
      <c r="AH32" s="1"/>
      <c r="AI32" s="1"/>
      <c r="AJ32" s="1"/>
      <c r="AK32" s="1"/>
      <c r="AL32" s="1"/>
      <c r="AM32" s="1"/>
      <c r="AN32" s="1"/>
      <c r="AO32" s="66"/>
      <c r="AP32" s="66"/>
      <c r="AQ32" s="1"/>
      <c r="AR32" s="1"/>
      <c r="AS32" s="1"/>
      <c r="AT32" s="1"/>
      <c r="AU32" s="1"/>
      <c r="AV32" s="1"/>
      <c r="AW32" s="1"/>
      <c r="AX32" s="1"/>
      <c r="AY32" s="1"/>
      <c r="AZ32" s="1"/>
      <c r="BA32" s="1"/>
      <c r="BB32" s="1"/>
      <c r="BC32" s="1"/>
      <c r="BD32" s="1"/>
      <c r="BE32" s="1"/>
      <c r="BF32" s="66"/>
      <c r="BG32" s="66"/>
      <c r="BH32" s="1"/>
      <c r="BI32" s="1"/>
      <c r="BJ32" s="1"/>
      <c r="BK32" s="1"/>
      <c r="BL32" s="1"/>
      <c r="BM32" s="1"/>
      <c r="BN32" s="1"/>
      <c r="BO32" s="1"/>
      <c r="BP32" s="1"/>
      <c r="BQ32" s="1"/>
      <c r="BR32" s="1"/>
      <c r="BS32" s="1"/>
      <c r="BT32" s="1"/>
      <c r="BU32" s="1"/>
      <c r="BV32" s="1"/>
      <c r="BW32" s="65"/>
      <c r="BX32" s="65"/>
      <c r="BY32" s="1"/>
      <c r="BZ32" s="1"/>
      <c r="CA32" s="1"/>
      <c r="CB32" s="1"/>
      <c r="CC32" s="1"/>
      <c r="CD32" s="1"/>
      <c r="CE32" s="1"/>
      <c r="CF32" s="1"/>
      <c r="CG32" s="1"/>
      <c r="CH32" s="1"/>
      <c r="CI32" s="1"/>
      <c r="CJ32" s="1"/>
      <c r="CK32" s="1"/>
      <c r="CL32" s="1"/>
      <c r="CM32" s="1"/>
      <c r="CN32" s="65"/>
      <c r="CO32" s="65"/>
      <c r="CP32" s="1"/>
      <c r="CQ32" s="1"/>
      <c r="CR32" s="1"/>
      <c r="CS32" s="1"/>
      <c r="CT32" s="1"/>
      <c r="CU32" s="1"/>
      <c r="CV32" s="1"/>
      <c r="CW32" s="1"/>
      <c r="CX32" s="1"/>
      <c r="CY32" s="1"/>
      <c r="CZ32" s="1"/>
      <c r="DA32" s="1"/>
      <c r="DB32" s="1"/>
      <c r="DC32" s="1"/>
      <c r="DD32" s="1"/>
      <c r="DE32" s="65"/>
      <c r="DF32" s="65"/>
      <c r="DG32" s="1"/>
      <c r="DH32" s="1"/>
      <c r="DI32" s="1"/>
      <c r="DJ32" s="1"/>
      <c r="DK32" s="1"/>
      <c r="DL32" s="1"/>
      <c r="DM32" s="1"/>
      <c r="DN32" s="1"/>
      <c r="DO32" s="1"/>
      <c r="DP32" s="1"/>
      <c r="DQ32" s="1"/>
      <c r="DR32" s="1"/>
      <c r="DS32" s="1"/>
      <c r="DT32" s="1"/>
      <c r="DU32" s="1"/>
      <c r="DV32" s="65"/>
      <c r="DW32" s="65"/>
      <c r="DX32" s="1"/>
      <c r="DY32" s="1"/>
      <c r="DZ32" s="1"/>
      <c r="EA32" s="1"/>
      <c r="EB32" s="1"/>
      <c r="EC32" s="1"/>
      <c r="ED32" s="1"/>
      <c r="EE32" s="1"/>
      <c r="EF32" s="1"/>
      <c r="EG32" s="1"/>
      <c r="EH32" s="1"/>
      <c r="EI32" s="1"/>
      <c r="EJ32" s="1"/>
      <c r="EK32" s="1"/>
      <c r="EL32" s="1"/>
      <c r="EM32" s="65"/>
      <c r="EN32" s="65"/>
      <c r="EO32" s="1"/>
      <c r="EP32" s="1"/>
      <c r="EQ32" s="1"/>
      <c r="ER32" s="1"/>
      <c r="ES32" s="1"/>
      <c r="ET32" s="1"/>
      <c r="EU32" s="1"/>
      <c r="EV32" s="1"/>
      <c r="EW32" s="1"/>
      <c r="EX32" s="1"/>
      <c r="EY32" s="1"/>
      <c r="EZ32" s="1"/>
      <c r="FA32" s="1"/>
      <c r="FB32" s="1"/>
      <c r="FC32" s="1"/>
      <c r="FD32" s="65"/>
      <c r="FE32" s="65"/>
      <c r="FF32" s="1"/>
      <c r="FG32" s="1"/>
      <c r="FH32" s="1"/>
      <c r="FI32" s="1"/>
      <c r="FJ32" s="1"/>
      <c r="FK32" s="1"/>
      <c r="FL32" s="1"/>
      <c r="FM32" s="1"/>
      <c r="FN32" s="1"/>
      <c r="FO32" s="1"/>
      <c r="FP32" s="1"/>
      <c r="FQ32" s="1"/>
      <c r="FR32" s="1"/>
      <c r="FS32" s="1"/>
      <c r="FT32" s="1"/>
      <c r="FU32" s="65"/>
      <c r="FV32" s="65"/>
      <c r="FW32" s="1"/>
      <c r="FX32" s="1"/>
      <c r="FY32" s="1"/>
      <c r="FZ32" s="1"/>
      <c r="GA32" s="1"/>
      <c r="GB32" s="1"/>
      <c r="GC32" s="1"/>
      <c r="GD32" s="1"/>
      <c r="GE32" s="1"/>
      <c r="GF32" s="1"/>
      <c r="GG32" s="1"/>
      <c r="GH32" s="1"/>
      <c r="GI32" s="1"/>
      <c r="GJ32" s="1"/>
      <c r="GK32" s="1"/>
      <c r="GL32" s="65"/>
      <c r="GM32" s="65"/>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row>
    <row r="33" spans="1:222" ht="18" customHeight="1">
      <c r="A33" s="1"/>
      <c r="B33" s="1">
        <f t="shared" si="41"/>
        <v>6</v>
      </c>
      <c r="C33" s="346" t="s">
        <v>231</v>
      </c>
      <c r="D33" s="341" t="e">
        <f ca="1">nomeaba6()</f>
        <v>#NAME?</v>
      </c>
      <c r="E33" s="1"/>
      <c r="F33" s="315"/>
      <c r="G33" s="330"/>
      <c r="H33" s="65"/>
      <c r="I33" s="1"/>
      <c r="J33" s="1"/>
      <c r="K33" s="1"/>
      <c r="L33" s="1"/>
      <c r="M33" s="1"/>
      <c r="N33" s="1"/>
      <c r="O33" s="1"/>
      <c r="P33" s="1"/>
      <c r="Q33" s="1"/>
      <c r="R33" s="1"/>
      <c r="S33" s="1"/>
      <c r="T33" s="1"/>
      <c r="U33" s="1"/>
      <c r="V33" s="1"/>
      <c r="W33" s="1"/>
      <c r="X33" s="66"/>
      <c r="Y33" s="66"/>
      <c r="Z33" s="66"/>
      <c r="AA33" s="66"/>
      <c r="AB33" s="66"/>
      <c r="AC33" s="1"/>
      <c r="AD33" s="1"/>
      <c r="AE33" s="1"/>
      <c r="AF33" s="1"/>
      <c r="AG33" s="1"/>
      <c r="AH33" s="1"/>
      <c r="AI33" s="1"/>
      <c r="AJ33" s="1"/>
      <c r="AK33" s="1"/>
      <c r="AL33" s="1"/>
      <c r="AM33" s="1"/>
      <c r="AN33" s="1"/>
      <c r="AO33" s="66"/>
      <c r="AP33" s="66"/>
      <c r="AQ33" s="1"/>
      <c r="AR33" s="1"/>
      <c r="AS33" s="1"/>
      <c r="AT33" s="1"/>
      <c r="AU33" s="1"/>
      <c r="AV33" s="1"/>
      <c r="AW33" s="1"/>
      <c r="AX33" s="1"/>
      <c r="AY33" s="1"/>
      <c r="AZ33" s="1"/>
      <c r="BA33" s="1"/>
      <c r="BB33" s="1"/>
      <c r="BC33" s="1"/>
      <c r="BD33" s="1"/>
      <c r="BE33" s="1"/>
      <c r="BF33" s="66"/>
      <c r="BG33" s="66"/>
      <c r="BH33" s="1"/>
      <c r="BI33" s="1"/>
      <c r="BJ33" s="1"/>
      <c r="BK33" s="1"/>
      <c r="BL33" s="1"/>
      <c r="BM33" s="1"/>
      <c r="BN33" s="1"/>
      <c r="BO33" s="1"/>
      <c r="BP33" s="1"/>
      <c r="BQ33" s="1"/>
      <c r="BR33" s="1"/>
      <c r="BS33" s="1"/>
      <c r="BT33" s="1"/>
      <c r="BU33" s="1"/>
      <c r="BV33" s="1"/>
      <c r="BW33" s="65"/>
      <c r="BX33" s="65"/>
      <c r="BY33" s="1"/>
      <c r="BZ33" s="1"/>
      <c r="CA33" s="1"/>
      <c r="CB33" s="1"/>
      <c r="CC33" s="1"/>
      <c r="CD33" s="1"/>
      <c r="CE33" s="1"/>
      <c r="CF33" s="1"/>
      <c r="CG33" s="1"/>
      <c r="CH33" s="1"/>
      <c r="CI33" s="1"/>
      <c r="CJ33" s="1"/>
      <c r="CK33" s="1"/>
      <c r="CL33" s="1"/>
      <c r="CM33" s="1"/>
      <c r="CN33" s="65"/>
      <c r="CO33" s="65"/>
      <c r="CP33" s="1"/>
      <c r="CQ33" s="1"/>
      <c r="CR33" s="1"/>
      <c r="CS33" s="1"/>
      <c r="CT33" s="1"/>
      <c r="CU33" s="1"/>
      <c r="CV33" s="1"/>
      <c r="CW33" s="1"/>
      <c r="CX33" s="1"/>
      <c r="CY33" s="1"/>
      <c r="CZ33" s="1"/>
      <c r="DA33" s="1"/>
      <c r="DB33" s="1"/>
      <c r="DC33" s="1"/>
      <c r="DD33" s="1"/>
      <c r="DE33" s="65"/>
      <c r="DF33" s="65"/>
      <c r="DG33" s="1"/>
      <c r="DH33" s="1"/>
      <c r="DI33" s="1"/>
      <c r="DJ33" s="1"/>
      <c r="DK33" s="1"/>
      <c r="DL33" s="1"/>
      <c r="DM33" s="1"/>
      <c r="DN33" s="1"/>
      <c r="DO33" s="1"/>
      <c r="DP33" s="1"/>
      <c r="DQ33" s="1"/>
      <c r="DR33" s="1"/>
      <c r="DS33" s="1"/>
      <c r="DT33" s="1"/>
      <c r="DU33" s="1"/>
      <c r="DV33" s="65"/>
      <c r="DW33" s="65"/>
      <c r="DX33" s="1"/>
      <c r="DY33" s="1"/>
      <c r="DZ33" s="1"/>
      <c r="EA33" s="1"/>
      <c r="EB33" s="1"/>
      <c r="EC33" s="1"/>
      <c r="ED33" s="1"/>
      <c r="EE33" s="1"/>
      <c r="EF33" s="1"/>
      <c r="EG33" s="1"/>
      <c r="EH33" s="1"/>
      <c r="EI33" s="1"/>
      <c r="EJ33" s="1"/>
      <c r="EK33" s="1"/>
      <c r="EL33" s="1"/>
      <c r="EM33" s="65"/>
      <c r="EN33" s="65"/>
      <c r="EO33" s="1"/>
      <c r="EP33" s="1"/>
      <c r="EQ33" s="1"/>
      <c r="ER33" s="1"/>
      <c r="ES33" s="1"/>
      <c r="ET33" s="1"/>
      <c r="EU33" s="1"/>
      <c r="EV33" s="1"/>
      <c r="EW33" s="1"/>
      <c r="EX33" s="1"/>
      <c r="EY33" s="1"/>
      <c r="EZ33" s="1"/>
      <c r="FA33" s="1"/>
      <c r="FB33" s="1"/>
      <c r="FC33" s="1"/>
      <c r="FD33" s="65"/>
      <c r="FE33" s="65"/>
      <c r="FF33" s="1"/>
      <c r="FG33" s="1"/>
      <c r="FH33" s="1"/>
      <c r="FI33" s="1"/>
      <c r="FJ33" s="1"/>
      <c r="FK33" s="1"/>
      <c r="FL33" s="1"/>
      <c r="FM33" s="1"/>
      <c r="FN33" s="1"/>
      <c r="FO33" s="1"/>
      <c r="FP33" s="1"/>
      <c r="FQ33" s="1"/>
      <c r="FR33" s="1"/>
      <c r="FS33" s="1"/>
      <c r="FT33" s="1"/>
      <c r="FU33" s="65"/>
      <c r="FV33" s="65"/>
      <c r="FW33" s="1"/>
      <c r="FX33" s="1"/>
      <c r="FY33" s="1"/>
      <c r="FZ33" s="1"/>
      <c r="GA33" s="1"/>
      <c r="GB33" s="1"/>
      <c r="GC33" s="1"/>
      <c r="GD33" s="1"/>
      <c r="GE33" s="1"/>
      <c r="GF33" s="1"/>
      <c r="GG33" s="1"/>
      <c r="GH33" s="1"/>
      <c r="GI33" s="1"/>
      <c r="GJ33" s="1"/>
      <c r="GK33" s="1"/>
      <c r="GL33" s="65"/>
      <c r="GM33" s="65"/>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row>
    <row r="34" spans="1:222" ht="18" customHeight="1">
      <c r="A34" s="1"/>
      <c r="B34" s="1">
        <f t="shared" si="41"/>
        <v>7</v>
      </c>
      <c r="C34" s="346" t="s">
        <v>232</v>
      </c>
      <c r="D34" s="341" t="e">
        <f ca="1">nomeaba7()</f>
        <v>#NAME?</v>
      </c>
      <c r="E34" s="1"/>
      <c r="F34" s="315"/>
      <c r="G34" s="330"/>
      <c r="H34" s="65"/>
      <c r="I34" s="1"/>
      <c r="J34" s="1"/>
      <c r="K34" s="1"/>
      <c r="L34" s="1"/>
      <c r="M34" s="1"/>
      <c r="N34" s="1"/>
      <c r="O34" s="1"/>
      <c r="P34" s="1"/>
      <c r="Q34" s="1"/>
      <c r="R34" s="1"/>
      <c r="S34" s="1"/>
      <c r="T34" s="1"/>
      <c r="U34" s="1"/>
      <c r="V34" s="1"/>
      <c r="W34" s="1"/>
      <c r="X34" s="66"/>
      <c r="Y34" s="66"/>
      <c r="Z34" s="66"/>
      <c r="AA34" s="66"/>
      <c r="AB34" s="66"/>
      <c r="AC34" s="1"/>
      <c r="AD34" s="1"/>
      <c r="AE34" s="1"/>
      <c r="AF34" s="1"/>
      <c r="AG34" s="1"/>
      <c r="AH34" s="1"/>
      <c r="AI34" s="1"/>
      <c r="AJ34" s="1"/>
      <c r="AK34" s="1"/>
      <c r="AL34" s="1"/>
      <c r="AM34" s="1"/>
      <c r="AN34" s="1"/>
      <c r="AO34" s="66"/>
      <c r="AP34" s="66"/>
      <c r="AQ34" s="1"/>
      <c r="AR34" s="1"/>
      <c r="AS34" s="1"/>
      <c r="AT34" s="1"/>
      <c r="AU34" s="1"/>
      <c r="AV34" s="1"/>
      <c r="AW34" s="1"/>
      <c r="AX34" s="1"/>
      <c r="AY34" s="1"/>
      <c r="AZ34" s="1"/>
      <c r="BA34" s="1"/>
      <c r="BB34" s="1"/>
      <c r="BC34" s="1"/>
      <c r="BD34" s="1"/>
      <c r="BE34" s="1"/>
      <c r="BF34" s="66"/>
      <c r="BG34" s="66"/>
      <c r="BH34" s="1"/>
      <c r="BI34" s="1"/>
      <c r="BJ34" s="1"/>
      <c r="BK34" s="1"/>
      <c r="BL34" s="1"/>
      <c r="BM34" s="1"/>
      <c r="BN34" s="1"/>
      <c r="BO34" s="1"/>
      <c r="BP34" s="1"/>
      <c r="BQ34" s="1"/>
      <c r="BR34" s="1"/>
      <c r="BS34" s="1"/>
      <c r="BT34" s="1"/>
      <c r="BU34" s="1"/>
      <c r="BV34" s="1"/>
      <c r="BW34" s="65"/>
      <c r="BX34" s="65"/>
      <c r="BY34" s="1"/>
      <c r="BZ34" s="1"/>
      <c r="CA34" s="1"/>
      <c r="CB34" s="1"/>
      <c r="CC34" s="1"/>
      <c r="CD34" s="1"/>
      <c r="CE34" s="1"/>
      <c r="CF34" s="1"/>
      <c r="CG34" s="1"/>
      <c r="CH34" s="1"/>
      <c r="CI34" s="1"/>
      <c r="CJ34" s="1"/>
      <c r="CK34" s="1"/>
      <c r="CL34" s="1"/>
      <c r="CM34" s="1"/>
      <c r="CN34" s="65"/>
      <c r="CO34" s="65"/>
      <c r="CP34" s="1"/>
      <c r="CQ34" s="1"/>
      <c r="CR34" s="1"/>
      <c r="CS34" s="1"/>
      <c r="CT34" s="1"/>
      <c r="CU34" s="1"/>
      <c r="CV34" s="1"/>
      <c r="CW34" s="1"/>
      <c r="CX34" s="1"/>
      <c r="CY34" s="1"/>
      <c r="CZ34" s="1"/>
      <c r="DA34" s="1"/>
      <c r="DB34" s="1"/>
      <c r="DC34" s="1"/>
      <c r="DD34" s="1"/>
      <c r="DE34" s="65"/>
      <c r="DF34" s="65"/>
      <c r="DG34" s="1"/>
      <c r="DH34" s="1"/>
      <c r="DI34" s="1"/>
      <c r="DJ34" s="1"/>
      <c r="DK34" s="1"/>
      <c r="DL34" s="1"/>
      <c r="DM34" s="1"/>
      <c r="DN34" s="1"/>
      <c r="DO34" s="1"/>
      <c r="DP34" s="1"/>
      <c r="DQ34" s="1"/>
      <c r="DR34" s="1"/>
      <c r="DS34" s="1"/>
      <c r="DT34" s="1"/>
      <c r="DU34" s="1"/>
      <c r="DV34" s="65"/>
      <c r="DW34" s="65"/>
      <c r="DX34" s="1"/>
      <c r="DY34" s="1"/>
      <c r="DZ34" s="1"/>
      <c r="EA34" s="1"/>
      <c r="EB34" s="1"/>
      <c r="EC34" s="1"/>
      <c r="ED34" s="1"/>
      <c r="EE34" s="1"/>
      <c r="EF34" s="1"/>
      <c r="EG34" s="1"/>
      <c r="EH34" s="1"/>
      <c r="EI34" s="1"/>
      <c r="EJ34" s="1"/>
      <c r="EK34" s="1"/>
      <c r="EL34" s="1"/>
      <c r="EM34" s="65"/>
      <c r="EN34" s="65"/>
      <c r="EO34" s="1"/>
      <c r="EP34" s="1"/>
      <c r="EQ34" s="1"/>
      <c r="ER34" s="1"/>
      <c r="ES34" s="1"/>
      <c r="ET34" s="1"/>
      <c r="EU34" s="1"/>
      <c r="EV34" s="1"/>
      <c r="EW34" s="1"/>
      <c r="EX34" s="1"/>
      <c r="EY34" s="1"/>
      <c r="EZ34" s="1"/>
      <c r="FA34" s="1"/>
      <c r="FB34" s="1"/>
      <c r="FC34" s="1"/>
      <c r="FD34" s="65"/>
      <c r="FE34" s="65"/>
      <c r="FF34" s="1"/>
      <c r="FG34" s="1"/>
      <c r="FH34" s="1"/>
      <c r="FI34" s="1"/>
      <c r="FJ34" s="1"/>
      <c r="FK34" s="1"/>
      <c r="FL34" s="1"/>
      <c r="FM34" s="1"/>
      <c r="FN34" s="1"/>
      <c r="FO34" s="1"/>
      <c r="FP34" s="1"/>
      <c r="FQ34" s="1"/>
      <c r="FR34" s="1"/>
      <c r="FS34" s="1"/>
      <c r="FT34" s="1"/>
      <c r="FU34" s="65"/>
      <c r="FV34" s="65"/>
      <c r="FW34" s="1"/>
      <c r="FX34" s="1"/>
      <c r="FY34" s="1"/>
      <c r="FZ34" s="1"/>
      <c r="GA34" s="1"/>
      <c r="GB34" s="1"/>
      <c r="GC34" s="1"/>
      <c r="GD34" s="1"/>
      <c r="GE34" s="1"/>
      <c r="GF34" s="1"/>
      <c r="GG34" s="1"/>
      <c r="GH34" s="1"/>
      <c r="GI34" s="1"/>
      <c r="GJ34" s="1"/>
      <c r="GK34" s="1"/>
      <c r="GL34" s="65"/>
      <c r="GM34" s="65"/>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row>
    <row r="35" spans="1:222" ht="18" customHeight="1">
      <c r="A35" s="1"/>
      <c r="B35" s="1">
        <f t="shared" si="41"/>
        <v>8</v>
      </c>
      <c r="C35" s="346" t="s">
        <v>233</v>
      </c>
      <c r="D35" s="341" t="e">
        <f ca="1">nomeaba8()</f>
        <v>#NAME?</v>
      </c>
      <c r="E35" s="1"/>
      <c r="F35" s="315"/>
      <c r="G35" s="330"/>
      <c r="H35" s="65"/>
      <c r="I35" s="1" t="s">
        <v>234</v>
      </c>
      <c r="J35" s="1"/>
      <c r="K35" s="1">
        <f t="shared" ref="K35:K37" si="42">LEN(I35)</f>
        <v>29</v>
      </c>
      <c r="L35" s="1"/>
      <c r="M35" s="1"/>
      <c r="N35" s="1"/>
      <c r="O35" s="1"/>
      <c r="P35" s="1"/>
      <c r="Q35" s="1"/>
      <c r="R35" s="1"/>
      <c r="S35" s="1"/>
      <c r="T35" s="1"/>
      <c r="U35" s="1"/>
      <c r="V35" s="1"/>
      <c r="W35" s="1"/>
      <c r="X35" s="66"/>
      <c r="Y35" s="66"/>
      <c r="Z35" s="66"/>
      <c r="AA35" s="66"/>
      <c r="AB35" s="66"/>
      <c r="AC35" s="1"/>
      <c r="AD35" s="1"/>
      <c r="AE35" s="1"/>
      <c r="AF35" s="1"/>
      <c r="AG35" s="1"/>
      <c r="AH35" s="1"/>
      <c r="AI35" s="1"/>
      <c r="AJ35" s="1"/>
      <c r="AK35" s="1"/>
      <c r="AL35" s="1"/>
      <c r="AM35" s="1"/>
      <c r="AN35" s="1"/>
      <c r="AO35" s="66"/>
      <c r="AP35" s="66"/>
      <c r="AQ35" s="1"/>
      <c r="AR35" s="1"/>
      <c r="AS35" s="1"/>
      <c r="AT35" s="1"/>
      <c r="AU35" s="1"/>
      <c r="AV35" s="1"/>
      <c r="AW35" s="1"/>
      <c r="AX35" s="1"/>
      <c r="AY35" s="1"/>
      <c r="AZ35" s="1"/>
      <c r="BA35" s="1"/>
      <c r="BB35" s="1"/>
      <c r="BC35" s="1"/>
      <c r="BD35" s="1"/>
      <c r="BE35" s="1"/>
      <c r="BF35" s="66"/>
      <c r="BG35" s="66"/>
      <c r="BH35" s="1"/>
      <c r="BI35" s="1"/>
      <c r="BJ35" s="1"/>
      <c r="BK35" s="1"/>
      <c r="BL35" s="1"/>
      <c r="BM35" s="1"/>
      <c r="BN35" s="1"/>
      <c r="BO35" s="1"/>
      <c r="BP35" s="1"/>
      <c r="BQ35" s="1"/>
      <c r="BR35" s="1"/>
      <c r="BS35" s="1"/>
      <c r="BT35" s="1"/>
      <c r="BU35" s="1"/>
      <c r="BV35" s="1"/>
      <c r="BW35" s="65"/>
      <c r="BX35" s="65"/>
      <c r="BY35" s="1"/>
      <c r="BZ35" s="1"/>
      <c r="CA35" s="1"/>
      <c r="CB35" s="1"/>
      <c r="CC35" s="1"/>
      <c r="CD35" s="1"/>
      <c r="CE35" s="1"/>
      <c r="CF35" s="1"/>
      <c r="CG35" s="1"/>
      <c r="CH35" s="1"/>
      <c r="CI35" s="1"/>
      <c r="CJ35" s="1"/>
      <c r="CK35" s="1"/>
      <c r="CL35" s="1"/>
      <c r="CM35" s="1"/>
      <c r="CN35" s="65"/>
      <c r="CO35" s="65"/>
      <c r="CP35" s="1"/>
      <c r="CQ35" s="1"/>
      <c r="CR35" s="1"/>
      <c r="CS35" s="1"/>
      <c r="CT35" s="1"/>
      <c r="CU35" s="1"/>
      <c r="CV35" s="1"/>
      <c r="CW35" s="1"/>
      <c r="CX35" s="1"/>
      <c r="CY35" s="1"/>
      <c r="CZ35" s="1"/>
      <c r="DA35" s="1"/>
      <c r="DB35" s="1"/>
      <c r="DC35" s="1"/>
      <c r="DD35" s="1"/>
      <c r="DE35" s="65"/>
      <c r="DF35" s="65"/>
      <c r="DG35" s="1"/>
      <c r="DH35" s="1"/>
      <c r="DI35" s="1"/>
      <c r="DJ35" s="1"/>
      <c r="DK35" s="1"/>
      <c r="DL35" s="1"/>
      <c r="DM35" s="1"/>
      <c r="DN35" s="1"/>
      <c r="DO35" s="1"/>
      <c r="DP35" s="1"/>
      <c r="DQ35" s="1"/>
      <c r="DR35" s="1"/>
      <c r="DS35" s="1"/>
      <c r="DT35" s="1"/>
      <c r="DU35" s="1"/>
      <c r="DV35" s="65"/>
      <c r="DW35" s="65"/>
      <c r="DX35" s="1"/>
      <c r="DY35" s="1"/>
      <c r="DZ35" s="1"/>
      <c r="EA35" s="1"/>
      <c r="EB35" s="1"/>
      <c r="EC35" s="1"/>
      <c r="ED35" s="1"/>
      <c r="EE35" s="1"/>
      <c r="EF35" s="1"/>
      <c r="EG35" s="1"/>
      <c r="EH35" s="1"/>
      <c r="EI35" s="1"/>
      <c r="EJ35" s="1"/>
      <c r="EK35" s="1"/>
      <c r="EL35" s="1"/>
      <c r="EM35" s="65"/>
      <c r="EN35" s="65"/>
      <c r="EO35" s="1"/>
      <c r="EP35" s="1"/>
      <c r="EQ35" s="1"/>
      <c r="ER35" s="1"/>
      <c r="ES35" s="1"/>
      <c r="ET35" s="1"/>
      <c r="EU35" s="1"/>
      <c r="EV35" s="1"/>
      <c r="EW35" s="1"/>
      <c r="EX35" s="1"/>
      <c r="EY35" s="1"/>
      <c r="EZ35" s="1"/>
      <c r="FA35" s="1"/>
      <c r="FB35" s="1"/>
      <c r="FC35" s="1"/>
      <c r="FD35" s="65"/>
      <c r="FE35" s="65"/>
      <c r="FF35" s="1"/>
      <c r="FG35" s="1"/>
      <c r="FH35" s="1"/>
      <c r="FI35" s="1"/>
      <c r="FJ35" s="1"/>
      <c r="FK35" s="1"/>
      <c r="FL35" s="1"/>
      <c r="FM35" s="1"/>
      <c r="FN35" s="1"/>
      <c r="FO35" s="1"/>
      <c r="FP35" s="1"/>
      <c r="FQ35" s="1"/>
      <c r="FR35" s="1"/>
      <c r="FS35" s="1"/>
      <c r="FT35" s="1"/>
      <c r="FU35" s="65"/>
      <c r="FV35" s="65"/>
      <c r="FW35" s="1"/>
      <c r="FX35" s="1"/>
      <c r="FY35" s="1"/>
      <c r="FZ35" s="1"/>
      <c r="GA35" s="1"/>
      <c r="GB35" s="1"/>
      <c r="GC35" s="1"/>
      <c r="GD35" s="1"/>
      <c r="GE35" s="1"/>
      <c r="GF35" s="1"/>
      <c r="GG35" s="1"/>
      <c r="GH35" s="1"/>
      <c r="GI35" s="1"/>
      <c r="GJ35" s="1"/>
      <c r="GK35" s="1"/>
      <c r="GL35" s="65"/>
      <c r="GM35" s="65"/>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row>
    <row r="36" spans="1:222" ht="18" customHeight="1">
      <c r="A36" s="1"/>
      <c r="B36" s="1">
        <f t="shared" si="41"/>
        <v>9</v>
      </c>
      <c r="C36" s="346" t="s">
        <v>235</v>
      </c>
      <c r="D36" s="341" t="e">
        <f ca="1">nomeaba9()</f>
        <v>#NAME?</v>
      </c>
      <c r="E36" s="1"/>
      <c r="F36" s="315"/>
      <c r="G36" s="330"/>
      <c r="H36" s="65"/>
      <c r="I36" s="1" t="s">
        <v>236</v>
      </c>
      <c r="J36" s="1"/>
      <c r="K36" s="1">
        <f t="shared" si="42"/>
        <v>29</v>
      </c>
      <c r="L36" s="1"/>
      <c r="M36" s="1"/>
      <c r="N36" s="1"/>
      <c r="O36" s="1"/>
      <c r="P36" s="1"/>
      <c r="Q36" s="1"/>
      <c r="R36" s="1"/>
      <c r="S36" s="1"/>
      <c r="T36" s="1"/>
      <c r="U36" s="1"/>
      <c r="V36" s="1"/>
      <c r="W36" s="1"/>
      <c r="X36" s="66"/>
      <c r="Y36" s="66"/>
      <c r="Z36" s="66"/>
      <c r="AA36" s="66"/>
      <c r="AB36" s="66"/>
      <c r="AC36" s="1"/>
      <c r="AD36" s="1"/>
      <c r="AE36" s="1"/>
      <c r="AF36" s="1"/>
      <c r="AG36" s="1"/>
      <c r="AH36" s="1"/>
      <c r="AI36" s="1"/>
      <c r="AJ36" s="1"/>
      <c r="AK36" s="1"/>
      <c r="AL36" s="1"/>
      <c r="AM36" s="1"/>
      <c r="AN36" s="1"/>
      <c r="AO36" s="66"/>
      <c r="AP36" s="66"/>
      <c r="AQ36" s="1"/>
      <c r="AR36" s="1"/>
      <c r="AS36" s="1"/>
      <c r="AT36" s="1"/>
      <c r="AU36" s="1"/>
      <c r="AV36" s="1"/>
      <c r="AW36" s="1"/>
      <c r="AX36" s="1"/>
      <c r="AY36" s="1"/>
      <c r="AZ36" s="1"/>
      <c r="BA36" s="1"/>
      <c r="BB36" s="1"/>
      <c r="BC36" s="1"/>
      <c r="BD36" s="1"/>
      <c r="BE36" s="1"/>
      <c r="BF36" s="66"/>
      <c r="BG36" s="66"/>
      <c r="BH36" s="1"/>
      <c r="BI36" s="1"/>
      <c r="BJ36" s="1"/>
      <c r="BK36" s="1"/>
      <c r="BL36" s="1"/>
      <c r="BM36" s="1"/>
      <c r="BN36" s="1"/>
      <c r="BO36" s="1"/>
      <c r="BP36" s="1"/>
      <c r="BQ36" s="1"/>
      <c r="BR36" s="1"/>
      <c r="BS36" s="1"/>
      <c r="BT36" s="1"/>
      <c r="BU36" s="1"/>
      <c r="BV36" s="1"/>
      <c r="BW36" s="65"/>
      <c r="BX36" s="65"/>
      <c r="BY36" s="1"/>
      <c r="BZ36" s="1"/>
      <c r="CA36" s="1"/>
      <c r="CB36" s="1"/>
      <c r="CC36" s="1"/>
      <c r="CD36" s="1"/>
      <c r="CE36" s="1"/>
      <c r="CF36" s="1"/>
      <c r="CG36" s="1"/>
      <c r="CH36" s="1"/>
      <c r="CI36" s="1"/>
      <c r="CJ36" s="1"/>
      <c r="CK36" s="1"/>
      <c r="CL36" s="1"/>
      <c r="CM36" s="1"/>
      <c r="CN36" s="65"/>
      <c r="CO36" s="65"/>
      <c r="CP36" s="1"/>
      <c r="CQ36" s="1"/>
      <c r="CR36" s="1"/>
      <c r="CS36" s="1"/>
      <c r="CT36" s="1"/>
      <c r="CU36" s="1"/>
      <c r="CV36" s="1"/>
      <c r="CW36" s="1"/>
      <c r="CX36" s="1"/>
      <c r="CY36" s="1"/>
      <c r="CZ36" s="1"/>
      <c r="DA36" s="1"/>
      <c r="DB36" s="1"/>
      <c r="DC36" s="1"/>
      <c r="DD36" s="1"/>
      <c r="DE36" s="65"/>
      <c r="DF36" s="65"/>
      <c r="DG36" s="1"/>
      <c r="DH36" s="1"/>
      <c r="DI36" s="1"/>
      <c r="DJ36" s="1"/>
      <c r="DK36" s="1"/>
      <c r="DL36" s="1"/>
      <c r="DM36" s="1"/>
      <c r="DN36" s="1"/>
      <c r="DO36" s="1"/>
      <c r="DP36" s="1"/>
      <c r="DQ36" s="1"/>
      <c r="DR36" s="1"/>
      <c r="DS36" s="1"/>
      <c r="DT36" s="1"/>
      <c r="DU36" s="1"/>
      <c r="DV36" s="65"/>
      <c r="DW36" s="65"/>
      <c r="DX36" s="1"/>
      <c r="DY36" s="1"/>
      <c r="DZ36" s="1"/>
      <c r="EA36" s="1"/>
      <c r="EB36" s="1"/>
      <c r="EC36" s="1"/>
      <c r="ED36" s="1"/>
      <c r="EE36" s="1"/>
      <c r="EF36" s="1"/>
      <c r="EG36" s="1"/>
      <c r="EH36" s="1"/>
      <c r="EI36" s="1"/>
      <c r="EJ36" s="1"/>
      <c r="EK36" s="1"/>
      <c r="EL36" s="1"/>
      <c r="EM36" s="65"/>
      <c r="EN36" s="65"/>
      <c r="EO36" s="1"/>
      <c r="EP36" s="1"/>
      <c r="EQ36" s="1"/>
      <c r="ER36" s="1"/>
      <c r="ES36" s="1"/>
      <c r="ET36" s="1"/>
      <c r="EU36" s="1"/>
      <c r="EV36" s="1"/>
      <c r="EW36" s="1"/>
      <c r="EX36" s="1"/>
      <c r="EY36" s="1"/>
      <c r="EZ36" s="1"/>
      <c r="FA36" s="1"/>
      <c r="FB36" s="1"/>
      <c r="FC36" s="1"/>
      <c r="FD36" s="65"/>
      <c r="FE36" s="65"/>
      <c r="FF36" s="1"/>
      <c r="FG36" s="1"/>
      <c r="FH36" s="1"/>
      <c r="FI36" s="1"/>
      <c r="FJ36" s="1"/>
      <c r="FK36" s="1"/>
      <c r="FL36" s="1"/>
      <c r="FM36" s="1"/>
      <c r="FN36" s="1"/>
      <c r="FO36" s="1"/>
      <c r="FP36" s="1"/>
      <c r="FQ36" s="1"/>
      <c r="FR36" s="1"/>
      <c r="FS36" s="1"/>
      <c r="FT36" s="1"/>
      <c r="FU36" s="65"/>
      <c r="FV36" s="65"/>
      <c r="FW36" s="1"/>
      <c r="FX36" s="1"/>
      <c r="FY36" s="1"/>
      <c r="FZ36" s="1"/>
      <c r="GA36" s="1"/>
      <c r="GB36" s="1"/>
      <c r="GC36" s="1"/>
      <c r="GD36" s="1"/>
      <c r="GE36" s="1"/>
      <c r="GF36" s="1"/>
      <c r="GG36" s="1"/>
      <c r="GH36" s="1"/>
      <c r="GI36" s="1"/>
      <c r="GJ36" s="1"/>
      <c r="GK36" s="1"/>
      <c r="GL36" s="65"/>
      <c r="GM36" s="65"/>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row>
    <row r="37" spans="1:222" ht="18" customHeight="1">
      <c r="A37" s="1"/>
      <c r="B37" s="1">
        <f t="shared" si="41"/>
        <v>10</v>
      </c>
      <c r="C37" s="346" t="s">
        <v>237</v>
      </c>
      <c r="D37" s="341" t="e">
        <f ca="1">nomeaba10()</f>
        <v>#NAME?</v>
      </c>
      <c r="E37" s="1"/>
      <c r="F37" s="315"/>
      <c r="G37" s="330"/>
      <c r="H37" s="65"/>
      <c r="I37" s="1" t="s">
        <v>238</v>
      </c>
      <c r="J37" s="1"/>
      <c r="K37" s="1">
        <f t="shared" si="42"/>
        <v>29</v>
      </c>
      <c r="L37" s="1"/>
      <c r="M37" s="1"/>
      <c r="N37" s="1"/>
      <c r="O37" s="1"/>
      <c r="P37" s="1"/>
      <c r="Q37" s="1"/>
      <c r="R37" s="1"/>
      <c r="S37" s="1"/>
      <c r="T37" s="1"/>
      <c r="U37" s="1"/>
      <c r="V37" s="1"/>
      <c r="W37" s="1"/>
      <c r="X37" s="66"/>
      <c r="Y37" s="66"/>
      <c r="Z37" s="66"/>
      <c r="AA37" s="66"/>
      <c r="AB37" s="66"/>
      <c r="AC37" s="1"/>
      <c r="AD37" s="1"/>
      <c r="AE37" s="1"/>
      <c r="AF37" s="1"/>
      <c r="AG37" s="1"/>
      <c r="AH37" s="1"/>
      <c r="AI37" s="1"/>
      <c r="AJ37" s="1"/>
      <c r="AK37" s="1"/>
      <c r="AL37" s="1"/>
      <c r="AM37" s="1"/>
      <c r="AN37" s="1"/>
      <c r="AO37" s="66"/>
      <c r="AP37" s="66"/>
      <c r="AQ37" s="1"/>
      <c r="AR37" s="1"/>
      <c r="AS37" s="1"/>
      <c r="AT37" s="1"/>
      <c r="AU37" s="1"/>
      <c r="AV37" s="1"/>
      <c r="AW37" s="1"/>
      <c r="AX37" s="1"/>
      <c r="AY37" s="1"/>
      <c r="AZ37" s="1"/>
      <c r="BA37" s="1"/>
      <c r="BB37" s="1"/>
      <c r="BC37" s="1"/>
      <c r="BD37" s="1"/>
      <c r="BE37" s="1"/>
      <c r="BF37" s="66"/>
      <c r="BG37" s="66"/>
      <c r="BH37" s="1"/>
      <c r="BI37" s="1"/>
      <c r="BJ37" s="1"/>
      <c r="BK37" s="1"/>
      <c r="BL37" s="1"/>
      <c r="BM37" s="1"/>
      <c r="BN37" s="1"/>
      <c r="BO37" s="1"/>
      <c r="BP37" s="1"/>
      <c r="BQ37" s="1"/>
      <c r="BR37" s="1"/>
      <c r="BS37" s="1"/>
      <c r="BT37" s="1"/>
      <c r="BU37" s="1"/>
      <c r="BV37" s="1"/>
      <c r="BW37" s="65"/>
      <c r="BX37" s="65"/>
      <c r="BY37" s="1"/>
      <c r="BZ37" s="1"/>
      <c r="CA37" s="1"/>
      <c r="CB37" s="1"/>
      <c r="CC37" s="1"/>
      <c r="CD37" s="1"/>
      <c r="CE37" s="1"/>
      <c r="CF37" s="1"/>
      <c r="CG37" s="1"/>
      <c r="CH37" s="1"/>
      <c r="CI37" s="1"/>
      <c r="CJ37" s="1"/>
      <c r="CK37" s="1"/>
      <c r="CL37" s="1"/>
      <c r="CM37" s="1"/>
      <c r="CN37" s="65"/>
      <c r="CO37" s="65"/>
      <c r="CP37" s="1"/>
      <c r="CQ37" s="1"/>
      <c r="CR37" s="1"/>
      <c r="CS37" s="1"/>
      <c r="CT37" s="1"/>
      <c r="CU37" s="1"/>
      <c r="CV37" s="1"/>
      <c r="CW37" s="1"/>
      <c r="CX37" s="1"/>
      <c r="CY37" s="1"/>
      <c r="CZ37" s="1"/>
      <c r="DA37" s="1"/>
      <c r="DB37" s="1"/>
      <c r="DC37" s="1"/>
      <c r="DD37" s="1"/>
      <c r="DE37" s="65"/>
      <c r="DF37" s="65"/>
      <c r="DG37" s="1"/>
      <c r="DH37" s="1"/>
      <c r="DI37" s="1"/>
      <c r="DJ37" s="1"/>
      <c r="DK37" s="1"/>
      <c r="DL37" s="1"/>
      <c r="DM37" s="1"/>
      <c r="DN37" s="1"/>
      <c r="DO37" s="1"/>
      <c r="DP37" s="1"/>
      <c r="DQ37" s="1"/>
      <c r="DR37" s="1"/>
      <c r="DS37" s="1"/>
      <c r="DT37" s="1"/>
      <c r="DU37" s="1"/>
      <c r="DV37" s="65"/>
      <c r="DW37" s="65"/>
      <c r="DX37" s="1"/>
      <c r="DY37" s="1"/>
      <c r="DZ37" s="1"/>
      <c r="EA37" s="1"/>
      <c r="EB37" s="1"/>
      <c r="EC37" s="1"/>
      <c r="ED37" s="1"/>
      <c r="EE37" s="1"/>
      <c r="EF37" s="1"/>
      <c r="EG37" s="1"/>
      <c r="EH37" s="1"/>
      <c r="EI37" s="1"/>
      <c r="EJ37" s="1"/>
      <c r="EK37" s="1"/>
      <c r="EL37" s="1"/>
      <c r="EM37" s="65"/>
      <c r="EN37" s="65"/>
      <c r="EO37" s="1"/>
      <c r="EP37" s="1"/>
      <c r="EQ37" s="1"/>
      <c r="ER37" s="1"/>
      <c r="ES37" s="1"/>
      <c r="ET37" s="1"/>
      <c r="EU37" s="1"/>
      <c r="EV37" s="1"/>
      <c r="EW37" s="1"/>
      <c r="EX37" s="1"/>
      <c r="EY37" s="1"/>
      <c r="EZ37" s="1"/>
      <c r="FA37" s="1"/>
      <c r="FB37" s="1"/>
      <c r="FC37" s="1"/>
      <c r="FD37" s="65"/>
      <c r="FE37" s="65"/>
      <c r="FF37" s="1"/>
      <c r="FG37" s="1"/>
      <c r="FH37" s="1"/>
      <c r="FI37" s="1"/>
      <c r="FJ37" s="1"/>
      <c r="FK37" s="1"/>
      <c r="FL37" s="1"/>
      <c r="FM37" s="1"/>
      <c r="FN37" s="1"/>
      <c r="FO37" s="1"/>
      <c r="FP37" s="1"/>
      <c r="FQ37" s="1"/>
      <c r="FR37" s="1"/>
      <c r="FS37" s="1"/>
      <c r="FT37" s="1"/>
      <c r="FU37" s="65"/>
      <c r="FV37" s="65"/>
      <c r="FW37" s="1"/>
      <c r="FX37" s="1"/>
      <c r="FY37" s="1"/>
      <c r="FZ37" s="1"/>
      <c r="GA37" s="1"/>
      <c r="GB37" s="1"/>
      <c r="GC37" s="1"/>
      <c r="GD37" s="1"/>
      <c r="GE37" s="1"/>
      <c r="GF37" s="1"/>
      <c r="GG37" s="1"/>
      <c r="GH37" s="1"/>
      <c r="GI37" s="1"/>
      <c r="GJ37" s="1"/>
      <c r="GK37" s="1"/>
      <c r="GL37" s="65"/>
      <c r="GM37" s="65"/>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row>
    <row r="38" spans="1:222" ht="18" customHeight="1">
      <c r="A38" s="1"/>
      <c r="B38" s="1">
        <f t="shared" si="41"/>
        <v>11</v>
      </c>
      <c r="C38" s="346" t="s">
        <v>239</v>
      </c>
      <c r="D38" s="341" t="e">
        <f ca="1">nomeaba11()</f>
        <v>#NAME?</v>
      </c>
      <c r="E38" s="1"/>
      <c r="F38" s="315"/>
      <c r="G38" s="1"/>
      <c r="H38" s="65"/>
      <c r="I38" s="1"/>
      <c r="J38" s="1"/>
      <c r="K38" s="1"/>
      <c r="L38" s="1"/>
      <c r="M38" s="1"/>
      <c r="N38" s="1"/>
      <c r="O38" s="1"/>
      <c r="P38" s="1"/>
      <c r="Q38" s="1"/>
      <c r="R38" s="1"/>
      <c r="S38" s="1"/>
      <c r="T38" s="1"/>
      <c r="U38" s="1"/>
      <c r="V38" s="1"/>
      <c r="W38" s="1"/>
      <c r="X38" s="66"/>
      <c r="Y38" s="66"/>
      <c r="Z38" s="66"/>
      <c r="AA38" s="66"/>
      <c r="AB38" s="66"/>
      <c r="AC38" s="1"/>
      <c r="AD38" s="1"/>
      <c r="AE38" s="1"/>
      <c r="AF38" s="1"/>
      <c r="AG38" s="1"/>
      <c r="AH38" s="1"/>
      <c r="AI38" s="1"/>
      <c r="AJ38" s="1"/>
      <c r="AK38" s="1"/>
      <c r="AL38" s="1"/>
      <c r="AM38" s="1"/>
      <c r="AN38" s="1"/>
      <c r="AO38" s="66"/>
      <c r="AP38" s="66"/>
      <c r="AQ38" s="1"/>
      <c r="AR38" s="1"/>
      <c r="AS38" s="1"/>
      <c r="AT38" s="1"/>
      <c r="AU38" s="1"/>
      <c r="AV38" s="1"/>
      <c r="AW38" s="1"/>
      <c r="AX38" s="1"/>
      <c r="AY38" s="1"/>
      <c r="AZ38" s="1"/>
      <c r="BA38" s="1"/>
      <c r="BB38" s="1"/>
      <c r="BC38" s="1"/>
      <c r="BD38" s="1"/>
      <c r="BE38" s="1"/>
      <c r="BF38" s="66"/>
      <c r="BG38" s="66"/>
      <c r="BH38" s="1"/>
      <c r="BI38" s="1"/>
      <c r="BJ38" s="1"/>
      <c r="BK38" s="1"/>
      <c r="BL38" s="1"/>
      <c r="BM38" s="1"/>
      <c r="BN38" s="1"/>
      <c r="BO38" s="1"/>
      <c r="BP38" s="1"/>
      <c r="BQ38" s="1"/>
      <c r="BR38" s="1"/>
      <c r="BS38" s="1"/>
      <c r="BT38" s="1"/>
      <c r="BU38" s="1"/>
      <c r="BV38" s="1"/>
      <c r="BW38" s="65"/>
      <c r="BX38" s="65"/>
      <c r="BY38" s="1"/>
      <c r="BZ38" s="1"/>
      <c r="CA38" s="1"/>
      <c r="CB38" s="1"/>
      <c r="CC38" s="1"/>
      <c r="CD38" s="1"/>
      <c r="CE38" s="1"/>
      <c r="CF38" s="1"/>
      <c r="CG38" s="1"/>
      <c r="CH38" s="1"/>
      <c r="CI38" s="1"/>
      <c r="CJ38" s="1"/>
      <c r="CK38" s="1"/>
      <c r="CL38" s="1"/>
      <c r="CM38" s="1"/>
      <c r="CN38" s="65"/>
      <c r="CO38" s="65"/>
      <c r="CP38" s="1"/>
      <c r="CQ38" s="1"/>
      <c r="CR38" s="1"/>
      <c r="CS38" s="1"/>
      <c r="CT38" s="1"/>
      <c r="CU38" s="1"/>
      <c r="CV38" s="1"/>
      <c r="CW38" s="1"/>
      <c r="CX38" s="1"/>
      <c r="CY38" s="1"/>
      <c r="CZ38" s="1"/>
      <c r="DA38" s="1"/>
      <c r="DB38" s="1"/>
      <c r="DC38" s="1"/>
      <c r="DD38" s="1"/>
      <c r="DE38" s="65"/>
      <c r="DF38" s="65"/>
      <c r="DG38" s="1"/>
      <c r="DH38" s="1"/>
      <c r="DI38" s="1"/>
      <c r="DJ38" s="1"/>
      <c r="DK38" s="1"/>
      <c r="DL38" s="1"/>
      <c r="DM38" s="1"/>
      <c r="DN38" s="1"/>
      <c r="DO38" s="1"/>
      <c r="DP38" s="1"/>
      <c r="DQ38" s="1"/>
      <c r="DR38" s="1"/>
      <c r="DS38" s="1"/>
      <c r="DT38" s="1"/>
      <c r="DU38" s="1"/>
      <c r="DV38" s="65"/>
      <c r="DW38" s="65"/>
      <c r="DX38" s="1"/>
      <c r="DY38" s="1"/>
      <c r="DZ38" s="1"/>
      <c r="EA38" s="1"/>
      <c r="EB38" s="1"/>
      <c r="EC38" s="1"/>
      <c r="ED38" s="1"/>
      <c r="EE38" s="1"/>
      <c r="EF38" s="1"/>
      <c r="EG38" s="1"/>
      <c r="EH38" s="1"/>
      <c r="EI38" s="1"/>
      <c r="EJ38" s="1"/>
      <c r="EK38" s="1"/>
      <c r="EL38" s="1"/>
      <c r="EM38" s="65"/>
      <c r="EN38" s="65"/>
      <c r="EO38" s="1"/>
      <c r="EP38" s="1"/>
      <c r="EQ38" s="1"/>
      <c r="ER38" s="1"/>
      <c r="ES38" s="1"/>
      <c r="ET38" s="1"/>
      <c r="EU38" s="1"/>
      <c r="EV38" s="1"/>
      <c r="EW38" s="1"/>
      <c r="EX38" s="1"/>
      <c r="EY38" s="1"/>
      <c r="EZ38" s="1"/>
      <c r="FA38" s="1"/>
      <c r="FB38" s="1"/>
      <c r="FC38" s="1"/>
      <c r="FD38" s="65"/>
      <c r="FE38" s="65"/>
      <c r="FF38" s="1"/>
      <c r="FG38" s="1"/>
      <c r="FH38" s="1"/>
      <c r="FI38" s="1"/>
      <c r="FJ38" s="1"/>
      <c r="FK38" s="1"/>
      <c r="FL38" s="1"/>
      <c r="FM38" s="1"/>
      <c r="FN38" s="1"/>
      <c r="FO38" s="1"/>
      <c r="FP38" s="1"/>
      <c r="FQ38" s="1"/>
      <c r="FR38" s="1"/>
      <c r="FS38" s="1"/>
      <c r="FT38" s="1"/>
      <c r="FU38" s="65"/>
      <c r="FV38" s="65"/>
      <c r="FW38" s="1"/>
      <c r="FX38" s="1"/>
      <c r="FY38" s="1"/>
      <c r="FZ38" s="1"/>
      <c r="GA38" s="1"/>
      <c r="GB38" s="1"/>
      <c r="GC38" s="1"/>
      <c r="GD38" s="1"/>
      <c r="GE38" s="1"/>
      <c r="GF38" s="1"/>
      <c r="GG38" s="1"/>
      <c r="GH38" s="1"/>
      <c r="GI38" s="1"/>
      <c r="GJ38" s="1"/>
      <c r="GK38" s="1"/>
      <c r="GL38" s="65"/>
      <c r="GM38" s="65"/>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row>
    <row r="39" spans="1:222" ht="18" customHeight="1">
      <c r="A39" s="1"/>
      <c r="B39" s="1">
        <f t="shared" si="41"/>
        <v>12</v>
      </c>
      <c r="C39" s="346" t="s">
        <v>240</v>
      </c>
      <c r="D39" s="341" t="e">
        <f ca="1">nomeaba12()</f>
        <v>#NAME?</v>
      </c>
      <c r="E39" s="1"/>
      <c r="F39" s="315"/>
      <c r="G39" s="65"/>
      <c r="H39" s="65"/>
      <c r="I39" s="1"/>
      <c r="J39" s="1"/>
      <c r="K39" s="1"/>
      <c r="L39" s="1"/>
      <c r="M39" s="1"/>
      <c r="N39" s="1"/>
      <c r="O39" s="1"/>
      <c r="P39" s="1"/>
      <c r="Q39" s="1"/>
      <c r="R39" s="1"/>
      <c r="S39" s="1"/>
      <c r="T39" s="1"/>
      <c r="U39" s="1"/>
      <c r="V39" s="1"/>
      <c r="W39" s="1"/>
      <c r="X39" s="66"/>
      <c r="Y39" s="66"/>
      <c r="Z39" s="66"/>
      <c r="AA39" s="66"/>
      <c r="AB39" s="66"/>
      <c r="AC39" s="1"/>
      <c r="AD39" s="1"/>
      <c r="AE39" s="1"/>
      <c r="AF39" s="1"/>
      <c r="AG39" s="1"/>
      <c r="AH39" s="1"/>
      <c r="AI39" s="1"/>
      <c r="AJ39" s="1"/>
      <c r="AK39" s="1"/>
      <c r="AL39" s="1"/>
      <c r="AM39" s="1"/>
      <c r="AN39" s="1"/>
      <c r="AO39" s="66"/>
      <c r="AP39" s="66"/>
      <c r="AQ39" s="1"/>
      <c r="AR39" s="1"/>
      <c r="AS39" s="1"/>
      <c r="AT39" s="1"/>
      <c r="AU39" s="1"/>
      <c r="AV39" s="1"/>
      <c r="AW39" s="1"/>
      <c r="AX39" s="1"/>
      <c r="AY39" s="1"/>
      <c r="AZ39" s="1"/>
      <c r="BA39" s="1"/>
      <c r="BB39" s="1"/>
      <c r="BC39" s="1"/>
      <c r="BD39" s="1"/>
      <c r="BE39" s="1"/>
      <c r="BF39" s="66"/>
      <c r="BG39" s="66"/>
      <c r="BH39" s="1"/>
      <c r="BI39" s="1"/>
      <c r="BJ39" s="1"/>
      <c r="BK39" s="1"/>
      <c r="BL39" s="1"/>
      <c r="BM39" s="1"/>
      <c r="BN39" s="1"/>
      <c r="BO39" s="1"/>
      <c r="BP39" s="1"/>
      <c r="BQ39" s="1"/>
      <c r="BR39" s="1"/>
      <c r="BS39" s="1"/>
      <c r="BT39" s="1"/>
      <c r="BU39" s="1"/>
      <c r="BV39" s="1"/>
      <c r="BW39" s="65"/>
      <c r="BX39" s="65"/>
      <c r="BY39" s="1"/>
      <c r="BZ39" s="1"/>
      <c r="CA39" s="1"/>
      <c r="CB39" s="1"/>
      <c r="CC39" s="1"/>
      <c r="CD39" s="1"/>
      <c r="CE39" s="1"/>
      <c r="CF39" s="1"/>
      <c r="CG39" s="1"/>
      <c r="CH39" s="1"/>
      <c r="CI39" s="1"/>
      <c r="CJ39" s="1"/>
      <c r="CK39" s="1"/>
      <c r="CL39" s="1"/>
      <c r="CM39" s="1"/>
      <c r="CN39" s="65"/>
      <c r="CO39" s="65"/>
      <c r="CP39" s="1"/>
      <c r="CQ39" s="1"/>
      <c r="CR39" s="1"/>
      <c r="CS39" s="1"/>
      <c r="CT39" s="1"/>
      <c r="CU39" s="1"/>
      <c r="CV39" s="1"/>
      <c r="CW39" s="1"/>
      <c r="CX39" s="1"/>
      <c r="CY39" s="1"/>
      <c r="CZ39" s="1"/>
      <c r="DA39" s="1"/>
      <c r="DB39" s="1"/>
      <c r="DC39" s="1"/>
      <c r="DD39" s="1"/>
      <c r="DE39" s="65"/>
      <c r="DF39" s="65"/>
      <c r="DG39" s="1"/>
      <c r="DH39" s="1"/>
      <c r="DI39" s="1"/>
      <c r="DJ39" s="1"/>
      <c r="DK39" s="1"/>
      <c r="DL39" s="1"/>
      <c r="DM39" s="1"/>
      <c r="DN39" s="1"/>
      <c r="DO39" s="1"/>
      <c r="DP39" s="1"/>
      <c r="DQ39" s="1"/>
      <c r="DR39" s="1"/>
      <c r="DS39" s="1"/>
      <c r="DT39" s="1"/>
      <c r="DU39" s="1"/>
      <c r="DV39" s="65"/>
      <c r="DW39" s="65"/>
      <c r="DX39" s="1"/>
      <c r="DY39" s="1"/>
      <c r="DZ39" s="1"/>
      <c r="EA39" s="1"/>
      <c r="EB39" s="1"/>
      <c r="EC39" s="1"/>
      <c r="ED39" s="1"/>
      <c r="EE39" s="1"/>
      <c r="EF39" s="1"/>
      <c r="EG39" s="1"/>
      <c r="EH39" s="1"/>
      <c r="EI39" s="1"/>
      <c r="EJ39" s="1"/>
      <c r="EK39" s="1"/>
      <c r="EL39" s="1"/>
      <c r="EM39" s="65"/>
      <c r="EN39" s="65"/>
      <c r="EO39" s="1"/>
      <c r="EP39" s="1"/>
      <c r="EQ39" s="1"/>
      <c r="ER39" s="1"/>
      <c r="ES39" s="1"/>
      <c r="ET39" s="1"/>
      <c r="EU39" s="1"/>
      <c r="EV39" s="1"/>
      <c r="EW39" s="1"/>
      <c r="EX39" s="1"/>
      <c r="EY39" s="1"/>
      <c r="EZ39" s="1"/>
      <c r="FA39" s="1"/>
      <c r="FB39" s="1"/>
      <c r="FC39" s="1"/>
      <c r="FD39" s="65"/>
      <c r="FE39" s="65"/>
      <c r="FF39" s="1"/>
      <c r="FG39" s="1"/>
      <c r="FH39" s="1"/>
      <c r="FI39" s="1"/>
      <c r="FJ39" s="1"/>
      <c r="FK39" s="1"/>
      <c r="FL39" s="1"/>
      <c r="FM39" s="1"/>
      <c r="FN39" s="1"/>
      <c r="FO39" s="1"/>
      <c r="FP39" s="1"/>
      <c r="FQ39" s="1"/>
      <c r="FR39" s="1"/>
      <c r="FS39" s="1"/>
      <c r="FT39" s="1"/>
      <c r="FU39" s="65"/>
      <c r="FV39" s="65"/>
      <c r="FW39" s="1"/>
      <c r="FX39" s="1"/>
      <c r="FY39" s="1"/>
      <c r="FZ39" s="1"/>
      <c r="GA39" s="1"/>
      <c r="GB39" s="1"/>
      <c r="GC39" s="1"/>
      <c r="GD39" s="1"/>
      <c r="GE39" s="1"/>
      <c r="GF39" s="1"/>
      <c r="GG39" s="1"/>
      <c r="GH39" s="1"/>
      <c r="GI39" s="1"/>
      <c r="GJ39" s="1"/>
      <c r="GK39" s="1"/>
      <c r="GL39" s="65"/>
      <c r="GM39" s="65"/>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row>
    <row r="40" spans="1:222" ht="18" customHeight="1">
      <c r="A40" s="1"/>
      <c r="B40" s="1">
        <f t="shared" si="41"/>
        <v>13</v>
      </c>
      <c r="C40" s="346" t="s">
        <v>241</v>
      </c>
      <c r="D40" s="341" t="e">
        <f ca="1">nomeaba13()</f>
        <v>#NAME?</v>
      </c>
      <c r="E40" s="1"/>
      <c r="F40" s="315"/>
      <c r="G40" s="65"/>
      <c r="H40" s="65"/>
      <c r="I40" s="1"/>
      <c r="J40" s="1"/>
      <c r="K40" s="1"/>
      <c r="L40" s="1"/>
      <c r="M40" s="1"/>
      <c r="N40" s="1"/>
      <c r="O40" s="1"/>
      <c r="P40" s="1"/>
      <c r="Q40" s="1"/>
      <c r="R40" s="1"/>
      <c r="S40" s="1"/>
      <c r="T40" s="1"/>
      <c r="U40" s="1"/>
      <c r="V40" s="1"/>
      <c r="W40" s="1"/>
      <c r="X40" s="66"/>
      <c r="Y40" s="66"/>
      <c r="Z40" s="66"/>
      <c r="AA40" s="66"/>
      <c r="AB40" s="66"/>
      <c r="AC40" s="1"/>
      <c r="AD40" s="1"/>
      <c r="AE40" s="1"/>
      <c r="AF40" s="1"/>
      <c r="AG40" s="1"/>
      <c r="AH40" s="1"/>
      <c r="AI40" s="1"/>
      <c r="AJ40" s="1"/>
      <c r="AK40" s="1"/>
      <c r="AL40" s="1"/>
      <c r="AM40" s="1"/>
      <c r="AN40" s="1"/>
      <c r="AO40" s="66"/>
      <c r="AP40" s="66"/>
      <c r="AQ40" s="1"/>
      <c r="AR40" s="1"/>
      <c r="AS40" s="1"/>
      <c r="AT40" s="1"/>
      <c r="AU40" s="1"/>
      <c r="AV40" s="1"/>
      <c r="AW40" s="1"/>
      <c r="AX40" s="1"/>
      <c r="AY40" s="1"/>
      <c r="AZ40" s="1"/>
      <c r="BA40" s="1"/>
      <c r="BB40" s="1"/>
      <c r="BC40" s="1"/>
      <c r="BD40" s="1"/>
      <c r="BE40" s="1"/>
      <c r="BF40" s="66"/>
      <c r="BG40" s="66"/>
      <c r="BH40" s="1"/>
      <c r="BI40" s="1"/>
      <c r="BJ40" s="1"/>
      <c r="BK40" s="1"/>
      <c r="BL40" s="1"/>
      <c r="BM40" s="1"/>
      <c r="BN40" s="1"/>
      <c r="BO40" s="1"/>
      <c r="BP40" s="1"/>
      <c r="BQ40" s="1"/>
      <c r="BR40" s="1"/>
      <c r="BS40" s="1"/>
      <c r="BT40" s="1"/>
      <c r="BU40" s="1"/>
      <c r="BV40" s="1"/>
      <c r="BW40" s="65"/>
      <c r="BX40" s="65"/>
      <c r="BY40" s="1"/>
      <c r="BZ40" s="1"/>
      <c r="CA40" s="1"/>
      <c r="CB40" s="1"/>
      <c r="CC40" s="1"/>
      <c r="CD40" s="1"/>
      <c r="CE40" s="1"/>
      <c r="CF40" s="1"/>
      <c r="CG40" s="1"/>
      <c r="CH40" s="1"/>
      <c r="CI40" s="1"/>
      <c r="CJ40" s="1"/>
      <c r="CK40" s="1"/>
      <c r="CL40" s="1"/>
      <c r="CM40" s="1"/>
      <c r="CN40" s="65"/>
      <c r="CO40" s="65"/>
      <c r="CP40" s="1"/>
      <c r="CQ40" s="1"/>
      <c r="CR40" s="1"/>
      <c r="CS40" s="1"/>
      <c r="CT40" s="1"/>
      <c r="CU40" s="1"/>
      <c r="CV40" s="1"/>
      <c r="CW40" s="1"/>
      <c r="CX40" s="1"/>
      <c r="CY40" s="1"/>
      <c r="CZ40" s="1"/>
      <c r="DA40" s="1"/>
      <c r="DB40" s="1"/>
      <c r="DC40" s="1"/>
      <c r="DD40" s="1"/>
      <c r="DE40" s="65"/>
      <c r="DF40" s="65"/>
      <c r="DG40" s="1"/>
      <c r="DH40" s="1"/>
      <c r="DI40" s="1"/>
      <c r="DJ40" s="1"/>
      <c r="DK40" s="1"/>
      <c r="DL40" s="1"/>
      <c r="DM40" s="1"/>
      <c r="DN40" s="1"/>
      <c r="DO40" s="1"/>
      <c r="DP40" s="1"/>
      <c r="DQ40" s="1"/>
      <c r="DR40" s="1"/>
      <c r="DS40" s="1"/>
      <c r="DT40" s="1"/>
      <c r="DU40" s="1"/>
      <c r="DV40" s="65"/>
      <c r="DW40" s="65"/>
      <c r="DX40" s="1"/>
      <c r="DY40" s="1"/>
      <c r="DZ40" s="1"/>
      <c r="EA40" s="1"/>
      <c r="EB40" s="1"/>
      <c r="EC40" s="1"/>
      <c r="ED40" s="1"/>
      <c r="EE40" s="1"/>
      <c r="EF40" s="1"/>
      <c r="EG40" s="1"/>
      <c r="EH40" s="1"/>
      <c r="EI40" s="1"/>
      <c r="EJ40" s="1"/>
      <c r="EK40" s="1"/>
      <c r="EL40" s="1"/>
      <c r="EM40" s="65"/>
      <c r="EN40" s="65"/>
      <c r="EO40" s="1"/>
      <c r="EP40" s="1"/>
      <c r="EQ40" s="1"/>
      <c r="ER40" s="1"/>
      <c r="ES40" s="1"/>
      <c r="ET40" s="1"/>
      <c r="EU40" s="1"/>
      <c r="EV40" s="1"/>
      <c r="EW40" s="1"/>
      <c r="EX40" s="1"/>
      <c r="EY40" s="1"/>
      <c r="EZ40" s="1"/>
      <c r="FA40" s="1"/>
      <c r="FB40" s="1"/>
      <c r="FC40" s="1"/>
      <c r="FD40" s="65"/>
      <c r="FE40" s="65"/>
      <c r="FF40" s="1"/>
      <c r="FG40" s="1"/>
      <c r="FH40" s="1"/>
      <c r="FI40" s="1"/>
      <c r="FJ40" s="1"/>
      <c r="FK40" s="1"/>
      <c r="FL40" s="1"/>
      <c r="FM40" s="1"/>
      <c r="FN40" s="1"/>
      <c r="FO40" s="1"/>
      <c r="FP40" s="1"/>
      <c r="FQ40" s="1"/>
      <c r="FR40" s="1"/>
      <c r="FS40" s="1"/>
      <c r="FT40" s="1"/>
      <c r="FU40" s="65"/>
      <c r="FV40" s="65"/>
      <c r="FW40" s="1"/>
      <c r="FX40" s="1"/>
      <c r="FY40" s="1"/>
      <c r="FZ40" s="1"/>
      <c r="GA40" s="1"/>
      <c r="GB40" s="1"/>
      <c r="GC40" s="1"/>
      <c r="GD40" s="1"/>
      <c r="GE40" s="1"/>
      <c r="GF40" s="1"/>
      <c r="GG40" s="1"/>
      <c r="GH40" s="1"/>
      <c r="GI40" s="1"/>
      <c r="GJ40" s="1"/>
      <c r="GK40" s="1"/>
      <c r="GL40" s="65"/>
      <c r="GM40" s="65"/>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row>
    <row r="41" spans="1:222" ht="15.75" customHeight="1">
      <c r="A41" s="1"/>
      <c r="B41" s="1">
        <f t="shared" si="41"/>
        <v>14</v>
      </c>
      <c r="C41" s="346" t="s">
        <v>242</v>
      </c>
      <c r="D41" s="341" t="e">
        <f ca="1">nomeaba14()</f>
        <v>#NAME?</v>
      </c>
      <c r="E41" s="1"/>
      <c r="F41" s="315"/>
      <c r="G41" s="65"/>
      <c r="H41" s="65"/>
      <c r="I41" s="1"/>
      <c r="J41" s="1"/>
      <c r="K41" s="1"/>
      <c r="L41" s="1"/>
      <c r="M41" s="1"/>
      <c r="N41" s="1"/>
      <c r="O41" s="1"/>
      <c r="P41" s="1"/>
      <c r="Q41" s="1"/>
      <c r="R41" s="1"/>
      <c r="S41" s="1"/>
      <c r="T41" s="1"/>
      <c r="U41" s="1"/>
      <c r="V41" s="1"/>
      <c r="W41" s="1"/>
      <c r="X41" s="66"/>
      <c r="Y41" s="66"/>
      <c r="Z41" s="66"/>
      <c r="AA41" s="66"/>
      <c r="AB41" s="66"/>
      <c r="AC41" s="1"/>
      <c r="AD41" s="1"/>
      <c r="AE41" s="1"/>
      <c r="AF41" s="1"/>
      <c r="AG41" s="1"/>
      <c r="AH41" s="1"/>
      <c r="AI41" s="1"/>
      <c r="AJ41" s="1"/>
      <c r="AK41" s="1"/>
      <c r="AL41" s="1"/>
      <c r="AM41" s="1"/>
      <c r="AN41" s="1"/>
      <c r="AO41" s="66"/>
      <c r="AP41" s="66"/>
      <c r="AQ41" s="1"/>
      <c r="AR41" s="1"/>
      <c r="AS41" s="1"/>
      <c r="AT41" s="1"/>
      <c r="AU41" s="1"/>
      <c r="AV41" s="1"/>
      <c r="AW41" s="1"/>
      <c r="AX41" s="1"/>
      <c r="AY41" s="1"/>
      <c r="AZ41" s="1"/>
      <c r="BA41" s="1"/>
      <c r="BB41" s="1"/>
      <c r="BC41" s="1"/>
      <c r="BD41" s="1"/>
      <c r="BE41" s="1"/>
      <c r="BF41" s="66"/>
      <c r="BG41" s="66"/>
      <c r="BH41" s="1"/>
      <c r="BI41" s="1"/>
      <c r="BJ41" s="1"/>
      <c r="BK41" s="1"/>
      <c r="BL41" s="1"/>
      <c r="BM41" s="1"/>
      <c r="BN41" s="1"/>
      <c r="BO41" s="1"/>
      <c r="BP41" s="1"/>
      <c r="BQ41" s="1"/>
      <c r="BR41" s="1"/>
      <c r="BS41" s="1"/>
      <c r="BT41" s="1"/>
      <c r="BU41" s="1"/>
      <c r="BV41" s="1"/>
      <c r="BW41" s="65"/>
      <c r="BX41" s="65"/>
      <c r="BY41" s="1"/>
      <c r="BZ41" s="1"/>
      <c r="CA41" s="1"/>
      <c r="CB41" s="1"/>
      <c r="CC41" s="1"/>
      <c r="CD41" s="1"/>
      <c r="CE41" s="1"/>
      <c r="CF41" s="1"/>
      <c r="CG41" s="1"/>
      <c r="CH41" s="1"/>
      <c r="CI41" s="1"/>
      <c r="CJ41" s="1"/>
      <c r="CK41" s="1"/>
      <c r="CL41" s="1"/>
      <c r="CM41" s="1"/>
      <c r="CN41" s="65"/>
      <c r="CO41" s="65"/>
      <c r="CP41" s="1"/>
      <c r="CQ41" s="1"/>
      <c r="CR41" s="1"/>
      <c r="CS41" s="1"/>
      <c r="CT41" s="1"/>
      <c r="CU41" s="1"/>
      <c r="CV41" s="1"/>
      <c r="CW41" s="1"/>
      <c r="CX41" s="1"/>
      <c r="CY41" s="1"/>
      <c r="CZ41" s="1"/>
      <c r="DA41" s="1"/>
      <c r="DB41" s="1"/>
      <c r="DC41" s="1"/>
      <c r="DD41" s="1"/>
      <c r="DE41" s="65"/>
      <c r="DF41" s="65"/>
      <c r="DG41" s="1"/>
      <c r="DH41" s="1"/>
      <c r="DI41" s="1"/>
      <c r="DJ41" s="1"/>
      <c r="DK41" s="1"/>
      <c r="DL41" s="1"/>
      <c r="DM41" s="1"/>
      <c r="DN41" s="1"/>
      <c r="DO41" s="1"/>
      <c r="DP41" s="1"/>
      <c r="DQ41" s="1"/>
      <c r="DR41" s="1"/>
      <c r="DS41" s="1"/>
      <c r="DT41" s="1"/>
      <c r="DU41" s="1"/>
      <c r="DV41" s="65"/>
      <c r="DW41" s="65"/>
      <c r="DX41" s="1"/>
      <c r="DY41" s="1"/>
      <c r="DZ41" s="1"/>
      <c r="EA41" s="1"/>
      <c r="EB41" s="1"/>
      <c r="EC41" s="1"/>
      <c r="ED41" s="1"/>
      <c r="EE41" s="1"/>
      <c r="EF41" s="1"/>
      <c r="EG41" s="1"/>
      <c r="EH41" s="1"/>
      <c r="EI41" s="1"/>
      <c r="EJ41" s="1"/>
      <c r="EK41" s="1"/>
      <c r="EL41" s="1"/>
      <c r="EM41" s="65"/>
      <c r="EN41" s="65"/>
      <c r="EO41" s="1"/>
      <c r="EP41" s="1"/>
      <c r="EQ41" s="1"/>
      <c r="ER41" s="1"/>
      <c r="ES41" s="1"/>
      <c r="ET41" s="1"/>
      <c r="EU41" s="1"/>
      <c r="EV41" s="1"/>
      <c r="EW41" s="1"/>
      <c r="EX41" s="1"/>
      <c r="EY41" s="1"/>
      <c r="EZ41" s="1"/>
      <c r="FA41" s="1"/>
      <c r="FB41" s="1"/>
      <c r="FC41" s="1"/>
      <c r="FD41" s="65"/>
      <c r="FE41" s="65"/>
      <c r="FF41" s="1"/>
      <c r="FG41" s="1"/>
      <c r="FH41" s="1"/>
      <c r="FI41" s="1"/>
      <c r="FJ41" s="1"/>
      <c r="FK41" s="1"/>
      <c r="FL41" s="1"/>
      <c r="FM41" s="1"/>
      <c r="FN41" s="1"/>
      <c r="FO41" s="1"/>
      <c r="FP41" s="1"/>
      <c r="FQ41" s="1"/>
      <c r="FR41" s="1"/>
      <c r="FS41" s="1"/>
      <c r="FT41" s="1"/>
      <c r="FU41" s="65"/>
      <c r="FV41" s="65"/>
      <c r="FW41" s="1"/>
      <c r="FX41" s="1"/>
      <c r="FY41" s="1"/>
      <c r="FZ41" s="1"/>
      <c r="GA41" s="1"/>
      <c r="GB41" s="1"/>
      <c r="GC41" s="1"/>
      <c r="GD41" s="1"/>
      <c r="GE41" s="1"/>
      <c r="GF41" s="1"/>
      <c r="GG41" s="1"/>
      <c r="GH41" s="1"/>
      <c r="GI41" s="1"/>
      <c r="GJ41" s="1"/>
      <c r="GK41" s="1"/>
      <c r="GL41" s="65"/>
      <c r="GM41" s="65"/>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row>
    <row r="42" spans="1:222" ht="15.75" customHeight="1">
      <c r="A42" s="1"/>
      <c r="B42" s="1">
        <f t="shared" si="41"/>
        <v>15</v>
      </c>
      <c r="C42" s="346" t="s">
        <v>243</v>
      </c>
      <c r="D42" s="341" t="e">
        <f ca="1">nomeaba15()</f>
        <v>#NAME?</v>
      </c>
      <c r="E42" s="1"/>
      <c r="F42" s="315"/>
      <c r="G42" s="65"/>
      <c r="H42" s="65"/>
      <c r="I42" s="1"/>
      <c r="J42" s="1"/>
      <c r="K42" s="1"/>
      <c r="L42" s="1"/>
      <c r="M42" s="1"/>
      <c r="N42" s="1"/>
      <c r="O42" s="1"/>
      <c r="P42" s="1"/>
      <c r="Q42" s="1"/>
      <c r="R42" s="1"/>
      <c r="S42" s="1"/>
      <c r="T42" s="1"/>
      <c r="U42" s="1"/>
      <c r="V42" s="1"/>
      <c r="W42" s="1"/>
      <c r="X42" s="66"/>
      <c r="Y42" s="66"/>
      <c r="Z42" s="66"/>
      <c r="AA42" s="66"/>
      <c r="AB42" s="66"/>
      <c r="AC42" s="1"/>
      <c r="AD42" s="1"/>
      <c r="AE42" s="1"/>
      <c r="AF42" s="1"/>
      <c r="AG42" s="1"/>
      <c r="AH42" s="1"/>
      <c r="AI42" s="1"/>
      <c r="AJ42" s="1"/>
      <c r="AK42" s="1"/>
      <c r="AL42" s="1"/>
      <c r="AM42" s="1"/>
      <c r="AN42" s="1"/>
      <c r="AO42" s="66"/>
      <c r="AP42" s="66"/>
      <c r="AQ42" s="1"/>
      <c r="AR42" s="1"/>
      <c r="AS42" s="1"/>
      <c r="AT42" s="1"/>
      <c r="AU42" s="1"/>
      <c r="AV42" s="1"/>
      <c r="AW42" s="1"/>
      <c r="AX42" s="1"/>
      <c r="AY42" s="1"/>
      <c r="AZ42" s="1"/>
      <c r="BA42" s="1"/>
      <c r="BB42" s="1"/>
      <c r="BC42" s="1"/>
      <c r="BD42" s="1"/>
      <c r="BE42" s="1"/>
      <c r="BF42" s="66"/>
      <c r="BG42" s="66"/>
      <c r="BH42" s="1"/>
      <c r="BI42" s="1"/>
      <c r="BJ42" s="1"/>
      <c r="BK42" s="1"/>
      <c r="BL42" s="1"/>
      <c r="BM42" s="1"/>
      <c r="BN42" s="1"/>
      <c r="BO42" s="1"/>
      <c r="BP42" s="1"/>
      <c r="BQ42" s="1"/>
      <c r="BR42" s="1"/>
      <c r="BS42" s="1"/>
      <c r="BT42" s="1"/>
      <c r="BU42" s="1"/>
      <c r="BV42" s="1"/>
      <c r="BW42" s="65"/>
      <c r="BX42" s="65"/>
      <c r="BY42" s="1"/>
      <c r="BZ42" s="1"/>
      <c r="CA42" s="1"/>
      <c r="CB42" s="1"/>
      <c r="CC42" s="1"/>
      <c r="CD42" s="1"/>
      <c r="CE42" s="1"/>
      <c r="CF42" s="1"/>
      <c r="CG42" s="1"/>
      <c r="CH42" s="1"/>
      <c r="CI42" s="1"/>
      <c r="CJ42" s="1"/>
      <c r="CK42" s="1"/>
      <c r="CL42" s="1"/>
      <c r="CM42" s="1"/>
      <c r="CN42" s="65"/>
      <c r="CO42" s="65"/>
      <c r="CP42" s="1"/>
      <c r="CQ42" s="1"/>
      <c r="CR42" s="1"/>
      <c r="CS42" s="1"/>
      <c r="CT42" s="1"/>
      <c r="CU42" s="1"/>
      <c r="CV42" s="1"/>
      <c r="CW42" s="1"/>
      <c r="CX42" s="1"/>
      <c r="CY42" s="1"/>
      <c r="CZ42" s="1"/>
      <c r="DA42" s="1"/>
      <c r="DB42" s="1"/>
      <c r="DC42" s="1"/>
      <c r="DD42" s="1"/>
      <c r="DE42" s="65"/>
      <c r="DF42" s="65"/>
      <c r="DG42" s="1"/>
      <c r="DH42" s="1"/>
      <c r="DI42" s="1"/>
      <c r="DJ42" s="1"/>
      <c r="DK42" s="1"/>
      <c r="DL42" s="1"/>
      <c r="DM42" s="1"/>
      <c r="DN42" s="1"/>
      <c r="DO42" s="1"/>
      <c r="DP42" s="1"/>
      <c r="DQ42" s="1"/>
      <c r="DR42" s="1"/>
      <c r="DS42" s="1"/>
      <c r="DT42" s="1"/>
      <c r="DU42" s="1"/>
      <c r="DV42" s="65"/>
      <c r="DW42" s="65"/>
      <c r="DX42" s="1"/>
      <c r="DY42" s="1"/>
      <c r="DZ42" s="1"/>
      <c r="EA42" s="1"/>
      <c r="EB42" s="1"/>
      <c r="EC42" s="1"/>
      <c r="ED42" s="1"/>
      <c r="EE42" s="1"/>
      <c r="EF42" s="1"/>
      <c r="EG42" s="1"/>
      <c r="EH42" s="1"/>
      <c r="EI42" s="1"/>
      <c r="EJ42" s="1"/>
      <c r="EK42" s="1"/>
      <c r="EL42" s="1"/>
      <c r="EM42" s="65"/>
      <c r="EN42" s="65"/>
      <c r="EO42" s="1"/>
      <c r="EP42" s="1"/>
      <c r="EQ42" s="1"/>
      <c r="ER42" s="1"/>
      <c r="ES42" s="1"/>
      <c r="ET42" s="1"/>
      <c r="EU42" s="1"/>
      <c r="EV42" s="1"/>
      <c r="EW42" s="1"/>
      <c r="EX42" s="1"/>
      <c r="EY42" s="1"/>
      <c r="EZ42" s="1"/>
      <c r="FA42" s="1"/>
      <c r="FB42" s="1"/>
      <c r="FC42" s="1"/>
      <c r="FD42" s="65"/>
      <c r="FE42" s="65"/>
      <c r="FF42" s="1"/>
      <c r="FG42" s="1"/>
      <c r="FH42" s="1"/>
      <c r="FI42" s="1"/>
      <c r="FJ42" s="1"/>
      <c r="FK42" s="1"/>
      <c r="FL42" s="1"/>
      <c r="FM42" s="1"/>
      <c r="FN42" s="1"/>
      <c r="FO42" s="1"/>
      <c r="FP42" s="1"/>
      <c r="FQ42" s="1"/>
      <c r="FR42" s="1"/>
      <c r="FS42" s="1"/>
      <c r="FT42" s="1"/>
      <c r="FU42" s="65"/>
      <c r="FV42" s="65"/>
      <c r="FW42" s="1"/>
      <c r="FX42" s="1"/>
      <c r="FY42" s="1"/>
      <c r="FZ42" s="1"/>
      <c r="GA42" s="1"/>
      <c r="GB42" s="1"/>
      <c r="GC42" s="1"/>
      <c r="GD42" s="1"/>
      <c r="GE42" s="1"/>
      <c r="GF42" s="1"/>
      <c r="GG42" s="1"/>
      <c r="GH42" s="1"/>
      <c r="GI42" s="1"/>
      <c r="GJ42" s="1"/>
      <c r="GK42" s="1"/>
      <c r="GL42" s="65"/>
      <c r="GM42" s="65"/>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row>
    <row r="43" spans="1:222" ht="15.75" customHeight="1">
      <c r="A43" s="1"/>
      <c r="B43" s="1">
        <f t="shared" si="41"/>
        <v>16</v>
      </c>
      <c r="C43" s="346" t="s">
        <v>244</v>
      </c>
      <c r="D43" s="341" t="e">
        <f ca="1">nomeaba16()</f>
        <v>#NAME?</v>
      </c>
      <c r="E43" s="1"/>
      <c r="F43" s="315"/>
      <c r="G43" s="65"/>
      <c r="H43" s="65"/>
      <c r="I43" s="1"/>
      <c r="J43" s="1"/>
      <c r="K43" s="1"/>
      <c r="L43" s="1"/>
      <c r="M43" s="1"/>
      <c r="N43" s="1"/>
      <c r="O43" s="1"/>
      <c r="P43" s="1"/>
      <c r="Q43" s="1"/>
      <c r="R43" s="1"/>
      <c r="S43" s="1"/>
      <c r="T43" s="1"/>
      <c r="U43" s="1"/>
      <c r="V43" s="1"/>
      <c r="W43" s="1"/>
      <c r="X43" s="66"/>
      <c r="Y43" s="66"/>
      <c r="Z43" s="66"/>
      <c r="AA43" s="66"/>
      <c r="AB43" s="66"/>
      <c r="AC43" s="1"/>
      <c r="AD43" s="1"/>
      <c r="AE43" s="1"/>
      <c r="AF43" s="1"/>
      <c r="AG43" s="1"/>
      <c r="AH43" s="1"/>
      <c r="AI43" s="1"/>
      <c r="AJ43" s="1"/>
      <c r="AK43" s="1"/>
      <c r="AL43" s="1"/>
      <c r="AM43" s="1"/>
      <c r="AN43" s="1"/>
      <c r="AO43" s="66"/>
      <c r="AP43" s="66"/>
      <c r="AQ43" s="1"/>
      <c r="AR43" s="1"/>
      <c r="AS43" s="1"/>
      <c r="AT43" s="1"/>
      <c r="AU43" s="1"/>
      <c r="AV43" s="1"/>
      <c r="AW43" s="1"/>
      <c r="AX43" s="1"/>
      <c r="AY43" s="1"/>
      <c r="AZ43" s="1"/>
      <c r="BA43" s="1"/>
      <c r="BB43" s="1"/>
      <c r="BC43" s="1"/>
      <c r="BD43" s="1"/>
      <c r="BE43" s="1"/>
      <c r="BF43" s="66"/>
      <c r="BG43" s="66"/>
      <c r="BH43" s="1"/>
      <c r="BI43" s="1"/>
      <c r="BJ43" s="1"/>
      <c r="BK43" s="1"/>
      <c r="BL43" s="1"/>
      <c r="BM43" s="1"/>
      <c r="BN43" s="1"/>
      <c r="BO43" s="1"/>
      <c r="BP43" s="1"/>
      <c r="BQ43" s="1"/>
      <c r="BR43" s="1"/>
      <c r="BS43" s="1"/>
      <c r="BT43" s="1"/>
      <c r="BU43" s="1"/>
      <c r="BV43" s="1"/>
      <c r="BW43" s="65"/>
      <c r="BX43" s="65"/>
      <c r="BY43" s="1"/>
      <c r="BZ43" s="1"/>
      <c r="CA43" s="1"/>
      <c r="CB43" s="1"/>
      <c r="CC43" s="1"/>
      <c r="CD43" s="1"/>
      <c r="CE43" s="1"/>
      <c r="CF43" s="1"/>
      <c r="CG43" s="1"/>
      <c r="CH43" s="1"/>
      <c r="CI43" s="1"/>
      <c r="CJ43" s="1"/>
      <c r="CK43" s="1"/>
      <c r="CL43" s="1"/>
      <c r="CM43" s="1"/>
      <c r="CN43" s="65"/>
      <c r="CO43" s="65"/>
      <c r="CP43" s="1"/>
      <c r="CQ43" s="1"/>
      <c r="CR43" s="1"/>
      <c r="CS43" s="1"/>
      <c r="CT43" s="1"/>
      <c r="CU43" s="1"/>
      <c r="CV43" s="1"/>
      <c r="CW43" s="1"/>
      <c r="CX43" s="1"/>
      <c r="CY43" s="1"/>
      <c r="CZ43" s="1"/>
      <c r="DA43" s="1"/>
      <c r="DB43" s="1"/>
      <c r="DC43" s="1"/>
      <c r="DD43" s="1"/>
      <c r="DE43" s="65"/>
      <c r="DF43" s="65"/>
      <c r="DG43" s="1"/>
      <c r="DH43" s="1"/>
      <c r="DI43" s="1"/>
      <c r="DJ43" s="1"/>
      <c r="DK43" s="1"/>
      <c r="DL43" s="1"/>
      <c r="DM43" s="1"/>
      <c r="DN43" s="1"/>
      <c r="DO43" s="1"/>
      <c r="DP43" s="1"/>
      <c r="DQ43" s="1"/>
      <c r="DR43" s="1"/>
      <c r="DS43" s="1"/>
      <c r="DT43" s="1"/>
      <c r="DU43" s="1"/>
      <c r="DV43" s="65"/>
      <c r="DW43" s="65"/>
      <c r="DX43" s="1"/>
      <c r="DY43" s="1"/>
      <c r="DZ43" s="1"/>
      <c r="EA43" s="1"/>
      <c r="EB43" s="1"/>
      <c r="EC43" s="1"/>
      <c r="ED43" s="1"/>
      <c r="EE43" s="1"/>
      <c r="EF43" s="1"/>
      <c r="EG43" s="1"/>
      <c r="EH43" s="1"/>
      <c r="EI43" s="1"/>
      <c r="EJ43" s="1"/>
      <c r="EK43" s="1"/>
      <c r="EL43" s="1"/>
      <c r="EM43" s="65"/>
      <c r="EN43" s="65"/>
      <c r="EO43" s="1"/>
      <c r="EP43" s="1"/>
      <c r="EQ43" s="1"/>
      <c r="ER43" s="1"/>
      <c r="ES43" s="1"/>
      <c r="ET43" s="1"/>
      <c r="EU43" s="1"/>
      <c r="EV43" s="1"/>
      <c r="EW43" s="1"/>
      <c r="EX43" s="1"/>
      <c r="EY43" s="1"/>
      <c r="EZ43" s="1"/>
      <c r="FA43" s="1"/>
      <c r="FB43" s="1"/>
      <c r="FC43" s="1"/>
      <c r="FD43" s="65"/>
      <c r="FE43" s="65"/>
      <c r="FF43" s="1"/>
      <c r="FG43" s="1"/>
      <c r="FH43" s="1"/>
      <c r="FI43" s="1"/>
      <c r="FJ43" s="1"/>
      <c r="FK43" s="1"/>
      <c r="FL43" s="1"/>
      <c r="FM43" s="1"/>
      <c r="FN43" s="1"/>
      <c r="FO43" s="1"/>
      <c r="FP43" s="1"/>
      <c r="FQ43" s="1"/>
      <c r="FR43" s="1"/>
      <c r="FS43" s="1"/>
      <c r="FT43" s="1"/>
      <c r="FU43" s="65"/>
      <c r="FV43" s="65"/>
      <c r="FW43" s="1"/>
      <c r="FX43" s="1"/>
      <c r="FY43" s="1"/>
      <c r="FZ43" s="1"/>
      <c r="GA43" s="1"/>
      <c r="GB43" s="1"/>
      <c r="GC43" s="1"/>
      <c r="GD43" s="1"/>
      <c r="GE43" s="1"/>
      <c r="GF43" s="1"/>
      <c r="GG43" s="1"/>
      <c r="GH43" s="1"/>
      <c r="GI43" s="1"/>
      <c r="GJ43" s="1"/>
      <c r="GK43" s="1"/>
      <c r="GL43" s="65"/>
      <c r="GM43" s="65"/>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row>
    <row r="44" spans="1:222" ht="15.75" customHeight="1">
      <c r="A44" s="1"/>
      <c r="B44" s="1">
        <f t="shared" si="41"/>
        <v>17</v>
      </c>
      <c r="C44" s="341" t="e">
        <f t="shared" ref="C44:D44" ca="1" si="43">nomeaba17()</f>
        <v>#NAME?</v>
      </c>
      <c r="D44" s="341" t="e">
        <f t="shared" ca="1" si="43"/>
        <v>#NAME?</v>
      </c>
      <c r="E44" s="1"/>
      <c r="F44" s="315"/>
      <c r="G44" s="65"/>
      <c r="H44" s="65"/>
      <c r="I44" s="1"/>
      <c r="J44" s="1"/>
      <c r="K44" s="1"/>
      <c r="L44" s="1"/>
      <c r="M44" s="1"/>
      <c r="N44" s="1"/>
      <c r="O44" s="1"/>
      <c r="P44" s="1"/>
      <c r="Q44" s="1"/>
      <c r="R44" s="1"/>
      <c r="S44" s="1"/>
      <c r="T44" s="1"/>
      <c r="U44" s="1"/>
      <c r="V44" s="1"/>
      <c r="W44" s="1"/>
      <c r="X44" s="66"/>
      <c r="Y44" s="66"/>
      <c r="Z44" s="66"/>
      <c r="AA44" s="66"/>
      <c r="AB44" s="66"/>
      <c r="AC44" s="1"/>
      <c r="AD44" s="1"/>
      <c r="AE44" s="1"/>
      <c r="AF44" s="1"/>
      <c r="AG44" s="1"/>
      <c r="AH44" s="1"/>
      <c r="AI44" s="1"/>
      <c r="AJ44" s="1"/>
      <c r="AK44" s="1"/>
      <c r="AL44" s="1"/>
      <c r="AM44" s="1"/>
      <c r="AN44" s="1"/>
      <c r="AO44" s="66"/>
      <c r="AP44" s="66"/>
      <c r="AQ44" s="1"/>
      <c r="AR44" s="1"/>
      <c r="AS44" s="1"/>
      <c r="AT44" s="1"/>
      <c r="AU44" s="1"/>
      <c r="AV44" s="1"/>
      <c r="AW44" s="1"/>
      <c r="AX44" s="1"/>
      <c r="AY44" s="1"/>
      <c r="AZ44" s="1"/>
      <c r="BA44" s="1"/>
      <c r="BB44" s="1"/>
      <c r="BC44" s="1"/>
      <c r="BD44" s="1"/>
      <c r="BE44" s="1"/>
      <c r="BF44" s="66"/>
      <c r="BG44" s="66"/>
      <c r="BH44" s="1"/>
      <c r="BI44" s="1"/>
      <c r="BJ44" s="1"/>
      <c r="BK44" s="1"/>
      <c r="BL44" s="1"/>
      <c r="BM44" s="1"/>
      <c r="BN44" s="1"/>
      <c r="BO44" s="1"/>
      <c r="BP44" s="1"/>
      <c r="BQ44" s="1"/>
      <c r="BR44" s="1"/>
      <c r="BS44" s="1"/>
      <c r="BT44" s="1"/>
      <c r="BU44" s="1"/>
      <c r="BV44" s="1"/>
      <c r="BW44" s="65"/>
      <c r="BX44" s="65"/>
      <c r="BY44" s="1"/>
      <c r="BZ44" s="1"/>
      <c r="CA44" s="1"/>
      <c r="CB44" s="1"/>
      <c r="CC44" s="1"/>
      <c r="CD44" s="1"/>
      <c r="CE44" s="1"/>
      <c r="CF44" s="1"/>
      <c r="CG44" s="1"/>
      <c r="CH44" s="1"/>
      <c r="CI44" s="1"/>
      <c r="CJ44" s="1"/>
      <c r="CK44" s="1"/>
      <c r="CL44" s="1"/>
      <c r="CM44" s="1"/>
      <c r="CN44" s="65"/>
      <c r="CO44" s="65"/>
      <c r="CP44" s="1"/>
      <c r="CQ44" s="1"/>
      <c r="CR44" s="1"/>
      <c r="CS44" s="1"/>
      <c r="CT44" s="1"/>
      <c r="CU44" s="1"/>
      <c r="CV44" s="1"/>
      <c r="CW44" s="1"/>
      <c r="CX44" s="1"/>
      <c r="CY44" s="1"/>
      <c r="CZ44" s="1"/>
      <c r="DA44" s="1"/>
      <c r="DB44" s="1"/>
      <c r="DC44" s="1"/>
      <c r="DD44" s="1"/>
      <c r="DE44" s="65"/>
      <c r="DF44" s="65"/>
      <c r="DG44" s="1"/>
      <c r="DH44" s="1"/>
      <c r="DI44" s="1"/>
      <c r="DJ44" s="1"/>
      <c r="DK44" s="1"/>
      <c r="DL44" s="1"/>
      <c r="DM44" s="1"/>
      <c r="DN44" s="1"/>
      <c r="DO44" s="1"/>
      <c r="DP44" s="1"/>
      <c r="DQ44" s="1"/>
      <c r="DR44" s="1"/>
      <c r="DS44" s="1"/>
      <c r="DT44" s="1"/>
      <c r="DU44" s="1"/>
      <c r="DV44" s="65"/>
      <c r="DW44" s="65"/>
      <c r="DX44" s="1"/>
      <c r="DY44" s="1"/>
      <c r="DZ44" s="1"/>
      <c r="EA44" s="1"/>
      <c r="EB44" s="1"/>
      <c r="EC44" s="1"/>
      <c r="ED44" s="1"/>
      <c r="EE44" s="1"/>
      <c r="EF44" s="1"/>
      <c r="EG44" s="1"/>
      <c r="EH44" s="1"/>
      <c r="EI44" s="1"/>
      <c r="EJ44" s="1"/>
      <c r="EK44" s="1"/>
      <c r="EL44" s="1"/>
      <c r="EM44" s="65"/>
      <c r="EN44" s="65"/>
      <c r="EO44" s="1"/>
      <c r="EP44" s="1"/>
      <c r="EQ44" s="1"/>
      <c r="ER44" s="1"/>
      <c r="ES44" s="1"/>
      <c r="ET44" s="1"/>
      <c r="EU44" s="1"/>
      <c r="EV44" s="1"/>
      <c r="EW44" s="1"/>
      <c r="EX44" s="1"/>
      <c r="EY44" s="1"/>
      <c r="EZ44" s="1"/>
      <c r="FA44" s="1"/>
      <c r="FB44" s="1"/>
      <c r="FC44" s="1"/>
      <c r="FD44" s="65"/>
      <c r="FE44" s="65"/>
      <c r="FF44" s="1"/>
      <c r="FG44" s="1"/>
      <c r="FH44" s="1"/>
      <c r="FI44" s="1"/>
      <c r="FJ44" s="1"/>
      <c r="FK44" s="1"/>
      <c r="FL44" s="1"/>
      <c r="FM44" s="1"/>
      <c r="FN44" s="1"/>
      <c r="FO44" s="1"/>
      <c r="FP44" s="1"/>
      <c r="FQ44" s="1"/>
      <c r="FR44" s="1"/>
      <c r="FS44" s="1"/>
      <c r="FT44" s="1"/>
      <c r="FU44" s="65"/>
      <c r="FV44" s="65"/>
      <c r="FW44" s="1"/>
      <c r="FX44" s="1"/>
      <c r="FY44" s="1"/>
      <c r="FZ44" s="1"/>
      <c r="GA44" s="1"/>
      <c r="GB44" s="1"/>
      <c r="GC44" s="1"/>
      <c r="GD44" s="1"/>
      <c r="GE44" s="1"/>
      <c r="GF44" s="1"/>
      <c r="GG44" s="1"/>
      <c r="GH44" s="1"/>
      <c r="GI44" s="1"/>
      <c r="GJ44" s="1"/>
      <c r="GK44" s="1"/>
      <c r="GL44" s="65"/>
      <c r="GM44" s="65"/>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row>
    <row r="45" spans="1:222" ht="15.75" customHeight="1">
      <c r="A45" s="1"/>
      <c r="B45" s="1"/>
      <c r="C45" s="325"/>
      <c r="D45" s="1"/>
      <c r="E45" s="1"/>
      <c r="F45" s="315"/>
      <c r="G45" s="65"/>
      <c r="H45" s="65"/>
      <c r="I45" s="1"/>
      <c r="J45" s="1"/>
      <c r="K45" s="1"/>
      <c r="L45" s="1"/>
      <c r="M45" s="1"/>
      <c r="N45" s="1"/>
      <c r="O45" s="1"/>
      <c r="P45" s="1"/>
      <c r="Q45" s="1"/>
      <c r="R45" s="1"/>
      <c r="S45" s="1"/>
      <c r="T45" s="1"/>
      <c r="U45" s="1"/>
      <c r="V45" s="1"/>
      <c r="W45" s="1"/>
      <c r="X45" s="66"/>
      <c r="Y45" s="66"/>
      <c r="Z45" s="66"/>
      <c r="AA45" s="66"/>
      <c r="AB45" s="66"/>
      <c r="AC45" s="1"/>
      <c r="AD45" s="1"/>
      <c r="AE45" s="1"/>
      <c r="AF45" s="1"/>
      <c r="AG45" s="1"/>
      <c r="AH45" s="1"/>
      <c r="AI45" s="1"/>
      <c r="AJ45" s="1"/>
      <c r="AK45" s="1"/>
      <c r="AL45" s="1"/>
      <c r="AM45" s="1"/>
      <c r="AN45" s="1"/>
      <c r="AO45" s="66"/>
      <c r="AP45" s="66"/>
      <c r="AQ45" s="1"/>
      <c r="AR45" s="1"/>
      <c r="AS45" s="1"/>
      <c r="AT45" s="1"/>
      <c r="AU45" s="1"/>
      <c r="AV45" s="1"/>
      <c r="AW45" s="1"/>
      <c r="AX45" s="1"/>
      <c r="AY45" s="1"/>
      <c r="AZ45" s="1"/>
      <c r="BA45" s="1"/>
      <c r="BB45" s="1"/>
      <c r="BC45" s="1"/>
      <c r="BD45" s="1"/>
      <c r="BE45" s="1"/>
      <c r="BF45" s="66"/>
      <c r="BG45" s="66"/>
      <c r="BH45" s="1"/>
      <c r="BI45" s="1"/>
      <c r="BJ45" s="1"/>
      <c r="BK45" s="1"/>
      <c r="BL45" s="1"/>
      <c r="BM45" s="1"/>
      <c r="BN45" s="1"/>
      <c r="BO45" s="1"/>
      <c r="BP45" s="1"/>
      <c r="BQ45" s="1"/>
      <c r="BR45" s="1"/>
      <c r="BS45" s="1"/>
      <c r="BT45" s="1"/>
      <c r="BU45" s="1"/>
      <c r="BV45" s="1"/>
      <c r="BW45" s="65"/>
      <c r="BX45" s="65"/>
      <c r="BY45" s="1"/>
      <c r="BZ45" s="1"/>
      <c r="CA45" s="1"/>
      <c r="CB45" s="1"/>
      <c r="CC45" s="1"/>
      <c r="CD45" s="1"/>
      <c r="CE45" s="1"/>
      <c r="CF45" s="1"/>
      <c r="CG45" s="1"/>
      <c r="CH45" s="1"/>
      <c r="CI45" s="1"/>
      <c r="CJ45" s="1"/>
      <c r="CK45" s="1"/>
      <c r="CL45" s="1"/>
      <c r="CM45" s="1"/>
      <c r="CN45" s="65"/>
      <c r="CO45" s="65"/>
      <c r="CP45" s="1"/>
      <c r="CQ45" s="1"/>
      <c r="CR45" s="1"/>
      <c r="CS45" s="1"/>
      <c r="CT45" s="1"/>
      <c r="CU45" s="1"/>
      <c r="CV45" s="1"/>
      <c r="CW45" s="1"/>
      <c r="CX45" s="1"/>
      <c r="CY45" s="1"/>
      <c r="CZ45" s="1"/>
      <c r="DA45" s="1"/>
      <c r="DB45" s="1"/>
      <c r="DC45" s="1"/>
      <c r="DD45" s="1"/>
      <c r="DE45" s="65"/>
      <c r="DF45" s="65"/>
      <c r="DG45" s="1"/>
      <c r="DH45" s="1"/>
      <c r="DI45" s="1"/>
      <c r="DJ45" s="1"/>
      <c r="DK45" s="1"/>
      <c r="DL45" s="1"/>
      <c r="DM45" s="1"/>
      <c r="DN45" s="1"/>
      <c r="DO45" s="1"/>
      <c r="DP45" s="1"/>
      <c r="DQ45" s="1"/>
      <c r="DR45" s="1"/>
      <c r="DS45" s="1"/>
      <c r="DT45" s="1"/>
      <c r="DU45" s="1"/>
      <c r="DV45" s="65"/>
      <c r="DW45" s="65"/>
      <c r="DX45" s="1"/>
      <c r="DY45" s="1"/>
      <c r="DZ45" s="1"/>
      <c r="EA45" s="1"/>
      <c r="EB45" s="1"/>
      <c r="EC45" s="1"/>
      <c r="ED45" s="1"/>
      <c r="EE45" s="1"/>
      <c r="EF45" s="1"/>
      <c r="EG45" s="1"/>
      <c r="EH45" s="1"/>
      <c r="EI45" s="1"/>
      <c r="EJ45" s="1"/>
      <c r="EK45" s="1"/>
      <c r="EL45" s="1"/>
      <c r="EM45" s="65"/>
      <c r="EN45" s="65"/>
      <c r="EO45" s="1"/>
      <c r="EP45" s="1"/>
      <c r="EQ45" s="1"/>
      <c r="ER45" s="1"/>
      <c r="ES45" s="1"/>
      <c r="ET45" s="1"/>
      <c r="EU45" s="1"/>
      <c r="EV45" s="1"/>
      <c r="EW45" s="1"/>
      <c r="EX45" s="1"/>
      <c r="EY45" s="1"/>
      <c r="EZ45" s="1"/>
      <c r="FA45" s="1"/>
      <c r="FB45" s="1"/>
      <c r="FC45" s="1"/>
      <c r="FD45" s="65"/>
      <c r="FE45" s="65"/>
      <c r="FF45" s="1"/>
      <c r="FG45" s="1"/>
      <c r="FH45" s="1"/>
      <c r="FI45" s="1"/>
      <c r="FJ45" s="1"/>
      <c r="FK45" s="1"/>
      <c r="FL45" s="1"/>
      <c r="FM45" s="1"/>
      <c r="FN45" s="1"/>
      <c r="FO45" s="1"/>
      <c r="FP45" s="1"/>
      <c r="FQ45" s="1"/>
      <c r="FR45" s="1"/>
      <c r="FS45" s="1"/>
      <c r="FT45" s="1"/>
      <c r="FU45" s="65"/>
      <c r="FV45" s="65"/>
      <c r="FW45" s="1"/>
      <c r="FX45" s="1"/>
      <c r="FY45" s="1"/>
      <c r="FZ45" s="1"/>
      <c r="GA45" s="1"/>
      <c r="GB45" s="1"/>
      <c r="GC45" s="1"/>
      <c r="GD45" s="1"/>
      <c r="GE45" s="1"/>
      <c r="GF45" s="1"/>
      <c r="GG45" s="1"/>
      <c r="GH45" s="1"/>
      <c r="GI45" s="1"/>
      <c r="GJ45" s="1"/>
      <c r="GK45" s="1"/>
      <c r="GL45" s="65"/>
      <c r="GM45" s="65"/>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row>
    <row r="46" spans="1:222" ht="15.75" customHeight="1">
      <c r="A46" s="1"/>
      <c r="B46" s="1"/>
      <c r="C46" s="325"/>
      <c r="D46" s="1"/>
      <c r="E46" s="1"/>
      <c r="F46" s="315"/>
      <c r="G46" s="65"/>
      <c r="H46" s="65"/>
      <c r="I46" s="1"/>
      <c r="J46" s="1"/>
      <c r="K46" s="1"/>
      <c r="L46" s="1"/>
      <c r="M46" s="1"/>
      <c r="N46" s="1"/>
      <c r="O46" s="1"/>
      <c r="P46" s="1"/>
      <c r="Q46" s="1"/>
      <c r="R46" s="1"/>
      <c r="S46" s="1"/>
      <c r="T46" s="1"/>
      <c r="U46" s="1"/>
      <c r="V46" s="1"/>
      <c r="W46" s="1"/>
      <c r="X46" s="66"/>
      <c r="Y46" s="66"/>
      <c r="Z46" s="66"/>
      <c r="AA46" s="66"/>
      <c r="AB46" s="66"/>
      <c r="AC46" s="1"/>
      <c r="AD46" s="1"/>
      <c r="AE46" s="1"/>
      <c r="AF46" s="1"/>
      <c r="AG46" s="1"/>
      <c r="AH46" s="1"/>
      <c r="AI46" s="1"/>
      <c r="AJ46" s="1"/>
      <c r="AK46" s="1"/>
      <c r="AL46" s="1"/>
      <c r="AM46" s="1"/>
      <c r="AN46" s="1"/>
      <c r="AO46" s="66"/>
      <c r="AP46" s="66"/>
      <c r="AQ46" s="1"/>
      <c r="AR46" s="1"/>
      <c r="AS46" s="1"/>
      <c r="AT46" s="1"/>
      <c r="AU46" s="1"/>
      <c r="AV46" s="1"/>
      <c r="AW46" s="1"/>
      <c r="AX46" s="1"/>
      <c r="AY46" s="1"/>
      <c r="AZ46" s="1"/>
      <c r="BA46" s="1"/>
      <c r="BB46" s="1"/>
      <c r="BC46" s="1"/>
      <c r="BD46" s="1"/>
      <c r="BE46" s="1"/>
      <c r="BF46" s="66"/>
      <c r="BG46" s="66"/>
      <c r="BH46" s="1"/>
      <c r="BI46" s="1"/>
      <c r="BJ46" s="1"/>
      <c r="BK46" s="1"/>
      <c r="BL46" s="1"/>
      <c r="BM46" s="1"/>
      <c r="BN46" s="1"/>
      <c r="BO46" s="1"/>
      <c r="BP46" s="1"/>
      <c r="BQ46" s="1"/>
      <c r="BR46" s="1"/>
      <c r="BS46" s="1"/>
      <c r="BT46" s="1"/>
      <c r="BU46" s="1"/>
      <c r="BV46" s="1"/>
      <c r="BW46" s="65"/>
      <c r="BX46" s="65"/>
      <c r="BY46" s="1"/>
      <c r="BZ46" s="1"/>
      <c r="CA46" s="1"/>
      <c r="CB46" s="1"/>
      <c r="CC46" s="1"/>
      <c r="CD46" s="1"/>
      <c r="CE46" s="1"/>
      <c r="CF46" s="1"/>
      <c r="CG46" s="1"/>
      <c r="CH46" s="1"/>
      <c r="CI46" s="1"/>
      <c r="CJ46" s="1"/>
      <c r="CK46" s="1"/>
      <c r="CL46" s="1"/>
      <c r="CM46" s="1"/>
      <c r="CN46" s="65"/>
      <c r="CO46" s="65"/>
      <c r="CP46" s="1"/>
      <c r="CQ46" s="1"/>
      <c r="CR46" s="1"/>
      <c r="CS46" s="1"/>
      <c r="CT46" s="1"/>
      <c r="CU46" s="1"/>
      <c r="CV46" s="1"/>
      <c r="CW46" s="1"/>
      <c r="CX46" s="1"/>
      <c r="CY46" s="1"/>
      <c r="CZ46" s="1"/>
      <c r="DA46" s="1"/>
      <c r="DB46" s="1"/>
      <c r="DC46" s="1"/>
      <c r="DD46" s="1"/>
      <c r="DE46" s="65"/>
      <c r="DF46" s="65"/>
      <c r="DG46" s="1"/>
      <c r="DH46" s="1"/>
      <c r="DI46" s="1"/>
      <c r="DJ46" s="1"/>
      <c r="DK46" s="1"/>
      <c r="DL46" s="1"/>
      <c r="DM46" s="1"/>
      <c r="DN46" s="1"/>
      <c r="DO46" s="1"/>
      <c r="DP46" s="1"/>
      <c r="DQ46" s="1"/>
      <c r="DR46" s="1"/>
      <c r="DS46" s="1"/>
      <c r="DT46" s="1"/>
      <c r="DU46" s="1"/>
      <c r="DV46" s="65"/>
      <c r="DW46" s="65"/>
      <c r="DX46" s="1"/>
      <c r="DY46" s="1"/>
      <c r="DZ46" s="1"/>
      <c r="EA46" s="1"/>
      <c r="EB46" s="1"/>
      <c r="EC46" s="1"/>
      <c r="ED46" s="1"/>
      <c r="EE46" s="1"/>
      <c r="EF46" s="1"/>
      <c r="EG46" s="1"/>
      <c r="EH46" s="1"/>
      <c r="EI46" s="1"/>
      <c r="EJ46" s="1"/>
      <c r="EK46" s="1"/>
      <c r="EL46" s="1"/>
      <c r="EM46" s="65"/>
      <c r="EN46" s="65"/>
      <c r="EO46" s="1"/>
      <c r="EP46" s="1"/>
      <c r="EQ46" s="1"/>
      <c r="ER46" s="1"/>
      <c r="ES46" s="1"/>
      <c r="ET46" s="1"/>
      <c r="EU46" s="1"/>
      <c r="EV46" s="1"/>
      <c r="EW46" s="1"/>
      <c r="EX46" s="1"/>
      <c r="EY46" s="1"/>
      <c r="EZ46" s="1"/>
      <c r="FA46" s="1"/>
      <c r="FB46" s="1"/>
      <c r="FC46" s="1"/>
      <c r="FD46" s="65"/>
      <c r="FE46" s="65"/>
      <c r="FF46" s="1"/>
      <c r="FG46" s="1"/>
      <c r="FH46" s="1"/>
      <c r="FI46" s="1"/>
      <c r="FJ46" s="1"/>
      <c r="FK46" s="1"/>
      <c r="FL46" s="1"/>
      <c r="FM46" s="1"/>
      <c r="FN46" s="1"/>
      <c r="FO46" s="1"/>
      <c r="FP46" s="1"/>
      <c r="FQ46" s="1"/>
      <c r="FR46" s="1"/>
      <c r="FS46" s="1"/>
      <c r="FT46" s="1"/>
      <c r="FU46" s="65"/>
      <c r="FV46" s="65"/>
      <c r="FW46" s="1"/>
      <c r="FX46" s="1"/>
      <c r="FY46" s="1"/>
      <c r="FZ46" s="1"/>
      <c r="GA46" s="1"/>
      <c r="GB46" s="1"/>
      <c r="GC46" s="1"/>
      <c r="GD46" s="1"/>
      <c r="GE46" s="1"/>
      <c r="GF46" s="1"/>
      <c r="GG46" s="1"/>
      <c r="GH46" s="1"/>
      <c r="GI46" s="1"/>
      <c r="GJ46" s="1"/>
      <c r="GK46" s="1"/>
      <c r="GL46" s="65"/>
      <c r="GM46" s="65"/>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row>
    <row r="47" spans="1:222" ht="15.75" customHeight="1">
      <c r="A47" s="1"/>
      <c r="B47" s="1"/>
      <c r="C47" s="325"/>
      <c r="D47" s="1"/>
      <c r="E47" s="1"/>
      <c r="F47" s="315"/>
      <c r="G47" s="65"/>
      <c r="H47" s="65"/>
      <c r="I47" s="1"/>
      <c r="J47" s="1"/>
      <c r="K47" s="1"/>
      <c r="L47" s="1"/>
      <c r="M47" s="1"/>
      <c r="N47" s="1"/>
      <c r="O47" s="1"/>
      <c r="P47" s="1"/>
      <c r="Q47" s="1"/>
      <c r="R47" s="1"/>
      <c r="S47" s="1"/>
      <c r="T47" s="1"/>
      <c r="U47" s="1"/>
      <c r="V47" s="1"/>
      <c r="W47" s="1"/>
      <c r="X47" s="66"/>
      <c r="Y47" s="66"/>
      <c r="Z47" s="66"/>
      <c r="AA47" s="66"/>
      <c r="AB47" s="66"/>
      <c r="AC47" s="1"/>
      <c r="AD47" s="1"/>
      <c r="AE47" s="1"/>
      <c r="AF47" s="1"/>
      <c r="AG47" s="1"/>
      <c r="AH47" s="1"/>
      <c r="AI47" s="1"/>
      <c r="AJ47" s="1"/>
      <c r="AK47" s="1"/>
      <c r="AL47" s="1"/>
      <c r="AM47" s="1"/>
      <c r="AN47" s="1"/>
      <c r="AO47" s="66"/>
      <c r="AP47" s="66"/>
      <c r="AQ47" s="1"/>
      <c r="AR47" s="1"/>
      <c r="AS47" s="1"/>
      <c r="AT47" s="1"/>
      <c r="AU47" s="1"/>
      <c r="AV47" s="1"/>
      <c r="AW47" s="1"/>
      <c r="AX47" s="1"/>
      <c r="AY47" s="1"/>
      <c r="AZ47" s="1"/>
      <c r="BA47" s="1"/>
      <c r="BB47" s="1"/>
      <c r="BC47" s="1"/>
      <c r="BD47" s="1"/>
      <c r="BE47" s="1"/>
      <c r="BF47" s="66"/>
      <c r="BG47" s="66"/>
      <c r="BH47" s="1"/>
      <c r="BI47" s="1"/>
      <c r="BJ47" s="1"/>
      <c r="BK47" s="1"/>
      <c r="BL47" s="1"/>
      <c r="BM47" s="1"/>
      <c r="BN47" s="1"/>
      <c r="BO47" s="1"/>
      <c r="BP47" s="1"/>
      <c r="BQ47" s="1"/>
      <c r="BR47" s="1"/>
      <c r="BS47" s="1"/>
      <c r="BT47" s="1"/>
      <c r="BU47" s="1"/>
      <c r="BV47" s="1"/>
      <c r="BW47" s="65"/>
      <c r="BX47" s="65"/>
      <c r="BY47" s="1"/>
      <c r="BZ47" s="1"/>
      <c r="CA47" s="1"/>
      <c r="CB47" s="1"/>
      <c r="CC47" s="1"/>
      <c r="CD47" s="1"/>
      <c r="CE47" s="1"/>
      <c r="CF47" s="1"/>
      <c r="CG47" s="1"/>
      <c r="CH47" s="1"/>
      <c r="CI47" s="1"/>
      <c r="CJ47" s="1"/>
      <c r="CK47" s="1"/>
      <c r="CL47" s="1"/>
      <c r="CM47" s="1"/>
      <c r="CN47" s="65"/>
      <c r="CO47" s="65"/>
      <c r="CP47" s="1"/>
      <c r="CQ47" s="1"/>
      <c r="CR47" s="1"/>
      <c r="CS47" s="1"/>
      <c r="CT47" s="1"/>
      <c r="CU47" s="1"/>
      <c r="CV47" s="1"/>
      <c r="CW47" s="1"/>
      <c r="CX47" s="1"/>
      <c r="CY47" s="1"/>
      <c r="CZ47" s="1"/>
      <c r="DA47" s="1"/>
      <c r="DB47" s="1"/>
      <c r="DC47" s="1"/>
      <c r="DD47" s="1"/>
      <c r="DE47" s="65"/>
      <c r="DF47" s="65"/>
      <c r="DG47" s="1"/>
      <c r="DH47" s="1"/>
      <c r="DI47" s="1"/>
      <c r="DJ47" s="1"/>
      <c r="DK47" s="1"/>
      <c r="DL47" s="1"/>
      <c r="DM47" s="1"/>
      <c r="DN47" s="1"/>
      <c r="DO47" s="1"/>
      <c r="DP47" s="1"/>
      <c r="DQ47" s="1"/>
      <c r="DR47" s="1"/>
      <c r="DS47" s="1"/>
      <c r="DT47" s="1"/>
      <c r="DU47" s="1"/>
      <c r="DV47" s="65"/>
      <c r="DW47" s="65"/>
      <c r="DX47" s="1"/>
      <c r="DY47" s="1"/>
      <c r="DZ47" s="1"/>
      <c r="EA47" s="1"/>
      <c r="EB47" s="1"/>
      <c r="EC47" s="1"/>
      <c r="ED47" s="1"/>
      <c r="EE47" s="1"/>
      <c r="EF47" s="1"/>
      <c r="EG47" s="1"/>
      <c r="EH47" s="1"/>
      <c r="EI47" s="1"/>
      <c r="EJ47" s="1"/>
      <c r="EK47" s="1"/>
      <c r="EL47" s="1"/>
      <c r="EM47" s="65"/>
      <c r="EN47" s="65"/>
      <c r="EO47" s="1"/>
      <c r="EP47" s="1"/>
      <c r="EQ47" s="1"/>
      <c r="ER47" s="1"/>
      <c r="ES47" s="1"/>
      <c r="ET47" s="1"/>
      <c r="EU47" s="1"/>
      <c r="EV47" s="1"/>
      <c r="EW47" s="1"/>
      <c r="EX47" s="1"/>
      <c r="EY47" s="1"/>
      <c r="EZ47" s="1"/>
      <c r="FA47" s="1"/>
      <c r="FB47" s="1"/>
      <c r="FC47" s="1"/>
      <c r="FD47" s="65"/>
      <c r="FE47" s="65"/>
      <c r="FF47" s="1"/>
      <c r="FG47" s="1"/>
      <c r="FH47" s="1"/>
      <c r="FI47" s="1"/>
      <c r="FJ47" s="1"/>
      <c r="FK47" s="1"/>
      <c r="FL47" s="1"/>
      <c r="FM47" s="1"/>
      <c r="FN47" s="1"/>
      <c r="FO47" s="1"/>
      <c r="FP47" s="1"/>
      <c r="FQ47" s="1"/>
      <c r="FR47" s="1"/>
      <c r="FS47" s="1"/>
      <c r="FT47" s="1"/>
      <c r="FU47" s="65"/>
      <c r="FV47" s="65"/>
      <c r="FW47" s="1"/>
      <c r="FX47" s="1"/>
      <c r="FY47" s="1"/>
      <c r="FZ47" s="1"/>
      <c r="GA47" s="1"/>
      <c r="GB47" s="1"/>
      <c r="GC47" s="1"/>
      <c r="GD47" s="1"/>
      <c r="GE47" s="1"/>
      <c r="GF47" s="1"/>
      <c r="GG47" s="1"/>
      <c r="GH47" s="1"/>
      <c r="GI47" s="1"/>
      <c r="GJ47" s="1"/>
      <c r="GK47" s="1"/>
      <c r="GL47" s="65"/>
      <c r="GM47" s="65"/>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row>
    <row r="48" spans="1:222" ht="15.75" customHeight="1">
      <c r="A48" s="1"/>
      <c r="B48" s="1"/>
      <c r="C48" s="325"/>
      <c r="D48" s="1"/>
      <c r="E48" s="1"/>
      <c r="F48" s="315"/>
      <c r="G48" s="65"/>
      <c r="H48" s="65"/>
      <c r="I48" s="1"/>
      <c r="J48" s="1"/>
      <c r="K48" s="1"/>
      <c r="L48" s="1"/>
      <c r="M48" s="1"/>
      <c r="N48" s="1"/>
      <c r="O48" s="1"/>
      <c r="P48" s="1"/>
      <c r="Q48" s="1"/>
      <c r="R48" s="1"/>
      <c r="S48" s="1"/>
      <c r="T48" s="1"/>
      <c r="U48" s="1"/>
      <c r="V48" s="1"/>
      <c r="W48" s="1"/>
      <c r="X48" s="66"/>
      <c r="Y48" s="66"/>
      <c r="Z48" s="66"/>
      <c r="AA48" s="66"/>
      <c r="AB48" s="66"/>
      <c r="AC48" s="1"/>
      <c r="AD48" s="1"/>
      <c r="AE48" s="1"/>
      <c r="AF48" s="1"/>
      <c r="AG48" s="1"/>
      <c r="AH48" s="1"/>
      <c r="AI48" s="1"/>
      <c r="AJ48" s="1"/>
      <c r="AK48" s="1"/>
      <c r="AL48" s="1"/>
      <c r="AM48" s="1"/>
      <c r="AN48" s="1"/>
      <c r="AO48" s="66"/>
      <c r="AP48" s="66"/>
      <c r="AQ48" s="1"/>
      <c r="AR48" s="1"/>
      <c r="AS48" s="1"/>
      <c r="AT48" s="1"/>
      <c r="AU48" s="1"/>
      <c r="AV48" s="1"/>
      <c r="AW48" s="1"/>
      <c r="AX48" s="1"/>
      <c r="AY48" s="1"/>
      <c r="AZ48" s="1"/>
      <c r="BA48" s="1"/>
      <c r="BB48" s="1"/>
      <c r="BC48" s="1"/>
      <c r="BD48" s="1"/>
      <c r="BE48" s="1"/>
      <c r="BF48" s="66"/>
      <c r="BG48" s="66"/>
      <c r="BH48" s="1"/>
      <c r="BI48" s="1"/>
      <c r="BJ48" s="1"/>
      <c r="BK48" s="1"/>
      <c r="BL48" s="1"/>
      <c r="BM48" s="1"/>
      <c r="BN48" s="1"/>
      <c r="BO48" s="1"/>
      <c r="BP48" s="1"/>
      <c r="BQ48" s="1"/>
      <c r="BR48" s="1"/>
      <c r="BS48" s="1"/>
      <c r="BT48" s="1"/>
      <c r="BU48" s="1"/>
      <c r="BV48" s="1"/>
      <c r="BW48" s="65"/>
      <c r="BX48" s="65"/>
      <c r="BY48" s="1"/>
      <c r="BZ48" s="1"/>
      <c r="CA48" s="1"/>
      <c r="CB48" s="1"/>
      <c r="CC48" s="1"/>
      <c r="CD48" s="1"/>
      <c r="CE48" s="1"/>
      <c r="CF48" s="1"/>
      <c r="CG48" s="1"/>
      <c r="CH48" s="1"/>
      <c r="CI48" s="1"/>
      <c r="CJ48" s="1"/>
      <c r="CK48" s="1"/>
      <c r="CL48" s="1"/>
      <c r="CM48" s="1"/>
      <c r="CN48" s="65"/>
      <c r="CO48" s="65"/>
      <c r="CP48" s="1"/>
      <c r="CQ48" s="1"/>
      <c r="CR48" s="1"/>
      <c r="CS48" s="1"/>
      <c r="CT48" s="1"/>
      <c r="CU48" s="1"/>
      <c r="CV48" s="1"/>
      <c r="CW48" s="1"/>
      <c r="CX48" s="1"/>
      <c r="CY48" s="1"/>
      <c r="CZ48" s="1"/>
      <c r="DA48" s="1"/>
      <c r="DB48" s="1"/>
      <c r="DC48" s="1"/>
      <c r="DD48" s="1"/>
      <c r="DE48" s="65"/>
      <c r="DF48" s="65"/>
      <c r="DG48" s="1"/>
      <c r="DH48" s="1"/>
      <c r="DI48" s="1"/>
      <c r="DJ48" s="1"/>
      <c r="DK48" s="1"/>
      <c r="DL48" s="1"/>
      <c r="DM48" s="1"/>
      <c r="DN48" s="1"/>
      <c r="DO48" s="1"/>
      <c r="DP48" s="1"/>
      <c r="DQ48" s="1"/>
      <c r="DR48" s="1"/>
      <c r="DS48" s="1"/>
      <c r="DT48" s="1"/>
      <c r="DU48" s="1"/>
      <c r="DV48" s="65"/>
      <c r="DW48" s="65"/>
      <c r="DX48" s="1"/>
      <c r="DY48" s="1"/>
      <c r="DZ48" s="1"/>
      <c r="EA48" s="1"/>
      <c r="EB48" s="1"/>
      <c r="EC48" s="1"/>
      <c r="ED48" s="1"/>
      <c r="EE48" s="1"/>
      <c r="EF48" s="1"/>
      <c r="EG48" s="1"/>
      <c r="EH48" s="1"/>
      <c r="EI48" s="1"/>
      <c r="EJ48" s="1"/>
      <c r="EK48" s="1"/>
      <c r="EL48" s="1"/>
      <c r="EM48" s="65"/>
      <c r="EN48" s="65"/>
      <c r="EO48" s="1"/>
      <c r="EP48" s="1"/>
      <c r="EQ48" s="1"/>
      <c r="ER48" s="1"/>
      <c r="ES48" s="1"/>
      <c r="ET48" s="1"/>
      <c r="EU48" s="1"/>
      <c r="EV48" s="1"/>
      <c r="EW48" s="1"/>
      <c r="EX48" s="1"/>
      <c r="EY48" s="1"/>
      <c r="EZ48" s="1"/>
      <c r="FA48" s="1"/>
      <c r="FB48" s="1"/>
      <c r="FC48" s="1"/>
      <c r="FD48" s="65"/>
      <c r="FE48" s="65"/>
      <c r="FF48" s="1"/>
      <c r="FG48" s="1"/>
      <c r="FH48" s="1"/>
      <c r="FI48" s="1"/>
      <c r="FJ48" s="1"/>
      <c r="FK48" s="1"/>
      <c r="FL48" s="1"/>
      <c r="FM48" s="1"/>
      <c r="FN48" s="1"/>
      <c r="FO48" s="1"/>
      <c r="FP48" s="1"/>
      <c r="FQ48" s="1"/>
      <c r="FR48" s="1"/>
      <c r="FS48" s="1"/>
      <c r="FT48" s="1"/>
      <c r="FU48" s="65"/>
      <c r="FV48" s="65"/>
      <c r="FW48" s="1"/>
      <c r="FX48" s="1"/>
      <c r="FY48" s="1"/>
      <c r="FZ48" s="1"/>
      <c r="GA48" s="1"/>
      <c r="GB48" s="1"/>
      <c r="GC48" s="1"/>
      <c r="GD48" s="1"/>
      <c r="GE48" s="1"/>
      <c r="GF48" s="1"/>
      <c r="GG48" s="1"/>
      <c r="GH48" s="1"/>
      <c r="GI48" s="1"/>
      <c r="GJ48" s="1"/>
      <c r="GK48" s="1"/>
      <c r="GL48" s="65"/>
      <c r="GM48" s="65"/>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row>
    <row r="49" spans="1:222" ht="15.75" customHeight="1">
      <c r="A49" s="1"/>
      <c r="B49" s="1"/>
      <c r="C49" s="325"/>
      <c r="D49" s="1"/>
      <c r="E49" s="1"/>
      <c r="F49" s="315"/>
      <c r="G49" s="65"/>
      <c r="H49" s="65"/>
      <c r="I49" s="1"/>
      <c r="J49" s="1"/>
      <c r="K49" s="1"/>
      <c r="L49" s="1"/>
      <c r="M49" s="1"/>
      <c r="N49" s="1"/>
      <c r="O49" s="1"/>
      <c r="P49" s="1"/>
      <c r="Q49" s="1"/>
      <c r="R49" s="1"/>
      <c r="S49" s="1"/>
      <c r="T49" s="1"/>
      <c r="U49" s="1"/>
      <c r="V49" s="1"/>
      <c r="W49" s="1"/>
      <c r="X49" s="66"/>
      <c r="Y49" s="66"/>
      <c r="Z49" s="66"/>
      <c r="AA49" s="66"/>
      <c r="AB49" s="66"/>
      <c r="AC49" s="1"/>
      <c r="AD49" s="1"/>
      <c r="AE49" s="1"/>
      <c r="AF49" s="1"/>
      <c r="AG49" s="1"/>
      <c r="AH49" s="1"/>
      <c r="AI49" s="1"/>
      <c r="AJ49" s="1"/>
      <c r="AK49" s="1"/>
      <c r="AL49" s="1"/>
      <c r="AM49" s="1"/>
      <c r="AN49" s="1"/>
      <c r="AO49" s="66"/>
      <c r="AP49" s="66"/>
      <c r="AQ49" s="1"/>
      <c r="AR49" s="1"/>
      <c r="AS49" s="1"/>
      <c r="AT49" s="1"/>
      <c r="AU49" s="1"/>
      <c r="AV49" s="1"/>
      <c r="AW49" s="1"/>
      <c r="AX49" s="1"/>
      <c r="AY49" s="1"/>
      <c r="AZ49" s="1"/>
      <c r="BA49" s="1"/>
      <c r="BB49" s="1"/>
      <c r="BC49" s="1"/>
      <c r="BD49" s="1"/>
      <c r="BE49" s="1"/>
      <c r="BF49" s="66"/>
      <c r="BG49" s="66"/>
      <c r="BH49" s="1"/>
      <c r="BI49" s="1"/>
      <c r="BJ49" s="1"/>
      <c r="BK49" s="1"/>
      <c r="BL49" s="1"/>
      <c r="BM49" s="1"/>
      <c r="BN49" s="1"/>
      <c r="BO49" s="1"/>
      <c r="BP49" s="1"/>
      <c r="BQ49" s="1"/>
      <c r="BR49" s="1"/>
      <c r="BS49" s="1"/>
      <c r="BT49" s="1"/>
      <c r="BU49" s="1"/>
      <c r="BV49" s="1"/>
      <c r="BW49" s="65"/>
      <c r="BX49" s="65"/>
      <c r="BY49" s="1"/>
      <c r="BZ49" s="1"/>
      <c r="CA49" s="1"/>
      <c r="CB49" s="1"/>
      <c r="CC49" s="1"/>
      <c r="CD49" s="1"/>
      <c r="CE49" s="1"/>
      <c r="CF49" s="1"/>
      <c r="CG49" s="1"/>
      <c r="CH49" s="1"/>
      <c r="CI49" s="1"/>
      <c r="CJ49" s="1"/>
      <c r="CK49" s="1"/>
      <c r="CL49" s="1"/>
      <c r="CM49" s="1"/>
      <c r="CN49" s="65"/>
      <c r="CO49" s="65"/>
      <c r="CP49" s="1"/>
      <c r="CQ49" s="1"/>
      <c r="CR49" s="1"/>
      <c r="CS49" s="1"/>
      <c r="CT49" s="1"/>
      <c r="CU49" s="1"/>
      <c r="CV49" s="1"/>
      <c r="CW49" s="1"/>
      <c r="CX49" s="1"/>
      <c r="CY49" s="1"/>
      <c r="CZ49" s="1"/>
      <c r="DA49" s="1"/>
      <c r="DB49" s="1"/>
      <c r="DC49" s="1"/>
      <c r="DD49" s="1"/>
      <c r="DE49" s="65"/>
      <c r="DF49" s="65"/>
      <c r="DG49" s="1"/>
      <c r="DH49" s="1"/>
      <c r="DI49" s="1"/>
      <c r="DJ49" s="1"/>
      <c r="DK49" s="1"/>
      <c r="DL49" s="1"/>
      <c r="DM49" s="1"/>
      <c r="DN49" s="1"/>
      <c r="DO49" s="1"/>
      <c r="DP49" s="1"/>
      <c r="DQ49" s="1"/>
      <c r="DR49" s="1"/>
      <c r="DS49" s="1"/>
      <c r="DT49" s="1"/>
      <c r="DU49" s="1"/>
      <c r="DV49" s="65"/>
      <c r="DW49" s="65"/>
      <c r="DX49" s="1"/>
      <c r="DY49" s="1"/>
      <c r="DZ49" s="1"/>
      <c r="EA49" s="1"/>
      <c r="EB49" s="1"/>
      <c r="EC49" s="1"/>
      <c r="ED49" s="1"/>
      <c r="EE49" s="1"/>
      <c r="EF49" s="1"/>
      <c r="EG49" s="1"/>
      <c r="EH49" s="1"/>
      <c r="EI49" s="1"/>
      <c r="EJ49" s="1"/>
      <c r="EK49" s="1"/>
      <c r="EL49" s="1"/>
      <c r="EM49" s="65"/>
      <c r="EN49" s="65"/>
      <c r="EO49" s="1"/>
      <c r="EP49" s="1"/>
      <c r="EQ49" s="1"/>
      <c r="ER49" s="1"/>
      <c r="ES49" s="1"/>
      <c r="ET49" s="1"/>
      <c r="EU49" s="1"/>
      <c r="EV49" s="1"/>
      <c r="EW49" s="1"/>
      <c r="EX49" s="1"/>
      <c r="EY49" s="1"/>
      <c r="EZ49" s="1"/>
      <c r="FA49" s="1"/>
      <c r="FB49" s="1"/>
      <c r="FC49" s="1"/>
      <c r="FD49" s="65"/>
      <c r="FE49" s="65"/>
      <c r="FF49" s="1"/>
      <c r="FG49" s="1"/>
      <c r="FH49" s="1"/>
      <c r="FI49" s="1"/>
      <c r="FJ49" s="1"/>
      <c r="FK49" s="1"/>
      <c r="FL49" s="1"/>
      <c r="FM49" s="1"/>
      <c r="FN49" s="1"/>
      <c r="FO49" s="1"/>
      <c r="FP49" s="1"/>
      <c r="FQ49" s="1"/>
      <c r="FR49" s="1"/>
      <c r="FS49" s="1"/>
      <c r="FT49" s="1"/>
      <c r="FU49" s="65"/>
      <c r="FV49" s="65"/>
      <c r="FW49" s="1"/>
      <c r="FX49" s="1"/>
      <c r="FY49" s="1"/>
      <c r="FZ49" s="1"/>
      <c r="GA49" s="1"/>
      <c r="GB49" s="1"/>
      <c r="GC49" s="1"/>
      <c r="GD49" s="1"/>
      <c r="GE49" s="1"/>
      <c r="GF49" s="1"/>
      <c r="GG49" s="1"/>
      <c r="GH49" s="1"/>
      <c r="GI49" s="1"/>
      <c r="GJ49" s="1"/>
      <c r="GK49" s="1"/>
      <c r="GL49" s="65"/>
      <c r="GM49" s="65"/>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row>
    <row r="50" spans="1:222" ht="15.75" customHeight="1">
      <c r="A50" s="1"/>
      <c r="B50" s="1"/>
      <c r="C50" s="325"/>
      <c r="D50" s="1"/>
      <c r="E50" s="1"/>
      <c r="F50" s="315"/>
      <c r="G50" s="65"/>
      <c r="H50" s="65"/>
      <c r="I50" s="1"/>
      <c r="J50" s="1"/>
      <c r="K50" s="1"/>
      <c r="L50" s="1"/>
      <c r="M50" s="1"/>
      <c r="N50" s="1"/>
      <c r="O50" s="1"/>
      <c r="P50" s="1"/>
      <c r="Q50" s="1"/>
      <c r="R50" s="1"/>
      <c r="S50" s="1"/>
      <c r="T50" s="1"/>
      <c r="U50" s="1"/>
      <c r="V50" s="1"/>
      <c r="W50" s="1"/>
      <c r="X50" s="66"/>
      <c r="Y50" s="66"/>
      <c r="Z50" s="66"/>
      <c r="AA50" s="66"/>
      <c r="AB50" s="66"/>
      <c r="AC50" s="1"/>
      <c r="AD50" s="1"/>
      <c r="AE50" s="1"/>
      <c r="AF50" s="1"/>
      <c r="AG50" s="1"/>
      <c r="AH50" s="1"/>
      <c r="AI50" s="1"/>
      <c r="AJ50" s="1"/>
      <c r="AK50" s="1"/>
      <c r="AL50" s="1"/>
      <c r="AM50" s="1"/>
      <c r="AN50" s="1"/>
      <c r="AO50" s="66"/>
      <c r="AP50" s="66"/>
      <c r="AQ50" s="1"/>
      <c r="AR50" s="1"/>
      <c r="AS50" s="1"/>
      <c r="AT50" s="1"/>
      <c r="AU50" s="1"/>
      <c r="AV50" s="1"/>
      <c r="AW50" s="1"/>
      <c r="AX50" s="1"/>
      <c r="AY50" s="1"/>
      <c r="AZ50" s="1"/>
      <c r="BA50" s="1"/>
      <c r="BB50" s="1"/>
      <c r="BC50" s="1"/>
      <c r="BD50" s="1"/>
      <c r="BE50" s="1"/>
      <c r="BF50" s="66"/>
      <c r="BG50" s="66"/>
      <c r="BH50" s="1"/>
      <c r="BI50" s="1"/>
      <c r="BJ50" s="1"/>
      <c r="BK50" s="1"/>
      <c r="BL50" s="1"/>
      <c r="BM50" s="1"/>
      <c r="BN50" s="1"/>
      <c r="BO50" s="1"/>
      <c r="BP50" s="1"/>
      <c r="BQ50" s="1"/>
      <c r="BR50" s="1"/>
      <c r="BS50" s="1"/>
      <c r="BT50" s="1"/>
      <c r="BU50" s="1"/>
      <c r="BV50" s="1"/>
      <c r="BW50" s="65"/>
      <c r="BX50" s="65"/>
      <c r="BY50" s="1"/>
      <c r="BZ50" s="1"/>
      <c r="CA50" s="1"/>
      <c r="CB50" s="1"/>
      <c r="CC50" s="1"/>
      <c r="CD50" s="1"/>
      <c r="CE50" s="1"/>
      <c r="CF50" s="1"/>
      <c r="CG50" s="1"/>
      <c r="CH50" s="1"/>
      <c r="CI50" s="1"/>
      <c r="CJ50" s="1"/>
      <c r="CK50" s="1"/>
      <c r="CL50" s="1"/>
      <c r="CM50" s="1"/>
      <c r="CN50" s="65"/>
      <c r="CO50" s="65"/>
      <c r="CP50" s="1"/>
      <c r="CQ50" s="1"/>
      <c r="CR50" s="1"/>
      <c r="CS50" s="1"/>
      <c r="CT50" s="1"/>
      <c r="CU50" s="1"/>
      <c r="CV50" s="1"/>
      <c r="CW50" s="1"/>
      <c r="CX50" s="1"/>
      <c r="CY50" s="1"/>
      <c r="CZ50" s="1"/>
      <c r="DA50" s="1"/>
      <c r="DB50" s="1"/>
      <c r="DC50" s="1"/>
      <c r="DD50" s="1"/>
      <c r="DE50" s="65"/>
      <c r="DF50" s="65"/>
      <c r="DG50" s="1"/>
      <c r="DH50" s="1"/>
      <c r="DI50" s="1"/>
      <c r="DJ50" s="1"/>
      <c r="DK50" s="1"/>
      <c r="DL50" s="1"/>
      <c r="DM50" s="1"/>
      <c r="DN50" s="1"/>
      <c r="DO50" s="1"/>
      <c r="DP50" s="1"/>
      <c r="DQ50" s="1"/>
      <c r="DR50" s="1"/>
      <c r="DS50" s="1"/>
      <c r="DT50" s="1"/>
      <c r="DU50" s="1"/>
      <c r="DV50" s="65"/>
      <c r="DW50" s="65"/>
      <c r="DX50" s="1"/>
      <c r="DY50" s="1"/>
      <c r="DZ50" s="1"/>
      <c r="EA50" s="1"/>
      <c r="EB50" s="1"/>
      <c r="EC50" s="1"/>
      <c r="ED50" s="1"/>
      <c r="EE50" s="1"/>
      <c r="EF50" s="1"/>
      <c r="EG50" s="1"/>
      <c r="EH50" s="1"/>
      <c r="EI50" s="1"/>
      <c r="EJ50" s="1"/>
      <c r="EK50" s="1"/>
      <c r="EL50" s="1"/>
      <c r="EM50" s="65"/>
      <c r="EN50" s="65"/>
      <c r="EO50" s="1"/>
      <c r="EP50" s="1"/>
      <c r="EQ50" s="1"/>
      <c r="ER50" s="1"/>
      <c r="ES50" s="1"/>
      <c r="ET50" s="1"/>
      <c r="EU50" s="1"/>
      <c r="EV50" s="1"/>
      <c r="EW50" s="1"/>
      <c r="EX50" s="1"/>
      <c r="EY50" s="1"/>
      <c r="EZ50" s="1"/>
      <c r="FA50" s="1"/>
      <c r="FB50" s="1"/>
      <c r="FC50" s="1"/>
      <c r="FD50" s="65"/>
      <c r="FE50" s="65"/>
      <c r="FF50" s="1"/>
      <c r="FG50" s="1"/>
      <c r="FH50" s="1"/>
      <c r="FI50" s="1"/>
      <c r="FJ50" s="1"/>
      <c r="FK50" s="1"/>
      <c r="FL50" s="1"/>
      <c r="FM50" s="1"/>
      <c r="FN50" s="1"/>
      <c r="FO50" s="1"/>
      <c r="FP50" s="1"/>
      <c r="FQ50" s="1"/>
      <c r="FR50" s="1"/>
      <c r="FS50" s="1"/>
      <c r="FT50" s="1"/>
      <c r="FU50" s="65"/>
      <c r="FV50" s="65"/>
      <c r="FW50" s="1"/>
      <c r="FX50" s="1"/>
      <c r="FY50" s="1"/>
      <c r="FZ50" s="1"/>
      <c r="GA50" s="1"/>
      <c r="GB50" s="1"/>
      <c r="GC50" s="1"/>
      <c r="GD50" s="1"/>
      <c r="GE50" s="1"/>
      <c r="GF50" s="1"/>
      <c r="GG50" s="1"/>
      <c r="GH50" s="1"/>
      <c r="GI50" s="1"/>
      <c r="GJ50" s="1"/>
      <c r="GK50" s="1"/>
      <c r="GL50" s="65"/>
      <c r="GM50" s="65"/>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row>
    <row r="51" spans="1:222" ht="15.75" customHeight="1">
      <c r="A51" s="1"/>
      <c r="B51" s="1"/>
      <c r="C51" s="325"/>
      <c r="D51" s="1"/>
      <c r="E51" s="1"/>
      <c r="F51" s="315"/>
      <c r="G51" s="65"/>
      <c r="H51" s="65"/>
      <c r="I51" s="1"/>
      <c r="J51" s="1"/>
      <c r="K51" s="1"/>
      <c r="L51" s="1"/>
      <c r="M51" s="1"/>
      <c r="N51" s="1"/>
      <c r="O51" s="1"/>
      <c r="P51" s="1"/>
      <c r="Q51" s="1"/>
      <c r="R51" s="1"/>
      <c r="S51" s="1"/>
      <c r="T51" s="1"/>
      <c r="U51" s="1"/>
      <c r="V51" s="1"/>
      <c r="W51" s="1"/>
      <c r="X51" s="66"/>
      <c r="Y51" s="66"/>
      <c r="Z51" s="66"/>
      <c r="AA51" s="66"/>
      <c r="AB51" s="66"/>
      <c r="AC51" s="1"/>
      <c r="AD51" s="1"/>
      <c r="AE51" s="1"/>
      <c r="AF51" s="1"/>
      <c r="AG51" s="1"/>
      <c r="AH51" s="1"/>
      <c r="AI51" s="1"/>
      <c r="AJ51" s="1"/>
      <c r="AK51" s="1"/>
      <c r="AL51" s="1"/>
      <c r="AM51" s="1"/>
      <c r="AN51" s="1"/>
      <c r="AO51" s="66"/>
      <c r="AP51" s="66"/>
      <c r="AQ51" s="1"/>
      <c r="AR51" s="1"/>
      <c r="AS51" s="1"/>
      <c r="AT51" s="1"/>
      <c r="AU51" s="1"/>
      <c r="AV51" s="1"/>
      <c r="AW51" s="1"/>
      <c r="AX51" s="1"/>
      <c r="AY51" s="1"/>
      <c r="AZ51" s="1"/>
      <c r="BA51" s="1"/>
      <c r="BB51" s="1"/>
      <c r="BC51" s="1"/>
      <c r="BD51" s="1"/>
      <c r="BE51" s="1"/>
      <c r="BF51" s="66"/>
      <c r="BG51" s="66"/>
      <c r="BH51" s="1"/>
      <c r="BI51" s="1"/>
      <c r="BJ51" s="1"/>
      <c r="BK51" s="1"/>
      <c r="BL51" s="1"/>
      <c r="BM51" s="1"/>
      <c r="BN51" s="1"/>
      <c r="BO51" s="1"/>
      <c r="BP51" s="1"/>
      <c r="BQ51" s="1"/>
      <c r="BR51" s="1"/>
      <c r="BS51" s="1"/>
      <c r="BT51" s="1"/>
      <c r="BU51" s="1"/>
      <c r="BV51" s="1"/>
      <c r="BW51" s="65"/>
      <c r="BX51" s="65"/>
      <c r="BY51" s="1"/>
      <c r="BZ51" s="1"/>
      <c r="CA51" s="1"/>
      <c r="CB51" s="1"/>
      <c r="CC51" s="1"/>
      <c r="CD51" s="1"/>
      <c r="CE51" s="1"/>
      <c r="CF51" s="1"/>
      <c r="CG51" s="1"/>
      <c r="CH51" s="1"/>
      <c r="CI51" s="1"/>
      <c r="CJ51" s="1"/>
      <c r="CK51" s="1"/>
      <c r="CL51" s="1"/>
      <c r="CM51" s="1"/>
      <c r="CN51" s="65"/>
      <c r="CO51" s="65"/>
      <c r="CP51" s="1"/>
      <c r="CQ51" s="1"/>
      <c r="CR51" s="1"/>
      <c r="CS51" s="1"/>
      <c r="CT51" s="1"/>
      <c r="CU51" s="1"/>
      <c r="CV51" s="1"/>
      <c r="CW51" s="1"/>
      <c r="CX51" s="1"/>
      <c r="CY51" s="1"/>
      <c r="CZ51" s="1"/>
      <c r="DA51" s="1"/>
      <c r="DB51" s="1"/>
      <c r="DC51" s="1"/>
      <c r="DD51" s="1"/>
      <c r="DE51" s="65"/>
      <c r="DF51" s="65"/>
      <c r="DG51" s="1"/>
      <c r="DH51" s="1"/>
      <c r="DI51" s="1"/>
      <c r="DJ51" s="1"/>
      <c r="DK51" s="1"/>
      <c r="DL51" s="1"/>
      <c r="DM51" s="1"/>
      <c r="DN51" s="1"/>
      <c r="DO51" s="1"/>
      <c r="DP51" s="1"/>
      <c r="DQ51" s="1"/>
      <c r="DR51" s="1"/>
      <c r="DS51" s="1"/>
      <c r="DT51" s="1"/>
      <c r="DU51" s="1"/>
      <c r="DV51" s="65"/>
      <c r="DW51" s="65"/>
      <c r="DX51" s="1"/>
      <c r="DY51" s="1"/>
      <c r="DZ51" s="1"/>
      <c r="EA51" s="1"/>
      <c r="EB51" s="1"/>
      <c r="EC51" s="1"/>
      <c r="ED51" s="1"/>
      <c r="EE51" s="1"/>
      <c r="EF51" s="1"/>
      <c r="EG51" s="1"/>
      <c r="EH51" s="1"/>
      <c r="EI51" s="1"/>
      <c r="EJ51" s="1"/>
      <c r="EK51" s="1"/>
      <c r="EL51" s="1"/>
      <c r="EM51" s="65"/>
      <c r="EN51" s="65"/>
      <c r="EO51" s="1"/>
      <c r="EP51" s="1"/>
      <c r="EQ51" s="1"/>
      <c r="ER51" s="1"/>
      <c r="ES51" s="1"/>
      <c r="ET51" s="1"/>
      <c r="EU51" s="1"/>
      <c r="EV51" s="1"/>
      <c r="EW51" s="1"/>
      <c r="EX51" s="1"/>
      <c r="EY51" s="1"/>
      <c r="EZ51" s="1"/>
      <c r="FA51" s="1"/>
      <c r="FB51" s="1"/>
      <c r="FC51" s="1"/>
      <c r="FD51" s="65"/>
      <c r="FE51" s="65"/>
      <c r="FF51" s="1"/>
      <c r="FG51" s="1"/>
      <c r="FH51" s="1"/>
      <c r="FI51" s="1"/>
      <c r="FJ51" s="1"/>
      <c r="FK51" s="1"/>
      <c r="FL51" s="1"/>
      <c r="FM51" s="1"/>
      <c r="FN51" s="1"/>
      <c r="FO51" s="1"/>
      <c r="FP51" s="1"/>
      <c r="FQ51" s="1"/>
      <c r="FR51" s="1"/>
      <c r="FS51" s="1"/>
      <c r="FT51" s="1"/>
      <c r="FU51" s="65"/>
      <c r="FV51" s="65"/>
      <c r="FW51" s="1"/>
      <c r="FX51" s="1"/>
      <c r="FY51" s="1"/>
      <c r="FZ51" s="1"/>
      <c r="GA51" s="1"/>
      <c r="GB51" s="1"/>
      <c r="GC51" s="1"/>
      <c r="GD51" s="1"/>
      <c r="GE51" s="1"/>
      <c r="GF51" s="1"/>
      <c r="GG51" s="1"/>
      <c r="GH51" s="1"/>
      <c r="GI51" s="1"/>
      <c r="GJ51" s="1"/>
      <c r="GK51" s="1"/>
      <c r="GL51" s="65"/>
      <c r="GM51" s="65"/>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row>
    <row r="52" spans="1:222" ht="15.75" customHeight="1">
      <c r="A52" s="1"/>
      <c r="B52" s="1"/>
      <c r="C52" s="325"/>
      <c r="D52" s="1"/>
      <c r="E52" s="1"/>
      <c r="F52" s="315"/>
      <c r="G52" s="65"/>
      <c r="H52" s="65"/>
      <c r="I52" s="1"/>
      <c r="J52" s="1"/>
      <c r="K52" s="1"/>
      <c r="L52" s="1"/>
      <c r="M52" s="1"/>
      <c r="N52" s="1"/>
      <c r="O52" s="1"/>
      <c r="P52" s="1"/>
      <c r="Q52" s="1"/>
      <c r="R52" s="1"/>
      <c r="S52" s="1"/>
      <c r="T52" s="1"/>
      <c r="U52" s="1"/>
      <c r="V52" s="1"/>
      <c r="W52" s="1"/>
      <c r="X52" s="66"/>
      <c r="Y52" s="66"/>
      <c r="Z52" s="66"/>
      <c r="AA52" s="66"/>
      <c r="AB52" s="66"/>
      <c r="AC52" s="1"/>
      <c r="AD52" s="1"/>
      <c r="AE52" s="1"/>
      <c r="AF52" s="1"/>
      <c r="AG52" s="1"/>
      <c r="AH52" s="1"/>
      <c r="AI52" s="1"/>
      <c r="AJ52" s="1"/>
      <c r="AK52" s="1"/>
      <c r="AL52" s="1"/>
      <c r="AM52" s="1"/>
      <c r="AN52" s="1"/>
      <c r="AO52" s="66"/>
      <c r="AP52" s="66"/>
      <c r="AQ52" s="1"/>
      <c r="AR52" s="1"/>
      <c r="AS52" s="1"/>
      <c r="AT52" s="1"/>
      <c r="AU52" s="1"/>
      <c r="AV52" s="1"/>
      <c r="AW52" s="1"/>
      <c r="AX52" s="1"/>
      <c r="AY52" s="1"/>
      <c r="AZ52" s="1"/>
      <c r="BA52" s="1"/>
      <c r="BB52" s="1"/>
      <c r="BC52" s="1"/>
      <c r="BD52" s="1"/>
      <c r="BE52" s="1"/>
      <c r="BF52" s="66"/>
      <c r="BG52" s="66"/>
      <c r="BH52" s="1"/>
      <c r="BI52" s="1"/>
      <c r="BJ52" s="1"/>
      <c r="BK52" s="1"/>
      <c r="BL52" s="1"/>
      <c r="BM52" s="1"/>
      <c r="BN52" s="1"/>
      <c r="BO52" s="1"/>
      <c r="BP52" s="1"/>
      <c r="BQ52" s="1"/>
      <c r="BR52" s="1"/>
      <c r="BS52" s="1"/>
      <c r="BT52" s="1"/>
      <c r="BU52" s="1"/>
      <c r="BV52" s="1"/>
      <c r="BW52" s="65"/>
      <c r="BX52" s="65"/>
      <c r="BY52" s="1"/>
      <c r="BZ52" s="1"/>
      <c r="CA52" s="1"/>
      <c r="CB52" s="1"/>
      <c r="CC52" s="1"/>
      <c r="CD52" s="1"/>
      <c r="CE52" s="1"/>
      <c r="CF52" s="1"/>
      <c r="CG52" s="1"/>
      <c r="CH52" s="1"/>
      <c r="CI52" s="1"/>
      <c r="CJ52" s="1"/>
      <c r="CK52" s="1"/>
      <c r="CL52" s="1"/>
      <c r="CM52" s="1"/>
      <c r="CN52" s="65"/>
      <c r="CO52" s="65"/>
      <c r="CP52" s="1"/>
      <c r="CQ52" s="1"/>
      <c r="CR52" s="1"/>
      <c r="CS52" s="1"/>
      <c r="CT52" s="1"/>
      <c r="CU52" s="1"/>
      <c r="CV52" s="1"/>
      <c r="CW52" s="1"/>
      <c r="CX52" s="1"/>
      <c r="CY52" s="1"/>
      <c r="CZ52" s="1"/>
      <c r="DA52" s="1"/>
      <c r="DB52" s="1"/>
      <c r="DC52" s="1"/>
      <c r="DD52" s="1"/>
      <c r="DE52" s="65"/>
      <c r="DF52" s="65"/>
      <c r="DG52" s="1"/>
      <c r="DH52" s="1"/>
      <c r="DI52" s="1"/>
      <c r="DJ52" s="1"/>
      <c r="DK52" s="1"/>
      <c r="DL52" s="1"/>
      <c r="DM52" s="1"/>
      <c r="DN52" s="1"/>
      <c r="DO52" s="1"/>
      <c r="DP52" s="1"/>
      <c r="DQ52" s="1"/>
      <c r="DR52" s="1"/>
      <c r="DS52" s="1"/>
      <c r="DT52" s="1"/>
      <c r="DU52" s="1"/>
      <c r="DV52" s="65"/>
      <c r="DW52" s="65"/>
      <c r="DX52" s="1"/>
      <c r="DY52" s="1"/>
      <c r="DZ52" s="1"/>
      <c r="EA52" s="1"/>
      <c r="EB52" s="1"/>
      <c r="EC52" s="1"/>
      <c r="ED52" s="1"/>
      <c r="EE52" s="1"/>
      <c r="EF52" s="1"/>
      <c r="EG52" s="1"/>
      <c r="EH52" s="1"/>
      <c r="EI52" s="1"/>
      <c r="EJ52" s="1"/>
      <c r="EK52" s="1"/>
      <c r="EL52" s="1"/>
      <c r="EM52" s="65"/>
      <c r="EN52" s="65"/>
      <c r="EO52" s="1"/>
      <c r="EP52" s="1"/>
      <c r="EQ52" s="1"/>
      <c r="ER52" s="1"/>
      <c r="ES52" s="1"/>
      <c r="ET52" s="1"/>
      <c r="EU52" s="1"/>
      <c r="EV52" s="1"/>
      <c r="EW52" s="1"/>
      <c r="EX52" s="1"/>
      <c r="EY52" s="1"/>
      <c r="EZ52" s="1"/>
      <c r="FA52" s="1"/>
      <c r="FB52" s="1"/>
      <c r="FC52" s="1"/>
      <c r="FD52" s="65"/>
      <c r="FE52" s="65"/>
      <c r="FF52" s="1"/>
      <c r="FG52" s="1"/>
      <c r="FH52" s="1"/>
      <c r="FI52" s="1"/>
      <c r="FJ52" s="1"/>
      <c r="FK52" s="1"/>
      <c r="FL52" s="1"/>
      <c r="FM52" s="1"/>
      <c r="FN52" s="1"/>
      <c r="FO52" s="1"/>
      <c r="FP52" s="1"/>
      <c r="FQ52" s="1"/>
      <c r="FR52" s="1"/>
      <c r="FS52" s="1"/>
      <c r="FT52" s="1"/>
      <c r="FU52" s="65"/>
      <c r="FV52" s="65"/>
      <c r="FW52" s="1"/>
      <c r="FX52" s="1"/>
      <c r="FY52" s="1"/>
      <c r="FZ52" s="1"/>
      <c r="GA52" s="1"/>
      <c r="GB52" s="1"/>
      <c r="GC52" s="1"/>
      <c r="GD52" s="1"/>
      <c r="GE52" s="1"/>
      <c r="GF52" s="1"/>
      <c r="GG52" s="1"/>
      <c r="GH52" s="1"/>
      <c r="GI52" s="1"/>
      <c r="GJ52" s="1"/>
      <c r="GK52" s="1"/>
      <c r="GL52" s="65"/>
      <c r="GM52" s="65"/>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row>
    <row r="53" spans="1:222" ht="15.75" customHeight="1">
      <c r="A53" s="1"/>
      <c r="B53" s="1"/>
      <c r="C53" s="1"/>
      <c r="D53" s="1"/>
      <c r="E53" s="1"/>
      <c r="F53" s="315"/>
      <c r="G53" s="65"/>
      <c r="H53" s="65"/>
      <c r="I53" s="1"/>
      <c r="J53" s="1"/>
      <c r="K53" s="1"/>
      <c r="L53" s="1"/>
      <c r="M53" s="1"/>
      <c r="N53" s="1"/>
      <c r="O53" s="1"/>
      <c r="P53" s="1"/>
      <c r="Q53" s="1"/>
      <c r="R53" s="1"/>
      <c r="S53" s="1"/>
      <c r="T53" s="1"/>
      <c r="U53" s="1"/>
      <c r="V53" s="1"/>
      <c r="W53" s="1"/>
      <c r="X53" s="66"/>
      <c r="Y53" s="66"/>
      <c r="Z53" s="66"/>
      <c r="AA53" s="66"/>
      <c r="AB53" s="66"/>
      <c r="AC53" s="1"/>
      <c r="AD53" s="1"/>
      <c r="AE53" s="1"/>
      <c r="AF53" s="1"/>
      <c r="AG53" s="1"/>
      <c r="AH53" s="1"/>
      <c r="AI53" s="1"/>
      <c r="AJ53" s="1"/>
      <c r="AK53" s="1"/>
      <c r="AL53" s="1"/>
      <c r="AM53" s="1"/>
      <c r="AN53" s="1"/>
      <c r="AO53" s="66"/>
      <c r="AP53" s="66"/>
      <c r="AQ53" s="1"/>
      <c r="AR53" s="1"/>
      <c r="AS53" s="1"/>
      <c r="AT53" s="1"/>
      <c r="AU53" s="1"/>
      <c r="AV53" s="1"/>
      <c r="AW53" s="1"/>
      <c r="AX53" s="1"/>
      <c r="AY53" s="1"/>
      <c r="AZ53" s="1"/>
      <c r="BA53" s="1"/>
      <c r="BB53" s="1"/>
      <c r="BC53" s="1"/>
      <c r="BD53" s="1"/>
      <c r="BE53" s="1"/>
      <c r="BF53" s="66"/>
      <c r="BG53" s="66"/>
      <c r="BH53" s="1"/>
      <c r="BI53" s="1"/>
      <c r="BJ53" s="1"/>
      <c r="BK53" s="1"/>
      <c r="BL53" s="1"/>
      <c r="BM53" s="1"/>
      <c r="BN53" s="1"/>
      <c r="BO53" s="1"/>
      <c r="BP53" s="1"/>
      <c r="BQ53" s="1"/>
      <c r="BR53" s="1"/>
      <c r="BS53" s="1"/>
      <c r="BT53" s="1"/>
      <c r="BU53" s="1"/>
      <c r="BV53" s="1"/>
      <c r="BW53" s="65"/>
      <c r="BX53" s="65"/>
      <c r="BY53" s="1"/>
      <c r="BZ53" s="1"/>
      <c r="CA53" s="1"/>
      <c r="CB53" s="1"/>
      <c r="CC53" s="1"/>
      <c r="CD53" s="1"/>
      <c r="CE53" s="1"/>
      <c r="CF53" s="1"/>
      <c r="CG53" s="1"/>
      <c r="CH53" s="1"/>
      <c r="CI53" s="1"/>
      <c r="CJ53" s="1"/>
      <c r="CK53" s="1"/>
      <c r="CL53" s="1"/>
      <c r="CM53" s="1"/>
      <c r="CN53" s="65"/>
      <c r="CO53" s="65"/>
      <c r="CP53" s="1"/>
      <c r="CQ53" s="1"/>
      <c r="CR53" s="1"/>
      <c r="CS53" s="1"/>
      <c r="CT53" s="1"/>
      <c r="CU53" s="1"/>
      <c r="CV53" s="1"/>
      <c r="CW53" s="1"/>
      <c r="CX53" s="1"/>
      <c r="CY53" s="1"/>
      <c r="CZ53" s="1"/>
      <c r="DA53" s="1"/>
      <c r="DB53" s="1"/>
      <c r="DC53" s="1"/>
      <c r="DD53" s="1"/>
      <c r="DE53" s="65"/>
      <c r="DF53" s="65"/>
      <c r="DG53" s="1"/>
      <c r="DH53" s="1"/>
      <c r="DI53" s="1"/>
      <c r="DJ53" s="1"/>
      <c r="DK53" s="1"/>
      <c r="DL53" s="1"/>
      <c r="DM53" s="1"/>
      <c r="DN53" s="1"/>
      <c r="DO53" s="1"/>
      <c r="DP53" s="1"/>
      <c r="DQ53" s="1"/>
      <c r="DR53" s="1"/>
      <c r="DS53" s="1"/>
      <c r="DT53" s="1"/>
      <c r="DU53" s="1"/>
      <c r="DV53" s="65"/>
      <c r="DW53" s="65"/>
      <c r="DX53" s="1"/>
      <c r="DY53" s="1"/>
      <c r="DZ53" s="1"/>
      <c r="EA53" s="1"/>
      <c r="EB53" s="1"/>
      <c r="EC53" s="1"/>
      <c r="ED53" s="1"/>
      <c r="EE53" s="1"/>
      <c r="EF53" s="1"/>
      <c r="EG53" s="1"/>
      <c r="EH53" s="1"/>
      <c r="EI53" s="1"/>
      <c r="EJ53" s="1"/>
      <c r="EK53" s="1"/>
      <c r="EL53" s="1"/>
      <c r="EM53" s="65"/>
      <c r="EN53" s="65"/>
      <c r="EO53" s="1"/>
      <c r="EP53" s="1"/>
      <c r="EQ53" s="1"/>
      <c r="ER53" s="1"/>
      <c r="ES53" s="1"/>
      <c r="ET53" s="1"/>
      <c r="EU53" s="1"/>
      <c r="EV53" s="1"/>
      <c r="EW53" s="1"/>
      <c r="EX53" s="1"/>
      <c r="EY53" s="1"/>
      <c r="EZ53" s="1"/>
      <c r="FA53" s="1"/>
      <c r="FB53" s="1"/>
      <c r="FC53" s="1"/>
      <c r="FD53" s="65"/>
      <c r="FE53" s="65"/>
      <c r="FF53" s="1"/>
      <c r="FG53" s="1"/>
      <c r="FH53" s="1"/>
      <c r="FI53" s="1"/>
      <c r="FJ53" s="1"/>
      <c r="FK53" s="1"/>
      <c r="FL53" s="1"/>
      <c r="FM53" s="1"/>
      <c r="FN53" s="1"/>
      <c r="FO53" s="1"/>
      <c r="FP53" s="1"/>
      <c r="FQ53" s="1"/>
      <c r="FR53" s="1"/>
      <c r="FS53" s="1"/>
      <c r="FT53" s="1"/>
      <c r="FU53" s="65"/>
      <c r="FV53" s="65"/>
      <c r="FW53" s="1"/>
      <c r="FX53" s="1"/>
      <c r="FY53" s="1"/>
      <c r="FZ53" s="1"/>
      <c r="GA53" s="1"/>
      <c r="GB53" s="1"/>
      <c r="GC53" s="1"/>
      <c r="GD53" s="1"/>
      <c r="GE53" s="1"/>
      <c r="GF53" s="1"/>
      <c r="GG53" s="1"/>
      <c r="GH53" s="1"/>
      <c r="GI53" s="1"/>
      <c r="GJ53" s="1"/>
      <c r="GK53" s="1"/>
      <c r="GL53" s="65"/>
      <c r="GM53" s="65"/>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row>
    <row r="54" spans="1:222" ht="15.75" customHeight="1">
      <c r="A54" s="1"/>
      <c r="B54" s="1"/>
      <c r="C54" s="1"/>
      <c r="D54" s="1"/>
      <c r="E54" s="1"/>
      <c r="F54" s="315"/>
      <c r="G54" s="65"/>
      <c r="H54" s="65"/>
      <c r="I54" s="1"/>
      <c r="J54" s="1"/>
      <c r="K54" s="1"/>
      <c r="L54" s="1"/>
      <c r="M54" s="1"/>
      <c r="N54" s="1"/>
      <c r="O54" s="1"/>
      <c r="P54" s="1"/>
      <c r="Q54" s="1"/>
      <c r="R54" s="1"/>
      <c r="S54" s="1"/>
      <c r="T54" s="1"/>
      <c r="U54" s="1"/>
      <c r="V54" s="1"/>
      <c r="W54" s="1"/>
      <c r="X54" s="66"/>
      <c r="Y54" s="66"/>
      <c r="Z54" s="66"/>
      <c r="AA54" s="66"/>
      <c r="AB54" s="66"/>
      <c r="AC54" s="1"/>
      <c r="AD54" s="1"/>
      <c r="AE54" s="1"/>
      <c r="AF54" s="1"/>
      <c r="AG54" s="1"/>
      <c r="AH54" s="1"/>
      <c r="AI54" s="1"/>
      <c r="AJ54" s="1"/>
      <c r="AK54" s="1"/>
      <c r="AL54" s="1"/>
      <c r="AM54" s="1"/>
      <c r="AN54" s="1"/>
      <c r="AO54" s="66"/>
      <c r="AP54" s="66"/>
      <c r="AQ54" s="1"/>
      <c r="AR54" s="1"/>
      <c r="AS54" s="1"/>
      <c r="AT54" s="1"/>
      <c r="AU54" s="1"/>
      <c r="AV54" s="1"/>
      <c r="AW54" s="1"/>
      <c r="AX54" s="1"/>
      <c r="AY54" s="1"/>
      <c r="AZ54" s="1"/>
      <c r="BA54" s="1"/>
      <c r="BB54" s="1"/>
      <c r="BC54" s="1"/>
      <c r="BD54" s="1"/>
      <c r="BE54" s="1"/>
      <c r="BF54" s="66"/>
      <c r="BG54" s="66"/>
      <c r="BH54" s="1"/>
      <c r="BI54" s="1"/>
      <c r="BJ54" s="1"/>
      <c r="BK54" s="1"/>
      <c r="BL54" s="1"/>
      <c r="BM54" s="1"/>
      <c r="BN54" s="1"/>
      <c r="BO54" s="1"/>
      <c r="BP54" s="1"/>
      <c r="BQ54" s="1"/>
      <c r="BR54" s="1"/>
      <c r="BS54" s="1"/>
      <c r="BT54" s="1"/>
      <c r="BU54" s="1"/>
      <c r="BV54" s="1"/>
      <c r="BW54" s="65"/>
      <c r="BX54" s="65"/>
      <c r="BY54" s="1"/>
      <c r="BZ54" s="1"/>
      <c r="CA54" s="1"/>
      <c r="CB54" s="1"/>
      <c r="CC54" s="1"/>
      <c r="CD54" s="1"/>
      <c r="CE54" s="1"/>
      <c r="CF54" s="1"/>
      <c r="CG54" s="1"/>
      <c r="CH54" s="1"/>
      <c r="CI54" s="1"/>
      <c r="CJ54" s="1"/>
      <c r="CK54" s="1"/>
      <c r="CL54" s="1"/>
      <c r="CM54" s="1"/>
      <c r="CN54" s="65"/>
      <c r="CO54" s="65"/>
      <c r="CP54" s="1"/>
      <c r="CQ54" s="1"/>
      <c r="CR54" s="1"/>
      <c r="CS54" s="1"/>
      <c r="CT54" s="1"/>
      <c r="CU54" s="1"/>
      <c r="CV54" s="1"/>
      <c r="CW54" s="1"/>
      <c r="CX54" s="1"/>
      <c r="CY54" s="1"/>
      <c r="CZ54" s="1"/>
      <c r="DA54" s="1"/>
      <c r="DB54" s="1"/>
      <c r="DC54" s="1"/>
      <c r="DD54" s="1"/>
      <c r="DE54" s="65"/>
      <c r="DF54" s="65"/>
      <c r="DG54" s="1"/>
      <c r="DH54" s="1"/>
      <c r="DI54" s="1"/>
      <c r="DJ54" s="1"/>
      <c r="DK54" s="1"/>
      <c r="DL54" s="1"/>
      <c r="DM54" s="1"/>
      <c r="DN54" s="1"/>
      <c r="DO54" s="1"/>
      <c r="DP54" s="1"/>
      <c r="DQ54" s="1"/>
      <c r="DR54" s="1"/>
      <c r="DS54" s="1"/>
      <c r="DT54" s="1"/>
      <c r="DU54" s="1"/>
      <c r="DV54" s="65"/>
      <c r="DW54" s="65"/>
      <c r="DX54" s="1"/>
      <c r="DY54" s="1"/>
      <c r="DZ54" s="1"/>
      <c r="EA54" s="1"/>
      <c r="EB54" s="1"/>
      <c r="EC54" s="1"/>
      <c r="ED54" s="1"/>
      <c r="EE54" s="1"/>
      <c r="EF54" s="1"/>
      <c r="EG54" s="1"/>
      <c r="EH54" s="1"/>
      <c r="EI54" s="1"/>
      <c r="EJ54" s="1"/>
      <c r="EK54" s="1"/>
      <c r="EL54" s="1"/>
      <c r="EM54" s="65"/>
      <c r="EN54" s="65"/>
      <c r="EO54" s="1"/>
      <c r="EP54" s="1"/>
      <c r="EQ54" s="1"/>
      <c r="ER54" s="1"/>
      <c r="ES54" s="1"/>
      <c r="ET54" s="1"/>
      <c r="EU54" s="1"/>
      <c r="EV54" s="1"/>
      <c r="EW54" s="1"/>
      <c r="EX54" s="1"/>
      <c r="EY54" s="1"/>
      <c r="EZ54" s="1"/>
      <c r="FA54" s="1"/>
      <c r="FB54" s="1"/>
      <c r="FC54" s="1"/>
      <c r="FD54" s="65"/>
      <c r="FE54" s="65"/>
      <c r="FF54" s="1"/>
      <c r="FG54" s="1"/>
      <c r="FH54" s="1"/>
      <c r="FI54" s="1"/>
      <c r="FJ54" s="1"/>
      <c r="FK54" s="1"/>
      <c r="FL54" s="1"/>
      <c r="FM54" s="1"/>
      <c r="FN54" s="1"/>
      <c r="FO54" s="1"/>
      <c r="FP54" s="1"/>
      <c r="FQ54" s="1"/>
      <c r="FR54" s="1"/>
      <c r="FS54" s="1"/>
      <c r="FT54" s="1"/>
      <c r="FU54" s="65"/>
      <c r="FV54" s="65"/>
      <c r="FW54" s="1"/>
      <c r="FX54" s="1"/>
      <c r="FY54" s="1"/>
      <c r="FZ54" s="1"/>
      <c r="GA54" s="1"/>
      <c r="GB54" s="1"/>
      <c r="GC54" s="1"/>
      <c r="GD54" s="1"/>
      <c r="GE54" s="1"/>
      <c r="GF54" s="1"/>
      <c r="GG54" s="1"/>
      <c r="GH54" s="1"/>
      <c r="GI54" s="1"/>
      <c r="GJ54" s="1"/>
      <c r="GK54" s="1"/>
      <c r="GL54" s="65"/>
      <c r="GM54" s="65"/>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row>
    <row r="55" spans="1:222" ht="15.75" customHeight="1">
      <c r="A55" s="1"/>
      <c r="B55" s="1"/>
      <c r="C55" s="1"/>
      <c r="D55" s="1"/>
      <c r="E55" s="1"/>
      <c r="F55" s="315"/>
      <c r="G55" s="65"/>
      <c r="H55" s="65"/>
      <c r="I55" s="1"/>
      <c r="J55" s="1"/>
      <c r="K55" s="1"/>
      <c r="L55" s="1"/>
      <c r="M55" s="1"/>
      <c r="N55" s="1"/>
      <c r="O55" s="1"/>
      <c r="P55" s="1"/>
      <c r="Q55" s="1"/>
      <c r="R55" s="1"/>
      <c r="S55" s="1"/>
      <c r="T55" s="1"/>
      <c r="U55" s="1"/>
      <c r="V55" s="1"/>
      <c r="W55" s="1"/>
      <c r="X55" s="66"/>
      <c r="Y55" s="66"/>
      <c r="Z55" s="66"/>
      <c r="AA55" s="66"/>
      <c r="AB55" s="66"/>
      <c r="AC55" s="1"/>
      <c r="AD55" s="1"/>
      <c r="AE55" s="1"/>
      <c r="AF55" s="1"/>
      <c r="AG55" s="1"/>
      <c r="AH55" s="1"/>
      <c r="AI55" s="1"/>
      <c r="AJ55" s="1"/>
      <c r="AK55" s="1"/>
      <c r="AL55" s="1"/>
      <c r="AM55" s="1"/>
      <c r="AN55" s="1"/>
      <c r="AO55" s="66"/>
      <c r="AP55" s="66"/>
      <c r="AQ55" s="1"/>
      <c r="AR55" s="1"/>
      <c r="AS55" s="1"/>
      <c r="AT55" s="1"/>
      <c r="AU55" s="1"/>
      <c r="AV55" s="1"/>
      <c r="AW55" s="1"/>
      <c r="AX55" s="1"/>
      <c r="AY55" s="1"/>
      <c r="AZ55" s="1"/>
      <c r="BA55" s="1"/>
      <c r="BB55" s="1"/>
      <c r="BC55" s="1"/>
      <c r="BD55" s="1"/>
      <c r="BE55" s="1"/>
      <c r="BF55" s="66"/>
      <c r="BG55" s="66"/>
      <c r="BH55" s="1"/>
      <c r="BI55" s="1"/>
      <c r="BJ55" s="1"/>
      <c r="BK55" s="1"/>
      <c r="BL55" s="1"/>
      <c r="BM55" s="1"/>
      <c r="BN55" s="1"/>
      <c r="BO55" s="1"/>
      <c r="BP55" s="1"/>
      <c r="BQ55" s="1"/>
      <c r="BR55" s="1"/>
      <c r="BS55" s="1"/>
      <c r="BT55" s="1"/>
      <c r="BU55" s="1"/>
      <c r="BV55" s="1"/>
      <c r="BW55" s="65"/>
      <c r="BX55" s="65"/>
      <c r="BY55" s="1"/>
      <c r="BZ55" s="1"/>
      <c r="CA55" s="1"/>
      <c r="CB55" s="1"/>
      <c r="CC55" s="1"/>
      <c r="CD55" s="1"/>
      <c r="CE55" s="1"/>
      <c r="CF55" s="1"/>
      <c r="CG55" s="1"/>
      <c r="CH55" s="1"/>
      <c r="CI55" s="1"/>
      <c r="CJ55" s="1"/>
      <c r="CK55" s="1"/>
      <c r="CL55" s="1"/>
      <c r="CM55" s="1"/>
      <c r="CN55" s="65"/>
      <c r="CO55" s="65"/>
      <c r="CP55" s="1"/>
      <c r="CQ55" s="1"/>
      <c r="CR55" s="1"/>
      <c r="CS55" s="1"/>
      <c r="CT55" s="1"/>
      <c r="CU55" s="1"/>
      <c r="CV55" s="1"/>
      <c r="CW55" s="1"/>
      <c r="CX55" s="1"/>
      <c r="CY55" s="1"/>
      <c r="CZ55" s="1"/>
      <c r="DA55" s="1"/>
      <c r="DB55" s="1"/>
      <c r="DC55" s="1"/>
      <c r="DD55" s="1"/>
      <c r="DE55" s="65"/>
      <c r="DF55" s="65"/>
      <c r="DG55" s="1"/>
      <c r="DH55" s="1"/>
      <c r="DI55" s="1"/>
      <c r="DJ55" s="1"/>
      <c r="DK55" s="1"/>
      <c r="DL55" s="1"/>
      <c r="DM55" s="1"/>
      <c r="DN55" s="1"/>
      <c r="DO55" s="1"/>
      <c r="DP55" s="1"/>
      <c r="DQ55" s="1"/>
      <c r="DR55" s="1"/>
      <c r="DS55" s="1"/>
      <c r="DT55" s="1"/>
      <c r="DU55" s="1"/>
      <c r="DV55" s="65"/>
      <c r="DW55" s="65"/>
      <c r="DX55" s="1"/>
      <c r="DY55" s="1"/>
      <c r="DZ55" s="1"/>
      <c r="EA55" s="1"/>
      <c r="EB55" s="1"/>
      <c r="EC55" s="1"/>
      <c r="ED55" s="1"/>
      <c r="EE55" s="1"/>
      <c r="EF55" s="1"/>
      <c r="EG55" s="1"/>
      <c r="EH55" s="1"/>
      <c r="EI55" s="1"/>
      <c r="EJ55" s="1"/>
      <c r="EK55" s="1"/>
      <c r="EL55" s="1"/>
      <c r="EM55" s="65"/>
      <c r="EN55" s="65"/>
      <c r="EO55" s="1"/>
      <c r="EP55" s="1"/>
      <c r="EQ55" s="1"/>
      <c r="ER55" s="1"/>
      <c r="ES55" s="1"/>
      <c r="ET55" s="1"/>
      <c r="EU55" s="1"/>
      <c r="EV55" s="1"/>
      <c r="EW55" s="1"/>
      <c r="EX55" s="1"/>
      <c r="EY55" s="1"/>
      <c r="EZ55" s="1"/>
      <c r="FA55" s="1"/>
      <c r="FB55" s="1"/>
      <c r="FC55" s="1"/>
      <c r="FD55" s="65"/>
      <c r="FE55" s="65"/>
      <c r="FF55" s="1"/>
      <c r="FG55" s="1"/>
      <c r="FH55" s="1"/>
      <c r="FI55" s="1"/>
      <c r="FJ55" s="1"/>
      <c r="FK55" s="1"/>
      <c r="FL55" s="1"/>
      <c r="FM55" s="1"/>
      <c r="FN55" s="1"/>
      <c r="FO55" s="1"/>
      <c r="FP55" s="1"/>
      <c r="FQ55" s="1"/>
      <c r="FR55" s="1"/>
      <c r="FS55" s="1"/>
      <c r="FT55" s="1"/>
      <c r="FU55" s="65"/>
      <c r="FV55" s="65"/>
      <c r="FW55" s="1"/>
      <c r="FX55" s="1"/>
      <c r="FY55" s="1"/>
      <c r="FZ55" s="1"/>
      <c r="GA55" s="1"/>
      <c r="GB55" s="1"/>
      <c r="GC55" s="1"/>
      <c r="GD55" s="1"/>
      <c r="GE55" s="1"/>
      <c r="GF55" s="1"/>
      <c r="GG55" s="1"/>
      <c r="GH55" s="1"/>
      <c r="GI55" s="1"/>
      <c r="GJ55" s="1"/>
      <c r="GK55" s="1"/>
      <c r="GL55" s="65"/>
      <c r="GM55" s="65"/>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row>
    <row r="56" spans="1:222" ht="15.75" customHeight="1">
      <c r="A56" s="1"/>
      <c r="B56" s="1"/>
      <c r="C56" s="1"/>
      <c r="D56" s="1"/>
      <c r="E56" s="1"/>
      <c r="F56" s="315"/>
      <c r="G56" s="65"/>
      <c r="H56" s="65"/>
      <c r="I56" s="1"/>
      <c r="J56" s="1"/>
      <c r="K56" s="1"/>
      <c r="L56" s="1"/>
      <c r="M56" s="1"/>
      <c r="N56" s="1"/>
      <c r="O56" s="1"/>
      <c r="P56" s="1"/>
      <c r="Q56" s="1"/>
      <c r="R56" s="1"/>
      <c r="S56" s="1"/>
      <c r="T56" s="1"/>
      <c r="U56" s="1"/>
      <c r="V56" s="1"/>
      <c r="W56" s="1"/>
      <c r="X56" s="66"/>
      <c r="Y56" s="66"/>
      <c r="Z56" s="66"/>
      <c r="AA56" s="66"/>
      <c r="AB56" s="66"/>
      <c r="AC56" s="1"/>
      <c r="AD56" s="1"/>
      <c r="AE56" s="1"/>
      <c r="AF56" s="1"/>
      <c r="AG56" s="1"/>
      <c r="AH56" s="1"/>
      <c r="AI56" s="1"/>
      <c r="AJ56" s="1"/>
      <c r="AK56" s="1"/>
      <c r="AL56" s="1"/>
      <c r="AM56" s="1"/>
      <c r="AN56" s="1"/>
      <c r="AO56" s="66"/>
      <c r="AP56" s="66"/>
      <c r="AQ56" s="1"/>
      <c r="AR56" s="1"/>
      <c r="AS56" s="1"/>
      <c r="AT56" s="1"/>
      <c r="AU56" s="1"/>
      <c r="AV56" s="1"/>
      <c r="AW56" s="1"/>
      <c r="AX56" s="1"/>
      <c r="AY56" s="1"/>
      <c r="AZ56" s="1"/>
      <c r="BA56" s="1"/>
      <c r="BB56" s="1"/>
      <c r="BC56" s="1"/>
      <c r="BD56" s="1"/>
      <c r="BE56" s="1"/>
      <c r="BF56" s="66"/>
      <c r="BG56" s="66"/>
      <c r="BH56" s="1"/>
      <c r="BI56" s="1"/>
      <c r="BJ56" s="1"/>
      <c r="BK56" s="1"/>
      <c r="BL56" s="1"/>
      <c r="BM56" s="1"/>
      <c r="BN56" s="1"/>
      <c r="BO56" s="1"/>
      <c r="BP56" s="1"/>
      <c r="BQ56" s="1"/>
      <c r="BR56" s="1"/>
      <c r="BS56" s="1"/>
      <c r="BT56" s="1"/>
      <c r="BU56" s="1"/>
      <c r="BV56" s="1"/>
      <c r="BW56" s="65"/>
      <c r="BX56" s="65"/>
      <c r="BY56" s="1"/>
      <c r="BZ56" s="1"/>
      <c r="CA56" s="1"/>
      <c r="CB56" s="1"/>
      <c r="CC56" s="1"/>
      <c r="CD56" s="1"/>
      <c r="CE56" s="1"/>
      <c r="CF56" s="1"/>
      <c r="CG56" s="1"/>
      <c r="CH56" s="1"/>
      <c r="CI56" s="1"/>
      <c r="CJ56" s="1"/>
      <c r="CK56" s="1"/>
      <c r="CL56" s="1"/>
      <c r="CM56" s="1"/>
      <c r="CN56" s="65"/>
      <c r="CO56" s="65"/>
      <c r="CP56" s="1"/>
      <c r="CQ56" s="1"/>
      <c r="CR56" s="1"/>
      <c r="CS56" s="1"/>
      <c r="CT56" s="1"/>
      <c r="CU56" s="1"/>
      <c r="CV56" s="1"/>
      <c r="CW56" s="1"/>
      <c r="CX56" s="1"/>
      <c r="CY56" s="1"/>
      <c r="CZ56" s="1"/>
      <c r="DA56" s="1"/>
      <c r="DB56" s="1"/>
      <c r="DC56" s="1"/>
      <c r="DD56" s="1"/>
      <c r="DE56" s="65"/>
      <c r="DF56" s="65"/>
      <c r="DG56" s="1"/>
      <c r="DH56" s="1"/>
      <c r="DI56" s="1"/>
      <c r="DJ56" s="1"/>
      <c r="DK56" s="1"/>
      <c r="DL56" s="1"/>
      <c r="DM56" s="1"/>
      <c r="DN56" s="1"/>
      <c r="DO56" s="1"/>
      <c r="DP56" s="1"/>
      <c r="DQ56" s="1"/>
      <c r="DR56" s="1"/>
      <c r="DS56" s="1"/>
      <c r="DT56" s="1"/>
      <c r="DU56" s="1"/>
      <c r="DV56" s="65"/>
      <c r="DW56" s="65"/>
      <c r="DX56" s="1"/>
      <c r="DY56" s="1"/>
      <c r="DZ56" s="1"/>
      <c r="EA56" s="1"/>
      <c r="EB56" s="1"/>
      <c r="EC56" s="1"/>
      <c r="ED56" s="1"/>
      <c r="EE56" s="1"/>
      <c r="EF56" s="1"/>
      <c r="EG56" s="1"/>
      <c r="EH56" s="1"/>
      <c r="EI56" s="1"/>
      <c r="EJ56" s="1"/>
      <c r="EK56" s="1"/>
      <c r="EL56" s="1"/>
      <c r="EM56" s="65"/>
      <c r="EN56" s="65"/>
      <c r="EO56" s="1"/>
      <c r="EP56" s="1"/>
      <c r="EQ56" s="1"/>
      <c r="ER56" s="1"/>
      <c r="ES56" s="1"/>
      <c r="ET56" s="1"/>
      <c r="EU56" s="1"/>
      <c r="EV56" s="1"/>
      <c r="EW56" s="1"/>
      <c r="EX56" s="1"/>
      <c r="EY56" s="1"/>
      <c r="EZ56" s="1"/>
      <c r="FA56" s="1"/>
      <c r="FB56" s="1"/>
      <c r="FC56" s="1"/>
      <c r="FD56" s="65"/>
      <c r="FE56" s="65"/>
      <c r="FF56" s="1"/>
      <c r="FG56" s="1"/>
      <c r="FH56" s="1"/>
      <c r="FI56" s="1"/>
      <c r="FJ56" s="1"/>
      <c r="FK56" s="1"/>
      <c r="FL56" s="1"/>
      <c r="FM56" s="1"/>
      <c r="FN56" s="1"/>
      <c r="FO56" s="1"/>
      <c r="FP56" s="1"/>
      <c r="FQ56" s="1"/>
      <c r="FR56" s="1"/>
      <c r="FS56" s="1"/>
      <c r="FT56" s="1"/>
      <c r="FU56" s="65"/>
      <c r="FV56" s="65"/>
      <c r="FW56" s="1"/>
      <c r="FX56" s="1"/>
      <c r="FY56" s="1"/>
      <c r="FZ56" s="1"/>
      <c r="GA56" s="1"/>
      <c r="GB56" s="1"/>
      <c r="GC56" s="1"/>
      <c r="GD56" s="1"/>
      <c r="GE56" s="1"/>
      <c r="GF56" s="1"/>
      <c r="GG56" s="1"/>
      <c r="GH56" s="1"/>
      <c r="GI56" s="1"/>
      <c r="GJ56" s="1"/>
      <c r="GK56" s="1"/>
      <c r="GL56" s="65"/>
      <c r="GM56" s="65"/>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row>
    <row r="57" spans="1:222" ht="15.75" customHeight="1">
      <c r="A57" s="1"/>
      <c r="B57" s="1"/>
      <c r="C57" s="1"/>
      <c r="D57" s="1"/>
      <c r="E57" s="1"/>
      <c r="F57" s="315"/>
      <c r="G57" s="65"/>
      <c r="H57" s="65"/>
      <c r="I57" s="1"/>
      <c r="J57" s="1"/>
      <c r="K57" s="1"/>
      <c r="L57" s="1"/>
      <c r="M57" s="1"/>
      <c r="N57" s="1"/>
      <c r="O57" s="1"/>
      <c r="P57" s="1"/>
      <c r="Q57" s="1"/>
      <c r="R57" s="1"/>
      <c r="S57" s="1"/>
      <c r="T57" s="1"/>
      <c r="U57" s="1"/>
      <c r="V57" s="1"/>
      <c r="W57" s="1"/>
      <c r="X57" s="66"/>
      <c r="Y57" s="66"/>
      <c r="Z57" s="66"/>
      <c r="AA57" s="66"/>
      <c r="AB57" s="66"/>
      <c r="AC57" s="1"/>
      <c r="AD57" s="1"/>
      <c r="AE57" s="1"/>
      <c r="AF57" s="1"/>
      <c r="AG57" s="1"/>
      <c r="AH57" s="1"/>
      <c r="AI57" s="1"/>
      <c r="AJ57" s="1"/>
      <c r="AK57" s="1"/>
      <c r="AL57" s="1"/>
      <c r="AM57" s="1"/>
      <c r="AN57" s="1"/>
      <c r="AO57" s="66"/>
      <c r="AP57" s="66"/>
      <c r="AQ57" s="1"/>
      <c r="AR57" s="1"/>
      <c r="AS57" s="1"/>
      <c r="AT57" s="1"/>
      <c r="AU57" s="1"/>
      <c r="AV57" s="1"/>
      <c r="AW57" s="1"/>
      <c r="AX57" s="1"/>
      <c r="AY57" s="1"/>
      <c r="AZ57" s="1"/>
      <c r="BA57" s="1"/>
      <c r="BB57" s="1"/>
      <c r="BC57" s="1"/>
      <c r="BD57" s="1"/>
      <c r="BE57" s="1"/>
      <c r="BF57" s="66"/>
      <c r="BG57" s="66"/>
      <c r="BH57" s="1"/>
      <c r="BI57" s="1"/>
      <c r="BJ57" s="1"/>
      <c r="BK57" s="1"/>
      <c r="BL57" s="1"/>
      <c r="BM57" s="1"/>
      <c r="BN57" s="1"/>
      <c r="BO57" s="1"/>
      <c r="BP57" s="1"/>
      <c r="BQ57" s="1"/>
      <c r="BR57" s="1"/>
      <c r="BS57" s="1"/>
      <c r="BT57" s="1"/>
      <c r="BU57" s="1"/>
      <c r="BV57" s="1"/>
      <c r="BW57" s="65"/>
      <c r="BX57" s="65"/>
      <c r="BY57" s="1"/>
      <c r="BZ57" s="1"/>
      <c r="CA57" s="1"/>
      <c r="CB57" s="1"/>
      <c r="CC57" s="1"/>
      <c r="CD57" s="1"/>
      <c r="CE57" s="1"/>
      <c r="CF57" s="1"/>
      <c r="CG57" s="1"/>
      <c r="CH57" s="1"/>
      <c r="CI57" s="1"/>
      <c r="CJ57" s="1"/>
      <c r="CK57" s="1"/>
      <c r="CL57" s="1"/>
      <c r="CM57" s="1"/>
      <c r="CN57" s="65"/>
      <c r="CO57" s="65"/>
      <c r="CP57" s="1"/>
      <c r="CQ57" s="1"/>
      <c r="CR57" s="1"/>
      <c r="CS57" s="1"/>
      <c r="CT57" s="1"/>
      <c r="CU57" s="1"/>
      <c r="CV57" s="1"/>
      <c r="CW57" s="1"/>
      <c r="CX57" s="1"/>
      <c r="CY57" s="1"/>
      <c r="CZ57" s="1"/>
      <c r="DA57" s="1"/>
      <c r="DB57" s="1"/>
      <c r="DC57" s="1"/>
      <c r="DD57" s="1"/>
      <c r="DE57" s="65"/>
      <c r="DF57" s="65"/>
      <c r="DG57" s="1"/>
      <c r="DH57" s="1"/>
      <c r="DI57" s="1"/>
      <c r="DJ57" s="1"/>
      <c r="DK57" s="1"/>
      <c r="DL57" s="1"/>
      <c r="DM57" s="1"/>
      <c r="DN57" s="1"/>
      <c r="DO57" s="1"/>
      <c r="DP57" s="1"/>
      <c r="DQ57" s="1"/>
      <c r="DR57" s="1"/>
      <c r="DS57" s="1"/>
      <c r="DT57" s="1"/>
      <c r="DU57" s="1"/>
      <c r="DV57" s="65"/>
      <c r="DW57" s="65"/>
      <c r="DX57" s="1"/>
      <c r="DY57" s="1"/>
      <c r="DZ57" s="1"/>
      <c r="EA57" s="1"/>
      <c r="EB57" s="1"/>
      <c r="EC57" s="1"/>
      <c r="ED57" s="1"/>
      <c r="EE57" s="1"/>
      <c r="EF57" s="1"/>
      <c r="EG57" s="1"/>
      <c r="EH57" s="1"/>
      <c r="EI57" s="1"/>
      <c r="EJ57" s="1"/>
      <c r="EK57" s="1"/>
      <c r="EL57" s="1"/>
      <c r="EM57" s="65"/>
      <c r="EN57" s="65"/>
      <c r="EO57" s="1"/>
      <c r="EP57" s="1"/>
      <c r="EQ57" s="1"/>
      <c r="ER57" s="1"/>
      <c r="ES57" s="1"/>
      <c r="ET57" s="1"/>
      <c r="EU57" s="1"/>
      <c r="EV57" s="1"/>
      <c r="EW57" s="1"/>
      <c r="EX57" s="1"/>
      <c r="EY57" s="1"/>
      <c r="EZ57" s="1"/>
      <c r="FA57" s="1"/>
      <c r="FB57" s="1"/>
      <c r="FC57" s="1"/>
      <c r="FD57" s="65"/>
      <c r="FE57" s="65"/>
      <c r="FF57" s="1"/>
      <c r="FG57" s="1"/>
      <c r="FH57" s="1"/>
      <c r="FI57" s="1"/>
      <c r="FJ57" s="1"/>
      <c r="FK57" s="1"/>
      <c r="FL57" s="1"/>
      <c r="FM57" s="1"/>
      <c r="FN57" s="1"/>
      <c r="FO57" s="1"/>
      <c r="FP57" s="1"/>
      <c r="FQ57" s="1"/>
      <c r="FR57" s="1"/>
      <c r="FS57" s="1"/>
      <c r="FT57" s="1"/>
      <c r="FU57" s="65"/>
      <c r="FV57" s="65"/>
      <c r="FW57" s="1"/>
      <c r="FX57" s="1"/>
      <c r="FY57" s="1"/>
      <c r="FZ57" s="1"/>
      <c r="GA57" s="1"/>
      <c r="GB57" s="1"/>
      <c r="GC57" s="1"/>
      <c r="GD57" s="1"/>
      <c r="GE57" s="1"/>
      <c r="GF57" s="1"/>
      <c r="GG57" s="1"/>
      <c r="GH57" s="1"/>
      <c r="GI57" s="1"/>
      <c r="GJ57" s="1"/>
      <c r="GK57" s="1"/>
      <c r="GL57" s="65"/>
      <c r="GM57" s="65"/>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row>
    <row r="58" spans="1:222" ht="15.75" customHeight="1">
      <c r="A58" s="1"/>
      <c r="B58" s="1"/>
      <c r="C58" s="1"/>
      <c r="D58" s="1"/>
      <c r="E58" s="1"/>
      <c r="F58" s="315"/>
      <c r="G58" s="65"/>
      <c r="H58" s="65"/>
      <c r="I58" s="1"/>
      <c r="J58" s="1"/>
      <c r="K58" s="1"/>
      <c r="L58" s="1"/>
      <c r="M58" s="1"/>
      <c r="N58" s="1"/>
      <c r="O58" s="1"/>
      <c r="P58" s="1"/>
      <c r="Q58" s="1"/>
      <c r="R58" s="1"/>
      <c r="S58" s="1"/>
      <c r="T58" s="1"/>
      <c r="U58" s="1"/>
      <c r="V58" s="1"/>
      <c r="W58" s="1"/>
      <c r="X58" s="66"/>
      <c r="Y58" s="66"/>
      <c r="Z58" s="66"/>
      <c r="AA58" s="66"/>
      <c r="AB58" s="66"/>
      <c r="AC58" s="1"/>
      <c r="AD58" s="1"/>
      <c r="AE58" s="1"/>
      <c r="AF58" s="1"/>
      <c r="AG58" s="1"/>
      <c r="AH58" s="1"/>
      <c r="AI58" s="1"/>
      <c r="AJ58" s="1"/>
      <c r="AK58" s="1"/>
      <c r="AL58" s="1"/>
      <c r="AM58" s="1"/>
      <c r="AN58" s="1"/>
      <c r="AO58" s="66"/>
      <c r="AP58" s="66"/>
      <c r="AQ58" s="1"/>
      <c r="AR58" s="1"/>
      <c r="AS58" s="1"/>
      <c r="AT58" s="1"/>
      <c r="AU58" s="1"/>
      <c r="AV58" s="1"/>
      <c r="AW58" s="1"/>
      <c r="AX58" s="1"/>
      <c r="AY58" s="1"/>
      <c r="AZ58" s="1"/>
      <c r="BA58" s="1"/>
      <c r="BB58" s="1"/>
      <c r="BC58" s="1"/>
      <c r="BD58" s="1"/>
      <c r="BE58" s="1"/>
      <c r="BF58" s="66"/>
      <c r="BG58" s="66"/>
      <c r="BH58" s="1"/>
      <c r="BI58" s="1"/>
      <c r="BJ58" s="1"/>
      <c r="BK58" s="1"/>
      <c r="BL58" s="1"/>
      <c r="BM58" s="1"/>
      <c r="BN58" s="1"/>
      <c r="BO58" s="1"/>
      <c r="BP58" s="1"/>
      <c r="BQ58" s="1"/>
      <c r="BR58" s="1"/>
      <c r="BS58" s="1"/>
      <c r="BT58" s="1"/>
      <c r="BU58" s="1"/>
      <c r="BV58" s="1"/>
      <c r="BW58" s="65"/>
      <c r="BX58" s="65"/>
      <c r="BY58" s="1"/>
      <c r="BZ58" s="1"/>
      <c r="CA58" s="1"/>
      <c r="CB58" s="1"/>
      <c r="CC58" s="1"/>
      <c r="CD58" s="1"/>
      <c r="CE58" s="1"/>
      <c r="CF58" s="1"/>
      <c r="CG58" s="1"/>
      <c r="CH58" s="1"/>
      <c r="CI58" s="1"/>
      <c r="CJ58" s="1"/>
      <c r="CK58" s="1"/>
      <c r="CL58" s="1"/>
      <c r="CM58" s="1"/>
      <c r="CN58" s="65"/>
      <c r="CO58" s="65"/>
      <c r="CP58" s="1"/>
      <c r="CQ58" s="1"/>
      <c r="CR58" s="1"/>
      <c r="CS58" s="1"/>
      <c r="CT58" s="1"/>
      <c r="CU58" s="1"/>
      <c r="CV58" s="1"/>
      <c r="CW58" s="1"/>
      <c r="CX58" s="1"/>
      <c r="CY58" s="1"/>
      <c r="CZ58" s="1"/>
      <c r="DA58" s="1"/>
      <c r="DB58" s="1"/>
      <c r="DC58" s="1"/>
      <c r="DD58" s="1"/>
      <c r="DE58" s="65"/>
      <c r="DF58" s="65"/>
      <c r="DG58" s="1"/>
      <c r="DH58" s="1"/>
      <c r="DI58" s="1"/>
      <c r="DJ58" s="1"/>
      <c r="DK58" s="1"/>
      <c r="DL58" s="1"/>
      <c r="DM58" s="1"/>
      <c r="DN58" s="1"/>
      <c r="DO58" s="1"/>
      <c r="DP58" s="1"/>
      <c r="DQ58" s="1"/>
      <c r="DR58" s="1"/>
      <c r="DS58" s="1"/>
      <c r="DT58" s="1"/>
      <c r="DU58" s="1"/>
      <c r="DV58" s="65"/>
      <c r="DW58" s="65"/>
      <c r="DX58" s="1"/>
      <c r="DY58" s="1"/>
      <c r="DZ58" s="1"/>
      <c r="EA58" s="1"/>
      <c r="EB58" s="1"/>
      <c r="EC58" s="1"/>
      <c r="ED58" s="1"/>
      <c r="EE58" s="1"/>
      <c r="EF58" s="1"/>
      <c r="EG58" s="1"/>
      <c r="EH58" s="1"/>
      <c r="EI58" s="1"/>
      <c r="EJ58" s="1"/>
      <c r="EK58" s="1"/>
      <c r="EL58" s="1"/>
      <c r="EM58" s="65"/>
      <c r="EN58" s="65"/>
      <c r="EO58" s="1"/>
      <c r="EP58" s="1"/>
      <c r="EQ58" s="1"/>
      <c r="ER58" s="1"/>
      <c r="ES58" s="1"/>
      <c r="ET58" s="1"/>
      <c r="EU58" s="1"/>
      <c r="EV58" s="1"/>
      <c r="EW58" s="1"/>
      <c r="EX58" s="1"/>
      <c r="EY58" s="1"/>
      <c r="EZ58" s="1"/>
      <c r="FA58" s="1"/>
      <c r="FB58" s="1"/>
      <c r="FC58" s="1"/>
      <c r="FD58" s="65"/>
      <c r="FE58" s="65"/>
      <c r="FF58" s="1"/>
      <c r="FG58" s="1"/>
      <c r="FH58" s="1"/>
      <c r="FI58" s="1"/>
      <c r="FJ58" s="1"/>
      <c r="FK58" s="1"/>
      <c r="FL58" s="1"/>
      <c r="FM58" s="1"/>
      <c r="FN58" s="1"/>
      <c r="FO58" s="1"/>
      <c r="FP58" s="1"/>
      <c r="FQ58" s="1"/>
      <c r="FR58" s="1"/>
      <c r="FS58" s="1"/>
      <c r="FT58" s="1"/>
      <c r="FU58" s="65"/>
      <c r="FV58" s="65"/>
      <c r="FW58" s="1"/>
      <c r="FX58" s="1"/>
      <c r="FY58" s="1"/>
      <c r="FZ58" s="1"/>
      <c r="GA58" s="1"/>
      <c r="GB58" s="1"/>
      <c r="GC58" s="1"/>
      <c r="GD58" s="1"/>
      <c r="GE58" s="1"/>
      <c r="GF58" s="1"/>
      <c r="GG58" s="1"/>
      <c r="GH58" s="1"/>
      <c r="GI58" s="1"/>
      <c r="GJ58" s="1"/>
      <c r="GK58" s="1"/>
      <c r="GL58" s="65"/>
      <c r="GM58" s="65"/>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row>
    <row r="59" spans="1:222" ht="15.75" customHeight="1">
      <c r="A59" s="1"/>
      <c r="B59" s="1"/>
      <c r="C59" s="1"/>
      <c r="D59" s="1"/>
      <c r="E59" s="1"/>
      <c r="F59" s="315"/>
      <c r="G59" s="65"/>
      <c r="H59" s="65"/>
      <c r="I59" s="1"/>
      <c r="J59" s="1"/>
      <c r="K59" s="1"/>
      <c r="L59" s="1"/>
      <c r="M59" s="1"/>
      <c r="N59" s="1"/>
      <c r="O59" s="1"/>
      <c r="P59" s="1"/>
      <c r="Q59" s="1"/>
      <c r="R59" s="1"/>
      <c r="S59" s="1"/>
      <c r="T59" s="1"/>
      <c r="U59" s="1"/>
      <c r="V59" s="1"/>
      <c r="W59" s="1"/>
      <c r="X59" s="66"/>
      <c r="Y59" s="66"/>
      <c r="Z59" s="66"/>
      <c r="AA59" s="66"/>
      <c r="AB59" s="66"/>
      <c r="AC59" s="1"/>
      <c r="AD59" s="1"/>
      <c r="AE59" s="1"/>
      <c r="AF59" s="1"/>
      <c r="AG59" s="1"/>
      <c r="AH59" s="1"/>
      <c r="AI59" s="1"/>
      <c r="AJ59" s="1"/>
      <c r="AK59" s="1"/>
      <c r="AL59" s="1"/>
      <c r="AM59" s="1"/>
      <c r="AN59" s="1"/>
      <c r="AO59" s="66"/>
      <c r="AP59" s="66"/>
      <c r="AQ59" s="1"/>
      <c r="AR59" s="1"/>
      <c r="AS59" s="1"/>
      <c r="AT59" s="1"/>
      <c r="AU59" s="1"/>
      <c r="AV59" s="1"/>
      <c r="AW59" s="1"/>
      <c r="AX59" s="1"/>
      <c r="AY59" s="1"/>
      <c r="AZ59" s="1"/>
      <c r="BA59" s="1"/>
      <c r="BB59" s="1"/>
      <c r="BC59" s="1"/>
      <c r="BD59" s="1"/>
      <c r="BE59" s="1"/>
      <c r="BF59" s="66"/>
      <c r="BG59" s="66"/>
      <c r="BH59" s="1"/>
      <c r="BI59" s="1"/>
      <c r="BJ59" s="1"/>
      <c r="BK59" s="1"/>
      <c r="BL59" s="1"/>
      <c r="BM59" s="1"/>
      <c r="BN59" s="1"/>
      <c r="BO59" s="1"/>
      <c r="BP59" s="1"/>
      <c r="BQ59" s="1"/>
      <c r="BR59" s="1"/>
      <c r="BS59" s="1"/>
      <c r="BT59" s="1"/>
      <c r="BU59" s="1"/>
      <c r="BV59" s="1"/>
      <c r="BW59" s="65"/>
      <c r="BX59" s="65"/>
      <c r="BY59" s="1"/>
      <c r="BZ59" s="1"/>
      <c r="CA59" s="1"/>
      <c r="CB59" s="1"/>
      <c r="CC59" s="1"/>
      <c r="CD59" s="1"/>
      <c r="CE59" s="1"/>
      <c r="CF59" s="1"/>
      <c r="CG59" s="1"/>
      <c r="CH59" s="1"/>
      <c r="CI59" s="1"/>
      <c r="CJ59" s="1"/>
      <c r="CK59" s="1"/>
      <c r="CL59" s="1"/>
      <c r="CM59" s="1"/>
      <c r="CN59" s="65"/>
      <c r="CO59" s="65"/>
      <c r="CP59" s="1"/>
      <c r="CQ59" s="1"/>
      <c r="CR59" s="1"/>
      <c r="CS59" s="1"/>
      <c r="CT59" s="1"/>
      <c r="CU59" s="1"/>
      <c r="CV59" s="1"/>
      <c r="CW59" s="1"/>
      <c r="CX59" s="1"/>
      <c r="CY59" s="1"/>
      <c r="CZ59" s="1"/>
      <c r="DA59" s="1"/>
      <c r="DB59" s="1"/>
      <c r="DC59" s="1"/>
      <c r="DD59" s="1"/>
      <c r="DE59" s="65"/>
      <c r="DF59" s="65"/>
      <c r="DG59" s="1"/>
      <c r="DH59" s="1"/>
      <c r="DI59" s="1"/>
      <c r="DJ59" s="1"/>
      <c r="DK59" s="1"/>
      <c r="DL59" s="1"/>
      <c r="DM59" s="1"/>
      <c r="DN59" s="1"/>
      <c r="DO59" s="1"/>
      <c r="DP59" s="1"/>
      <c r="DQ59" s="1"/>
      <c r="DR59" s="1"/>
      <c r="DS59" s="1"/>
      <c r="DT59" s="1"/>
      <c r="DU59" s="1"/>
      <c r="DV59" s="65"/>
      <c r="DW59" s="65"/>
      <c r="DX59" s="1"/>
      <c r="DY59" s="1"/>
      <c r="DZ59" s="1"/>
      <c r="EA59" s="1"/>
      <c r="EB59" s="1"/>
      <c r="EC59" s="1"/>
      <c r="ED59" s="1"/>
      <c r="EE59" s="1"/>
      <c r="EF59" s="1"/>
      <c r="EG59" s="1"/>
      <c r="EH59" s="1"/>
      <c r="EI59" s="1"/>
      <c r="EJ59" s="1"/>
      <c r="EK59" s="1"/>
      <c r="EL59" s="1"/>
      <c r="EM59" s="65"/>
      <c r="EN59" s="65"/>
      <c r="EO59" s="1"/>
      <c r="EP59" s="1"/>
      <c r="EQ59" s="1"/>
      <c r="ER59" s="1"/>
      <c r="ES59" s="1"/>
      <c r="ET59" s="1"/>
      <c r="EU59" s="1"/>
      <c r="EV59" s="1"/>
      <c r="EW59" s="1"/>
      <c r="EX59" s="1"/>
      <c r="EY59" s="1"/>
      <c r="EZ59" s="1"/>
      <c r="FA59" s="1"/>
      <c r="FB59" s="1"/>
      <c r="FC59" s="1"/>
      <c r="FD59" s="65"/>
      <c r="FE59" s="65"/>
      <c r="FF59" s="1"/>
      <c r="FG59" s="1"/>
      <c r="FH59" s="1"/>
      <c r="FI59" s="1"/>
      <c r="FJ59" s="1"/>
      <c r="FK59" s="1"/>
      <c r="FL59" s="1"/>
      <c r="FM59" s="1"/>
      <c r="FN59" s="1"/>
      <c r="FO59" s="1"/>
      <c r="FP59" s="1"/>
      <c r="FQ59" s="1"/>
      <c r="FR59" s="1"/>
      <c r="FS59" s="1"/>
      <c r="FT59" s="1"/>
      <c r="FU59" s="65"/>
      <c r="FV59" s="65"/>
      <c r="FW59" s="1"/>
      <c r="FX59" s="1"/>
      <c r="FY59" s="1"/>
      <c r="FZ59" s="1"/>
      <c r="GA59" s="1"/>
      <c r="GB59" s="1"/>
      <c r="GC59" s="1"/>
      <c r="GD59" s="1"/>
      <c r="GE59" s="1"/>
      <c r="GF59" s="1"/>
      <c r="GG59" s="1"/>
      <c r="GH59" s="1"/>
      <c r="GI59" s="1"/>
      <c r="GJ59" s="1"/>
      <c r="GK59" s="1"/>
      <c r="GL59" s="65"/>
      <c r="GM59" s="65"/>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row>
    <row r="60" spans="1:222" ht="15.75" customHeight="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row>
    <row r="61" spans="1:222" ht="15.75" customHeight="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row>
    <row r="62" spans="1:222" ht="15.75" customHeight="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row>
    <row r="63" spans="1:222" ht="15.75" customHeight="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row>
    <row r="64" spans="1:222" ht="15.75" customHeight="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row>
    <row r="65" spans="24:74" ht="15.75" customHeight="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row>
    <row r="66" spans="24:74" ht="15.75" customHeight="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row>
    <row r="67" spans="24:74" ht="15.75" customHeight="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row>
    <row r="68" spans="24:74" ht="15.75" customHeight="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row>
    <row r="69" spans="24:74" ht="15.75" customHeight="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row>
    <row r="70" spans="24:74" ht="15.75" customHeight="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row>
    <row r="71" spans="24:74" ht="15.75" customHeight="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row>
    <row r="72" spans="24:74" ht="15.75" customHeight="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row>
    <row r="73" spans="24:74" ht="15.75" customHeight="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row>
    <row r="74" spans="24:74" ht="15.75" customHeight="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row>
    <row r="75" spans="24:74" ht="15.75" customHeight="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row>
    <row r="76" spans="24:74" ht="15.75" customHeight="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row>
    <row r="77" spans="24:74" ht="15.75" customHeight="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row>
    <row r="78" spans="24:74" ht="15.75" customHeight="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row>
    <row r="79" spans="24:74" ht="15.75" customHeight="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row>
    <row r="80" spans="24:74" ht="15.75" customHeight="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row>
    <row r="81" spans="24:74" ht="15.75" customHeight="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row>
    <row r="82" spans="24:74" ht="15.75" customHeight="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row>
    <row r="83" spans="24:74" ht="15.75" customHeight="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row>
    <row r="84" spans="24:74" ht="15.75" customHeight="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row>
    <row r="85" spans="24:74" ht="15.75" customHeight="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row>
    <row r="86" spans="24:74" ht="15.75" customHeight="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row>
    <row r="87" spans="24:74" ht="15.75" customHeight="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row>
    <row r="88" spans="24:74" ht="15.75" customHeight="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row>
    <row r="89" spans="24:74" ht="15.75" customHeight="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row>
    <row r="90" spans="24:74" ht="15.75" customHeight="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row>
    <row r="91" spans="24:74" ht="15.75" customHeight="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row>
    <row r="92" spans="24:74" ht="15.75" customHeight="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row>
    <row r="93" spans="24:74" ht="15.75" customHeight="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row>
    <row r="94" spans="24:74" ht="15.75" customHeight="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row>
    <row r="95" spans="24:74" ht="15.75" customHeight="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row>
    <row r="96" spans="24:74" ht="15.75" customHeight="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row>
    <row r="97" spans="24:74" ht="15.75" customHeight="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row>
    <row r="98" spans="24:74" ht="15.75" customHeight="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row>
    <row r="99" spans="24:74" ht="15.75" customHeight="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row>
    <row r="100" spans="24:74" ht="15.75" customHeight="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row>
    <row r="101" spans="24:74" ht="15.75" customHeight="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row>
    <row r="102" spans="24:74" ht="15.75" customHeight="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row>
    <row r="103" spans="24:74" ht="15.75" customHeight="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row>
    <row r="104" spans="24:74" ht="15.75" customHeight="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row>
    <row r="105" spans="24:74" ht="15.75" customHeight="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row>
    <row r="106" spans="24:74" ht="15.75" customHeight="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row>
    <row r="107" spans="24:74" ht="15.75" customHeight="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row>
    <row r="108" spans="24:74" ht="15.75" customHeight="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row>
    <row r="109" spans="24:74" ht="15.75" customHeight="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row>
    <row r="110" spans="24:74" ht="15.75" customHeight="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row>
    <row r="111" spans="24:74" ht="15.75" customHeight="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row>
    <row r="112" spans="24:74" ht="15.75" customHeight="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row>
    <row r="113" spans="24:74" ht="15.75" customHeight="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row>
    <row r="114" spans="24:74" ht="15.75" customHeight="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row>
    <row r="115" spans="24:74" ht="15.75" customHeight="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row>
    <row r="116" spans="24:74" ht="15.75" customHeight="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row>
    <row r="117" spans="24:74" ht="15.75" customHeight="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row>
    <row r="118" spans="24:74" ht="15.75" customHeight="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row>
    <row r="119" spans="24:74" ht="15.75" customHeight="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row>
    <row r="120" spans="24:74" ht="15.75" customHeight="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row>
    <row r="121" spans="24:74" ht="15.75" customHeight="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row>
    <row r="122" spans="24:74" ht="15.75" customHeight="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row>
    <row r="123" spans="24:74" ht="15.75" customHeight="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row>
    <row r="124" spans="24:74" ht="15.75" customHeight="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row>
    <row r="125" spans="24:74" ht="15.75" customHeight="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row>
    <row r="126" spans="24:74" ht="15.75" customHeight="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row>
    <row r="127" spans="24:74" ht="15.75" customHeight="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row>
    <row r="128" spans="24:74" ht="15.75" customHeight="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row>
    <row r="129" spans="24:74" ht="15.75" customHeight="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row>
    <row r="130" spans="24:74" ht="15.75" customHeight="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row>
    <row r="131" spans="24:74" ht="15.75" customHeight="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row>
    <row r="132" spans="24:74" ht="15.75" customHeight="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row>
    <row r="133" spans="24:74" ht="15.75" customHeight="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row>
    <row r="134" spans="24:74" ht="15.75" customHeight="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row>
    <row r="135" spans="24:74" ht="15.75" customHeight="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row>
    <row r="136" spans="24:74" ht="15.75" customHeight="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row>
    <row r="137" spans="24:74" ht="15.75" customHeight="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row>
    <row r="138" spans="24:74" ht="15.75" customHeight="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row>
    <row r="139" spans="24:74" ht="15.75" customHeight="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row>
    <row r="140" spans="24:74" ht="15.75" customHeight="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row>
    <row r="141" spans="24:74" ht="15.75" customHeight="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row>
    <row r="142" spans="24:74" ht="15.75" customHeight="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row>
    <row r="143" spans="24:74" ht="15.75" customHeight="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row>
    <row r="144" spans="24:74" ht="15.75" customHeight="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row>
    <row r="145" spans="24:74" ht="15.75" customHeight="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row>
    <row r="146" spans="24:74" ht="15.75" customHeight="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row>
    <row r="147" spans="24:74" ht="15.75" customHeight="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row>
    <row r="148" spans="24:74" ht="15.75" customHeight="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row>
    <row r="149" spans="24:74" ht="15.75" customHeight="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row>
    <row r="150" spans="24:74" ht="15.75" customHeight="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row>
    <row r="151" spans="24:74" ht="15.75" customHeight="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row>
    <row r="152" spans="24:74" ht="15.75" customHeight="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row>
    <row r="153" spans="24:74" ht="15.75" customHeight="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row>
    <row r="154" spans="24:74" ht="15.75" customHeight="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row>
    <row r="155" spans="24:74" ht="15.75" customHeight="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row>
    <row r="156" spans="24:74" ht="15.75" customHeight="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row>
    <row r="157" spans="24:74" ht="15.75" customHeight="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row>
    <row r="158" spans="24:74" ht="15.75" customHeight="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row>
    <row r="159" spans="24:74" ht="15.75" customHeight="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row>
    <row r="160" spans="24:74" ht="15.75" customHeight="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row>
    <row r="161" spans="24:74" ht="15.75" customHeight="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row>
    <row r="162" spans="24:74" ht="15.75" customHeight="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row>
    <row r="163" spans="24:74" ht="15.75" customHeight="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row>
    <row r="164" spans="24:74" ht="15.75" customHeight="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row>
    <row r="165" spans="24:74" ht="15.75" customHeight="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row>
    <row r="166" spans="24:74" ht="15.75" customHeight="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row>
    <row r="167" spans="24:74" ht="15.75" customHeight="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row>
    <row r="168" spans="24:74" ht="15.75" customHeight="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row>
    <row r="169" spans="24:74" ht="15.75" customHeight="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row>
    <row r="170" spans="24:74" ht="15.75" customHeight="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row>
    <row r="171" spans="24:74" ht="15.75" customHeight="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row>
    <row r="172" spans="24:74" ht="15.75" customHeight="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row>
    <row r="173" spans="24:74" ht="15.75" customHeight="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row>
    <row r="174" spans="24:74" ht="15.75" customHeight="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row>
    <row r="175" spans="24:74" ht="15.75" customHeight="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row>
    <row r="176" spans="24:74" ht="15.75" customHeight="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row>
    <row r="177" spans="24:74" ht="15.75" customHeight="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row>
    <row r="178" spans="24:74" ht="15.75" customHeight="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row>
    <row r="179" spans="24:74" ht="15.75" customHeight="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row>
    <row r="180" spans="24:74" ht="15.75" customHeight="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row>
    <row r="181" spans="24:74" ht="15.75" customHeight="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row>
    <row r="182" spans="24:74" ht="15.75" customHeight="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row>
    <row r="183" spans="24:74" ht="15.75" customHeight="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row>
    <row r="184" spans="24:74" ht="15.75" customHeight="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row>
    <row r="185" spans="24:74" ht="15.75" customHeight="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row>
    <row r="186" spans="24:74" ht="15.75" customHeight="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row>
    <row r="187" spans="24:74" ht="15.75" customHeight="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row>
    <row r="188" spans="24:74" ht="15.75" customHeight="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row>
    <row r="189" spans="24:74" ht="15.75" customHeight="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row>
    <row r="190" spans="24:74" ht="15.75" customHeight="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row>
    <row r="191" spans="24:74" ht="15.75" customHeight="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row>
    <row r="192" spans="24:74" ht="15.75" customHeight="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row>
    <row r="193" spans="24:74" ht="15.75" customHeight="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row>
    <row r="194" spans="24:74" ht="15.75" customHeight="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row>
    <row r="195" spans="24:74" ht="15.75" customHeight="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row>
    <row r="196" spans="24:74" ht="15.75" customHeight="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row>
    <row r="197" spans="24:74" ht="15.75" customHeight="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row>
    <row r="198" spans="24:74" ht="15.75" customHeight="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row>
    <row r="199" spans="24:74" ht="15.75" customHeight="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row>
    <row r="200" spans="24:74" ht="15.75" customHeight="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row>
    <row r="201" spans="24:74" ht="15.75" customHeight="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row>
    <row r="202" spans="24:74" ht="15.75" customHeight="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row>
    <row r="203" spans="24:74" ht="15.75" customHeight="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row>
    <row r="204" spans="24:74" ht="15.75" customHeight="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row>
    <row r="205" spans="24:74" ht="15.75" customHeight="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row>
    <row r="206" spans="24:74" ht="15.75" customHeight="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row>
    <row r="207" spans="24:74" ht="15.75" customHeight="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row>
    <row r="208" spans="24:74" ht="15.75" customHeight="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row>
    <row r="209" spans="24:74" ht="15.75" customHeight="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row>
    <row r="210" spans="24:74" ht="15.75" customHeight="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row>
    <row r="211" spans="24:74" ht="15.75" customHeight="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row>
    <row r="212" spans="24:74" ht="15.75" customHeight="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row>
    <row r="213" spans="24:74" ht="15.75" customHeight="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row>
    <row r="214" spans="24:74" ht="15.75" customHeight="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row>
    <row r="215" spans="24:74" ht="15.75" customHeight="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row>
    <row r="216" spans="24:74" ht="15.75" customHeight="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row>
    <row r="217" spans="24:74" ht="15.75" customHeight="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row>
    <row r="218" spans="24:74" ht="15.75" customHeight="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row>
    <row r="219" spans="24:74" ht="15.75" customHeight="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row>
    <row r="220" spans="24:74" ht="15.75" customHeight="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row>
    <row r="221" spans="24:74" ht="15.75" customHeight="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row>
    <row r="222" spans="24:74" ht="15.75" customHeight="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row>
    <row r="223" spans="24:74" ht="15.75" customHeight="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row>
    <row r="224" spans="24:74" ht="15.75" customHeight="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row>
    <row r="225" spans="24:74" ht="15.75" customHeight="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row>
    <row r="226" spans="24:74" ht="15.75" customHeight="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row>
    <row r="227" spans="24:74" ht="15.75" customHeight="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row>
    <row r="228" spans="24:74" ht="15.75" customHeight="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row>
    <row r="229" spans="24:74" ht="15.75" customHeight="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row>
    <row r="230" spans="24:74" ht="15.75" customHeight="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row>
    <row r="231" spans="24:74" ht="15.75" customHeight="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row>
    <row r="232" spans="24:74" ht="15.75" customHeight="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row>
    <row r="233" spans="24:74" ht="15.75" customHeight="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row>
    <row r="234" spans="24:74" ht="15.75" customHeight="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row>
    <row r="235" spans="24:74" ht="15.75" customHeight="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row>
    <row r="236" spans="24:74" ht="15.75" customHeight="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row>
    <row r="237" spans="24:74" ht="15.75" customHeight="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row>
    <row r="238" spans="24:74" ht="15.75" customHeight="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row>
    <row r="239" spans="24:74" ht="15.75" customHeight="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row>
    <row r="240" spans="24:74" ht="15.75" customHeight="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row>
    <row r="241" spans="24:74" ht="15.75" customHeight="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row>
    <row r="242" spans="24:74" ht="15.75" customHeight="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row>
    <row r="243" spans="24:74" ht="15.75" customHeight="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row>
    <row r="244" spans="24:74" ht="15.75" customHeight="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row>
  </sheetData>
  <mergeCells count="311">
    <mergeCell ref="FL8:FL9"/>
    <mergeCell ref="FK7:FM7"/>
    <mergeCell ref="FN7:FN9"/>
    <mergeCell ref="FD6:FT6"/>
    <mergeCell ref="FU6:GK6"/>
    <mergeCell ref="GL6:HB6"/>
    <mergeCell ref="EC7:EE7"/>
    <mergeCell ref="EF7:EF9"/>
    <mergeCell ref="EG7:EG9"/>
    <mergeCell ref="ED8:ED9"/>
    <mergeCell ref="GT8:GT9"/>
    <mergeCell ref="FX7:FX9"/>
    <mergeCell ref="FY7:GA7"/>
    <mergeCell ref="GB7:GD7"/>
    <mergeCell ref="GE7:GE9"/>
    <mergeCell ref="GF7:GF9"/>
    <mergeCell ref="ET7:EV7"/>
    <mergeCell ref="EW7:EW9"/>
    <mergeCell ref="EX7:EX9"/>
    <mergeCell ref="FC7:FC9"/>
    <mergeCell ref="FD7:FD9"/>
    <mergeCell ref="FF7:FF9"/>
    <mergeCell ref="FO7:FO9"/>
    <mergeCell ref="FT7:FT9"/>
    <mergeCell ref="EL7:EL9"/>
    <mergeCell ref="ER8:ER9"/>
    <mergeCell ref="ES8:ES9"/>
    <mergeCell ref="CN5:DD5"/>
    <mergeCell ref="DE5:DU5"/>
    <mergeCell ref="DV5:EL5"/>
    <mergeCell ref="EM5:FC5"/>
    <mergeCell ref="FD5:FT5"/>
    <mergeCell ref="FU5:GK5"/>
    <mergeCell ref="GL5:HB5"/>
    <mergeCell ref="B1:D1"/>
    <mergeCell ref="B5:D5"/>
    <mergeCell ref="G5:W5"/>
    <mergeCell ref="X5:AN5"/>
    <mergeCell ref="AO5:BE5"/>
    <mergeCell ref="BF5:BV5"/>
    <mergeCell ref="BW5:CM5"/>
    <mergeCell ref="DV6:EL6"/>
    <mergeCell ref="EM6:FC6"/>
    <mergeCell ref="EM7:EM9"/>
    <mergeCell ref="EO7:EO9"/>
    <mergeCell ref="J7:J9"/>
    <mergeCell ref="K7:M7"/>
    <mergeCell ref="L8:L9"/>
    <mergeCell ref="M8:M9"/>
    <mergeCell ref="O8:O9"/>
    <mergeCell ref="AC8:AC9"/>
    <mergeCell ref="AD8:AD9"/>
    <mergeCell ref="CS8:CS9"/>
    <mergeCell ref="CT8:CT9"/>
    <mergeCell ref="CV8:CV9"/>
    <mergeCell ref="DJ8:DJ9"/>
    <mergeCell ref="DK8:DK9"/>
    <mergeCell ref="DM8:DM9"/>
    <mergeCell ref="BK8:BK9"/>
    <mergeCell ref="BL8:BL9"/>
    <mergeCell ref="BJ7:BL7"/>
    <mergeCell ref="BM7:BO7"/>
    <mergeCell ref="BP7:BP9"/>
    <mergeCell ref="BQ7:BQ9"/>
    <mergeCell ref="BU7:BU9"/>
    <mergeCell ref="CG7:CG9"/>
    <mergeCell ref="CH7:CH9"/>
    <mergeCell ref="CM7:CM9"/>
    <mergeCell ref="DG7:DG9"/>
    <mergeCell ref="DH7:DH9"/>
    <mergeCell ref="CU7:CW7"/>
    <mergeCell ref="G7:G9"/>
    <mergeCell ref="I7:I9"/>
    <mergeCell ref="AO6:BE6"/>
    <mergeCell ref="BF6:BV6"/>
    <mergeCell ref="BW6:CM6"/>
    <mergeCell ref="CN6:DD6"/>
    <mergeCell ref="DE6:DU6"/>
    <mergeCell ref="BV7:BV9"/>
    <mergeCell ref="BW7:BW9"/>
    <mergeCell ref="BN8:BN9"/>
    <mergeCell ref="AT8:AT9"/>
    <mergeCell ref="AU8:AU9"/>
    <mergeCell ref="AW8:AW9"/>
    <mergeCell ref="CB8:CB9"/>
    <mergeCell ref="CC8:CC9"/>
    <mergeCell ref="CE8:CE9"/>
    <mergeCell ref="BD7:BD9"/>
    <mergeCell ref="BE7:BE9"/>
    <mergeCell ref="BF7:BF9"/>
    <mergeCell ref="BH7:BH9"/>
    <mergeCell ref="BI7:BI9"/>
    <mergeCell ref="BY7:BY9"/>
    <mergeCell ref="BZ7:BZ9"/>
    <mergeCell ref="CA7:CC7"/>
    <mergeCell ref="CD7:CF7"/>
    <mergeCell ref="FU7:FU9"/>
    <mergeCell ref="FW7:FW9"/>
    <mergeCell ref="FZ10:GA10"/>
    <mergeCell ref="FZ11:GA11"/>
    <mergeCell ref="FZ12:GA12"/>
    <mergeCell ref="FZ13:GA13"/>
    <mergeCell ref="FZ14:GA14"/>
    <mergeCell ref="ER15:ES15"/>
    <mergeCell ref="ER16:ES16"/>
    <mergeCell ref="EQ7:ES7"/>
    <mergeCell ref="ER10:ES10"/>
    <mergeCell ref="ER11:ES11"/>
    <mergeCell ref="ER12:ES12"/>
    <mergeCell ref="ER13:ES13"/>
    <mergeCell ref="ER14:ES14"/>
    <mergeCell ref="FI15:FJ15"/>
    <mergeCell ref="FI16:FJ16"/>
    <mergeCell ref="FG7:FG9"/>
    <mergeCell ref="FH7:FJ7"/>
    <mergeCell ref="FI10:FJ10"/>
    <mergeCell ref="FI11:FJ11"/>
    <mergeCell ref="FI12:FJ12"/>
    <mergeCell ref="FI13:FJ13"/>
    <mergeCell ref="FI14:FJ14"/>
    <mergeCell ref="BK21:BL21"/>
    <mergeCell ref="BK10:BL10"/>
    <mergeCell ref="BK11:BL11"/>
    <mergeCell ref="BK12:BL12"/>
    <mergeCell ref="BK13:BL13"/>
    <mergeCell ref="BK14:BL14"/>
    <mergeCell ref="BK15:BL15"/>
    <mergeCell ref="BK16:BL16"/>
    <mergeCell ref="N7:P7"/>
    <mergeCell ref="Q7:Q9"/>
    <mergeCell ref="AO7:AO9"/>
    <mergeCell ref="AQ7:AQ9"/>
    <mergeCell ref="AR7:AR9"/>
    <mergeCell ref="AS7:AU7"/>
    <mergeCell ref="AV7:AX7"/>
    <mergeCell ref="AY7:AY9"/>
    <mergeCell ref="AZ7:AZ9"/>
    <mergeCell ref="Z7:Z9"/>
    <mergeCell ref="AA7:AA9"/>
    <mergeCell ref="W7:W9"/>
    <mergeCell ref="X7:X9"/>
    <mergeCell ref="AB7:AD7"/>
    <mergeCell ref="AE7:AG7"/>
    <mergeCell ref="AH7:AH9"/>
    <mergeCell ref="CN7:CN9"/>
    <mergeCell ref="CP7:CP9"/>
    <mergeCell ref="CS10:CT10"/>
    <mergeCell ref="CS11:CT11"/>
    <mergeCell ref="CS12:CT12"/>
    <mergeCell ref="CS13:CT13"/>
    <mergeCell ref="CS14:CT14"/>
    <mergeCell ref="CQ7:CQ9"/>
    <mergeCell ref="CR7:CT7"/>
    <mergeCell ref="CB21:CC21"/>
    <mergeCell ref="CB10:CC10"/>
    <mergeCell ref="CB11:CC11"/>
    <mergeCell ref="CB12:CC12"/>
    <mergeCell ref="CB13:CC13"/>
    <mergeCell ref="CB14:CC14"/>
    <mergeCell ref="CB15:CC15"/>
    <mergeCell ref="CB16:CC16"/>
    <mergeCell ref="CS15:CT15"/>
    <mergeCell ref="CS16:CT16"/>
    <mergeCell ref="CS17:CT17"/>
    <mergeCell ref="CS18:CT18"/>
    <mergeCell ref="CS19:CT19"/>
    <mergeCell ref="CS20:CT20"/>
    <mergeCell ref="CS21:CT21"/>
    <mergeCell ref="CX7:CX9"/>
    <mergeCell ref="CY7:CY9"/>
    <mergeCell ref="DD7:DD9"/>
    <mergeCell ref="DE7:DE9"/>
    <mergeCell ref="DI7:DK7"/>
    <mergeCell ref="DL7:DN7"/>
    <mergeCell ref="DO7:DO9"/>
    <mergeCell ref="DP7:DP9"/>
    <mergeCell ref="DU7:DU9"/>
    <mergeCell ref="DV7:DV9"/>
    <mergeCell ref="DX7:DX9"/>
    <mergeCell ref="EA15:EB15"/>
    <mergeCell ref="EA16:EB16"/>
    <mergeCell ref="EA17:EB17"/>
    <mergeCell ref="ER17:ES17"/>
    <mergeCell ref="FI17:FJ17"/>
    <mergeCell ref="ER18:ES18"/>
    <mergeCell ref="FI18:FJ18"/>
    <mergeCell ref="EA18:EB18"/>
    <mergeCell ref="DY7:DY9"/>
    <mergeCell ref="DZ7:EB7"/>
    <mergeCell ref="EA10:EB10"/>
    <mergeCell ref="EA11:EB11"/>
    <mergeCell ref="EA12:EB12"/>
    <mergeCell ref="EA13:EB13"/>
    <mergeCell ref="EA14:EB14"/>
    <mergeCell ref="EP7:EP9"/>
    <mergeCell ref="EA8:EA9"/>
    <mergeCell ref="EB8:EB9"/>
    <mergeCell ref="EU8:EU9"/>
    <mergeCell ref="FI8:FI9"/>
    <mergeCell ref="FJ8:FJ9"/>
    <mergeCell ref="EA21:EB21"/>
    <mergeCell ref="ER21:ES21"/>
    <mergeCell ref="FI21:FJ21"/>
    <mergeCell ref="DJ17:DK17"/>
    <mergeCell ref="DJ18:DK18"/>
    <mergeCell ref="DJ19:DK19"/>
    <mergeCell ref="DJ20:DK20"/>
    <mergeCell ref="DJ21:DK21"/>
    <mergeCell ref="DJ10:DK10"/>
    <mergeCell ref="DJ11:DK11"/>
    <mergeCell ref="DJ12:DK12"/>
    <mergeCell ref="DJ13:DK13"/>
    <mergeCell ref="DJ14:DK14"/>
    <mergeCell ref="DJ15:DK15"/>
    <mergeCell ref="DJ16:DK16"/>
    <mergeCell ref="GQ20:GR20"/>
    <mergeCell ref="FZ21:GA21"/>
    <mergeCell ref="GQ21:GR21"/>
    <mergeCell ref="GW7:GW9"/>
    <mergeCell ref="HB7:HB9"/>
    <mergeCell ref="GK7:GK9"/>
    <mergeCell ref="GL7:GL9"/>
    <mergeCell ref="GN7:GN9"/>
    <mergeCell ref="GO7:GO9"/>
    <mergeCell ref="GP7:GR7"/>
    <mergeCell ref="GS7:GU7"/>
    <mergeCell ref="GV7:GV9"/>
    <mergeCell ref="FZ15:GA15"/>
    <mergeCell ref="FZ16:GA16"/>
    <mergeCell ref="FZ8:FZ9"/>
    <mergeCell ref="GA8:GA9"/>
    <mergeCell ref="GC8:GC9"/>
    <mergeCell ref="GQ8:GQ9"/>
    <mergeCell ref="GR8:GR9"/>
    <mergeCell ref="FZ20:GA20"/>
    <mergeCell ref="AC15:AD15"/>
    <mergeCell ref="AC16:AD16"/>
    <mergeCell ref="AC10:AD10"/>
    <mergeCell ref="AC11:AD11"/>
    <mergeCell ref="AC12:AD12"/>
    <mergeCell ref="AC13:AD13"/>
    <mergeCell ref="AC14:AD14"/>
    <mergeCell ref="AT19:AU19"/>
    <mergeCell ref="AT20:AU20"/>
    <mergeCell ref="EA19:EB19"/>
    <mergeCell ref="ER19:ES19"/>
    <mergeCell ref="FI19:FJ19"/>
    <mergeCell ref="ER20:ES20"/>
    <mergeCell ref="FI20:FJ20"/>
    <mergeCell ref="EA20:EB20"/>
    <mergeCell ref="CB17:CC17"/>
    <mergeCell ref="CB18:CC18"/>
    <mergeCell ref="CB19:CC19"/>
    <mergeCell ref="CB20:CC20"/>
    <mergeCell ref="BK17:BL17"/>
    <mergeCell ref="BK18:BL18"/>
    <mergeCell ref="BK19:BL19"/>
    <mergeCell ref="BK20:BL20"/>
    <mergeCell ref="L17:M17"/>
    <mergeCell ref="AC17:AD17"/>
    <mergeCell ref="L18:M18"/>
    <mergeCell ref="AC18:AD18"/>
    <mergeCell ref="AC19:AD19"/>
    <mergeCell ref="GQ10:GR10"/>
    <mergeCell ref="GQ11:GR11"/>
    <mergeCell ref="GQ12:GR12"/>
    <mergeCell ref="FZ17:GA17"/>
    <mergeCell ref="FZ18:GA18"/>
    <mergeCell ref="FZ19:GA19"/>
    <mergeCell ref="GQ16:GR16"/>
    <mergeCell ref="GQ17:GR17"/>
    <mergeCell ref="GQ15:GR15"/>
    <mergeCell ref="GQ18:GR18"/>
    <mergeCell ref="GQ14:GR14"/>
    <mergeCell ref="GQ19:GR19"/>
    <mergeCell ref="GQ13:GR13"/>
    <mergeCell ref="B6:B9"/>
    <mergeCell ref="C6:C9"/>
    <mergeCell ref="D6:D9"/>
    <mergeCell ref="E6:E9"/>
    <mergeCell ref="F6:F9"/>
    <mergeCell ref="G6:W6"/>
    <mergeCell ref="X6:AN6"/>
    <mergeCell ref="R7:R9"/>
    <mergeCell ref="V7:V9"/>
    <mergeCell ref="AI7:AI9"/>
    <mergeCell ref="AF8:AF9"/>
    <mergeCell ref="AT21:AU21"/>
    <mergeCell ref="AM7:AM9"/>
    <mergeCell ref="AN7:AN9"/>
    <mergeCell ref="AT10:AU10"/>
    <mergeCell ref="AT11:AU11"/>
    <mergeCell ref="AT12:AU12"/>
    <mergeCell ref="AT13:AU13"/>
    <mergeCell ref="AT14:AU14"/>
    <mergeCell ref="L10:M10"/>
    <mergeCell ref="L11:M11"/>
    <mergeCell ref="L12:M12"/>
    <mergeCell ref="L13:M13"/>
    <mergeCell ref="L14:M14"/>
    <mergeCell ref="AT15:AU15"/>
    <mergeCell ref="AT16:AU16"/>
    <mergeCell ref="AT17:AU17"/>
    <mergeCell ref="AT18:AU18"/>
    <mergeCell ref="L19:M19"/>
    <mergeCell ref="L20:M20"/>
    <mergeCell ref="L21:M21"/>
    <mergeCell ref="AC20:AD20"/>
    <mergeCell ref="AC21:AD21"/>
    <mergeCell ref="L15:M15"/>
    <mergeCell ref="L16:M16"/>
  </mergeCells>
  <dataValidations count="6">
    <dataValidation type="list" allowBlank="1" showErrorMessage="1" sqref="U10:U21 AL10:AL21 BC10:BC21 BT10:BT21 CK10:CK21 DB10:DB21 DS10:DS21 EJ10:EJ21 FA10:FA21 FR10:FR21 GI10:GI21 GZ10:GZ21">
      <formula1>$U$8:$U$9</formula1>
    </dataValidation>
    <dataValidation type="list" allowBlank="1" showErrorMessage="1" sqref="H10:H21 Y10:Y21 AP10:AP21 BG10:BG21 BX10:BX21 CO10:CO21 DF10:DF21 DW10:DW21 EN10:EN21 FE10:FE21 FV10:FV21 GM10:GM21">
      <formula1>$H$8:$H$9</formula1>
    </dataValidation>
    <dataValidation type="list" allowBlank="1" showErrorMessage="1" sqref="L10:L21 AC10:AC21 AT10:AT21 BK10:BK21 CB10:CB21 CS10:CS21 DJ10:DJ21 EA10:EA21 ER10:ER21 FI10:FI21 FZ10:FZ21 GQ10:GQ21">
      <formula1>$L$23:$L$26</formula1>
    </dataValidation>
    <dataValidation type="list" allowBlank="1" sqref="P11:P21 AG11:AG21 AX11:AX21 BO11:BO21 CF11:CF21 CW11:CW21 DN11:DN21 EE11:EE21 EV11:EV21 FM11:FM21 GD11:GD21 GU11:GU21">
      <formula1>$P$23:$P$27</formula1>
    </dataValidation>
    <dataValidation type="list" allowBlank="1" showErrorMessage="1" sqref="O10:O21 AF10:AF21 AW10:AW21 BN10:BN21 CE10:CE21 CV10:CV21 DM10:DM21 ED10:ED21 EU10:EU21 FL10:FL21 GC10:GC21 GT10:GT21">
      <formula1>$O$23:$O$26</formula1>
    </dataValidation>
    <dataValidation type="list" allowBlank="1" showErrorMessage="1" sqref="P10 AG10 AX10 BO10 CF10 CW10 DN10 EE10 EV10 FM10 GD10 GU10">
      <formula1>$P23:$P26</formula1>
    </dataValidation>
  </dataValidations>
  <printOptions horizontalCentered="1" verticalCentered="1"/>
  <pageMargins left="0.25" right="0.25" top="0.75" bottom="0.75" header="0" footer="0"/>
  <pageSetup paperSize="9" fitToHeight="0" orientation="landscape"/>
  <drawing r:id="rId1"/>
  <extLst>
    <ext xmlns:x14="http://schemas.microsoft.com/office/spreadsheetml/2009/9/main" uri="{CCE6A557-97BC-4b89-ADB6-D9C93CAAB3DF}">
      <x14:dataValidations xmlns:xm="http://schemas.microsoft.com/office/excel/2006/main" count="1">
        <x14:dataValidation type="list" allowBlank="1" showErrorMessage="1">
          <x14:formula1>
            <xm:f>'DADOS-CADASTRAIS'!$C$6:$C$102</xm:f>
          </x14:formula1>
          <xm:sqref>I10:I21 Z10:Z21 AQ10:AQ21 BH10:BH21 BY10:BY21 CP10:CP21 DG10:DG21 DX10:DX21 EO10:EO21 FF10:FF21 FW10:FW21 GN10:GN21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1000"/>
  <sheetViews>
    <sheetView topLeftCell="C1" workbookViewId="0">
      <selection activeCell="C14" sqref="C14:E14"/>
    </sheetView>
  </sheetViews>
  <sheetFormatPr defaultColWidth="14.42578125" defaultRowHeight="15" customHeight="1" outlineLevelRow="1"/>
  <cols>
    <col min="1" max="1" width="2.42578125" customWidth="1"/>
    <col min="2" max="2" width="56.7109375" customWidth="1"/>
    <col min="3" max="4" width="47.140625" customWidth="1"/>
    <col min="5" max="5" width="47.28515625" customWidth="1"/>
    <col min="6" max="8" width="48.28515625" customWidth="1"/>
    <col min="9" max="14" width="46.7109375" customWidth="1"/>
    <col min="15" max="15" width="9.140625" customWidth="1"/>
  </cols>
  <sheetData>
    <row r="1" spans="1:15" ht="7.5" customHeight="1">
      <c r="A1" s="347"/>
      <c r="B1" s="347"/>
      <c r="C1" s="347"/>
      <c r="D1" s="347"/>
      <c r="E1" s="347"/>
      <c r="F1" s="347"/>
      <c r="G1" s="347"/>
      <c r="H1" s="347"/>
      <c r="I1" s="347"/>
      <c r="J1" s="347"/>
      <c r="K1" s="347"/>
      <c r="L1" s="347"/>
      <c r="M1" s="347"/>
      <c r="N1" s="347"/>
      <c r="O1" s="347"/>
    </row>
    <row r="2" spans="1:15" ht="12.75" customHeight="1">
      <c r="A2" s="347"/>
      <c r="B2" s="348"/>
      <c r="C2" s="347"/>
      <c r="D2" s="349"/>
      <c r="E2" s="349"/>
      <c r="F2" s="347"/>
      <c r="G2" s="347"/>
      <c r="H2" s="347"/>
      <c r="I2" s="347"/>
      <c r="J2" s="347"/>
      <c r="K2" s="347"/>
      <c r="L2" s="347"/>
      <c r="M2" s="347"/>
      <c r="N2" s="347"/>
      <c r="O2" s="347"/>
    </row>
    <row r="3" spans="1:15" ht="12.75" customHeight="1">
      <c r="A3" s="347"/>
      <c r="B3" s="348" t="s">
        <v>245</v>
      </c>
      <c r="C3" s="349" t="s">
        <v>246</v>
      </c>
      <c r="D3" s="349"/>
      <c r="E3" s="349"/>
      <c r="F3" s="347"/>
      <c r="G3" s="347"/>
      <c r="H3" s="347"/>
      <c r="I3" s="347"/>
      <c r="J3" s="347"/>
      <c r="K3" s="347"/>
      <c r="L3" s="347"/>
      <c r="M3" s="347"/>
      <c r="N3" s="347"/>
      <c r="O3" s="347"/>
    </row>
    <row r="4" spans="1:15" ht="12.75" customHeight="1">
      <c r="A4" s="347"/>
      <c r="B4" s="348"/>
      <c r="C4" s="349" t="s">
        <v>247</v>
      </c>
      <c r="D4" s="349"/>
      <c r="E4" s="349"/>
      <c r="F4" s="347"/>
      <c r="G4" s="347"/>
      <c r="H4" s="347"/>
      <c r="I4" s="347"/>
      <c r="J4" s="347"/>
      <c r="K4" s="347"/>
      <c r="L4" s="347"/>
      <c r="M4" s="347"/>
      <c r="N4" s="347"/>
      <c r="O4" s="347"/>
    </row>
    <row r="5" spans="1:15" ht="12.75" customHeight="1">
      <c r="A5" s="347"/>
      <c r="B5" s="348"/>
      <c r="C5" s="349" t="s">
        <v>248</v>
      </c>
      <c r="D5" s="350"/>
      <c r="E5" s="350"/>
      <c r="F5" s="347"/>
      <c r="G5" s="347"/>
      <c r="H5" s="347"/>
      <c r="I5" s="347"/>
      <c r="J5" s="347"/>
      <c r="K5" s="347"/>
      <c r="L5" s="347"/>
      <c r="M5" s="347"/>
      <c r="N5" s="347"/>
      <c r="O5" s="347"/>
    </row>
    <row r="6" spans="1:15" ht="12.75" customHeight="1">
      <c r="A6" s="347"/>
      <c r="B6" s="348"/>
      <c r="C6" s="349"/>
      <c r="D6" s="349"/>
      <c r="E6" s="349"/>
      <c r="F6" s="347"/>
      <c r="G6" s="347"/>
      <c r="H6" s="347"/>
      <c r="I6" s="347"/>
      <c r="J6" s="347"/>
      <c r="K6" s="347"/>
      <c r="L6" s="347"/>
      <c r="M6" s="347"/>
      <c r="N6" s="347"/>
      <c r="O6" s="347"/>
    </row>
    <row r="7" spans="1:15" ht="12.75" customHeight="1">
      <c r="A7" s="347"/>
      <c r="B7" s="348"/>
      <c r="C7" s="349"/>
      <c r="D7" s="349"/>
      <c r="E7" s="349"/>
      <c r="F7" s="347"/>
      <c r="G7" s="347"/>
      <c r="H7" s="347"/>
      <c r="I7" s="347"/>
      <c r="J7" s="347"/>
      <c r="K7" s="347"/>
      <c r="L7" s="347"/>
      <c r="M7" s="347"/>
      <c r="N7" s="347"/>
      <c r="O7" s="347"/>
    </row>
    <row r="8" spans="1:15" ht="12.75" customHeight="1">
      <c r="A8" s="347"/>
      <c r="B8" s="348"/>
      <c r="C8" s="349"/>
      <c r="D8" s="349"/>
      <c r="E8" s="349"/>
      <c r="F8" s="347"/>
      <c r="G8" s="347"/>
      <c r="H8" s="347"/>
      <c r="I8" s="347"/>
      <c r="J8" s="347"/>
      <c r="K8" s="347"/>
      <c r="L8" s="347"/>
      <c r="M8" s="347"/>
      <c r="N8" s="347"/>
      <c r="O8" s="347"/>
    </row>
    <row r="9" spans="1:15" ht="12.75" customHeight="1">
      <c r="A9" s="347"/>
      <c r="B9" s="1035" t="s">
        <v>249</v>
      </c>
      <c r="C9" s="977"/>
      <c r="D9" s="977"/>
      <c r="E9" s="1007"/>
      <c r="F9" s="347"/>
      <c r="G9" s="347"/>
      <c r="H9" s="347"/>
      <c r="I9" s="347"/>
      <c r="J9" s="347"/>
      <c r="K9" s="347"/>
      <c r="L9" s="347"/>
      <c r="M9" s="347"/>
      <c r="N9" s="347"/>
      <c r="O9" s="347"/>
    </row>
    <row r="10" spans="1:15" ht="12.75" customHeight="1">
      <c r="A10" s="347"/>
      <c r="B10" s="348"/>
      <c r="C10" s="348"/>
      <c r="D10" s="348"/>
      <c r="E10" s="348"/>
      <c r="F10" s="347"/>
      <c r="G10" s="347"/>
      <c r="H10" s="347"/>
      <c r="I10" s="347"/>
      <c r="J10" s="347"/>
      <c r="K10" s="347"/>
      <c r="L10" s="347"/>
      <c r="M10" s="347"/>
      <c r="N10" s="347"/>
      <c r="O10" s="347"/>
    </row>
    <row r="11" spans="1:15" ht="18.75" customHeight="1">
      <c r="A11" s="347"/>
      <c r="B11" s="351" t="s">
        <v>250</v>
      </c>
      <c r="C11" s="1036" t="str">
        <f>CAMPUS.CONTRATANTE!G5</f>
        <v xml:space="preserve"> S E R V I Ç O S     -   REFEITORIO_×_JARDINAGEM</v>
      </c>
      <c r="D11" s="1009"/>
      <c r="E11" s="1009"/>
      <c r="F11" s="347"/>
      <c r="G11" s="347"/>
      <c r="H11" s="347"/>
      <c r="I11" s="347"/>
      <c r="J11" s="347"/>
      <c r="K11" s="347"/>
      <c r="L11" s="347"/>
      <c r="M11" s="347"/>
      <c r="N11" s="347"/>
      <c r="O11" s="347"/>
    </row>
    <row r="12" spans="1:15" ht="12.75" customHeight="1">
      <c r="A12" s="347"/>
      <c r="B12" s="352" t="s">
        <v>251</v>
      </c>
      <c r="C12" s="1029"/>
      <c r="D12" s="1009"/>
      <c r="E12" s="1030"/>
      <c r="F12" s="347"/>
      <c r="G12" s="347"/>
      <c r="H12" s="347"/>
      <c r="I12" s="347"/>
      <c r="J12" s="347"/>
      <c r="K12" s="347"/>
      <c r="L12" s="347"/>
      <c r="M12" s="347"/>
      <c r="N12" s="347"/>
      <c r="O12" s="347"/>
    </row>
    <row r="13" spans="1:15" ht="12.75" customHeight="1">
      <c r="A13" s="347"/>
      <c r="B13" s="353" t="s">
        <v>252</v>
      </c>
      <c r="C13" s="1029"/>
      <c r="D13" s="1009"/>
      <c r="E13" s="1030"/>
      <c r="F13" s="347"/>
      <c r="G13" s="347"/>
      <c r="H13" s="347"/>
      <c r="I13" s="347"/>
      <c r="J13" s="347"/>
      <c r="K13" s="347"/>
      <c r="L13" s="347"/>
      <c r="M13" s="347"/>
      <c r="N13" s="347"/>
      <c r="O13" s="347"/>
    </row>
    <row r="14" spans="1:15" ht="23.25" customHeight="1">
      <c r="A14" s="354"/>
      <c r="B14" s="355" t="s">
        <v>253</v>
      </c>
      <c r="C14" s="1037" t="s">
        <v>50</v>
      </c>
      <c r="D14" s="1009"/>
      <c r="E14" s="1030"/>
      <c r="F14" s="356" t="s">
        <v>254</v>
      </c>
      <c r="G14" s="357"/>
      <c r="H14" s="357"/>
      <c r="I14" s="357"/>
      <c r="J14" s="357"/>
      <c r="K14" s="357"/>
      <c r="L14" s="357"/>
      <c r="M14" s="357"/>
      <c r="N14" s="357"/>
      <c r="O14" s="354"/>
    </row>
    <row r="15" spans="1:15" ht="12.75" customHeight="1">
      <c r="A15" s="347"/>
      <c r="B15" s="353" t="s">
        <v>255</v>
      </c>
      <c r="C15" s="1029"/>
      <c r="D15" s="1009"/>
      <c r="E15" s="1030"/>
      <c r="F15" s="347"/>
      <c r="G15" s="347"/>
      <c r="H15" s="347"/>
      <c r="I15" s="347"/>
      <c r="J15" s="347"/>
      <c r="K15" s="347"/>
      <c r="L15" s="347"/>
      <c r="M15" s="347"/>
      <c r="N15" s="347"/>
      <c r="O15" s="347"/>
    </row>
    <row r="16" spans="1:15" ht="12.75" customHeight="1">
      <c r="A16" s="347"/>
      <c r="B16" s="353" t="s">
        <v>256</v>
      </c>
      <c r="C16" s="1031"/>
      <c r="D16" s="1009"/>
      <c r="E16" s="1030"/>
      <c r="F16" s="347"/>
      <c r="G16" s="347"/>
      <c r="H16" s="347"/>
      <c r="I16" s="347"/>
      <c r="J16" s="347"/>
      <c r="K16" s="347"/>
      <c r="L16" s="347"/>
      <c r="M16" s="347"/>
      <c r="N16" s="347"/>
      <c r="O16" s="347"/>
    </row>
    <row r="17" spans="1:15" ht="12.75" customHeight="1">
      <c r="A17" s="347"/>
      <c r="B17" s="353" t="s">
        <v>257</v>
      </c>
      <c r="C17" s="1029"/>
      <c r="D17" s="1009"/>
      <c r="E17" s="1030"/>
      <c r="F17" s="347"/>
      <c r="G17" s="347"/>
      <c r="H17" s="347"/>
      <c r="I17" s="347"/>
      <c r="J17" s="347"/>
      <c r="K17" s="347"/>
      <c r="L17" s="347"/>
      <c r="M17" s="347"/>
      <c r="N17" s="347"/>
      <c r="O17" s="347"/>
    </row>
    <row r="18" spans="1:15" ht="12.75" customHeight="1">
      <c r="A18" s="347"/>
      <c r="B18" s="353" t="s">
        <v>258</v>
      </c>
      <c r="C18" s="1029"/>
      <c r="D18" s="1009"/>
      <c r="E18" s="1030"/>
      <c r="F18" s="347"/>
      <c r="G18" s="347"/>
      <c r="H18" s="347"/>
      <c r="I18" s="347"/>
      <c r="J18" s="347"/>
      <c r="K18" s="347"/>
      <c r="L18" s="347"/>
      <c r="M18" s="347"/>
      <c r="N18" s="347"/>
      <c r="O18" s="347"/>
    </row>
    <row r="19" spans="1:15" ht="12.75" customHeight="1">
      <c r="A19" s="347"/>
      <c r="B19" s="353" t="s">
        <v>259</v>
      </c>
      <c r="C19" s="1029"/>
      <c r="D19" s="1009"/>
      <c r="E19" s="1030"/>
      <c r="F19" s="347"/>
      <c r="G19" s="347"/>
      <c r="H19" s="347"/>
      <c r="I19" s="347"/>
      <c r="J19" s="347"/>
      <c r="K19" s="347"/>
      <c r="L19" s="347"/>
      <c r="M19" s="347"/>
      <c r="N19" s="347"/>
      <c r="O19" s="347"/>
    </row>
    <row r="20" spans="1:15" ht="12.75" customHeight="1">
      <c r="A20" s="347"/>
      <c r="B20" s="353" t="s">
        <v>260</v>
      </c>
      <c r="C20" s="358"/>
      <c r="D20" s="359"/>
      <c r="E20" s="360"/>
      <c r="F20" s="347"/>
      <c r="G20" s="347"/>
      <c r="H20" s="347"/>
      <c r="I20" s="347"/>
      <c r="J20" s="347"/>
      <c r="K20" s="347"/>
      <c r="L20" s="347"/>
      <c r="M20" s="347"/>
      <c r="N20" s="347"/>
      <c r="O20" s="347"/>
    </row>
    <row r="21" spans="1:15" ht="12.75" customHeight="1">
      <c r="A21" s="347"/>
      <c r="B21" s="353" t="s">
        <v>261</v>
      </c>
      <c r="C21" s="1029"/>
      <c r="D21" s="1009"/>
      <c r="E21" s="1030"/>
      <c r="F21" s="347"/>
      <c r="G21" s="347"/>
      <c r="H21" s="347"/>
      <c r="I21" s="347"/>
      <c r="J21" s="347"/>
      <c r="K21" s="347"/>
      <c r="L21" s="347"/>
      <c r="M21" s="347"/>
      <c r="N21" s="347"/>
      <c r="O21" s="347"/>
    </row>
    <row r="22" spans="1:15" ht="12.75" customHeight="1">
      <c r="A22" s="347"/>
      <c r="B22" s="353" t="s">
        <v>262</v>
      </c>
      <c r="C22" s="1033"/>
      <c r="D22" s="1009"/>
      <c r="E22" s="1030"/>
      <c r="F22" s="347"/>
      <c r="G22" s="347"/>
      <c r="H22" s="347"/>
      <c r="I22" s="347"/>
      <c r="J22" s="347"/>
      <c r="K22" s="347"/>
      <c r="L22" s="347"/>
      <c r="M22" s="347"/>
      <c r="N22" s="347"/>
      <c r="O22" s="347"/>
    </row>
    <row r="23" spans="1:15" ht="12.75" customHeight="1">
      <c r="A23" s="347"/>
      <c r="B23" s="353" t="s">
        <v>263</v>
      </c>
      <c r="C23" s="1034"/>
      <c r="D23" s="1015"/>
      <c r="E23" s="1016"/>
      <c r="F23" s="347"/>
      <c r="G23" s="347"/>
      <c r="H23" s="347"/>
      <c r="I23" s="347"/>
      <c r="J23" s="347"/>
      <c r="K23" s="347"/>
      <c r="L23" s="347"/>
      <c r="M23" s="347"/>
      <c r="N23" s="347"/>
      <c r="O23" s="347"/>
    </row>
    <row r="24" spans="1:15" ht="12.75" customHeight="1">
      <c r="A24" s="347"/>
      <c r="B24" s="361" t="s">
        <v>264</v>
      </c>
      <c r="C24" s="358"/>
      <c r="D24" s="360"/>
      <c r="E24" s="362"/>
      <c r="F24" s="347"/>
      <c r="G24" s="347"/>
      <c r="H24" s="347"/>
      <c r="I24" s="347"/>
      <c r="J24" s="347"/>
      <c r="K24" s="347"/>
      <c r="L24" s="347"/>
      <c r="M24" s="347"/>
      <c r="N24" s="347"/>
      <c r="O24" s="347"/>
    </row>
    <row r="25" spans="1:15" ht="12.75" customHeight="1">
      <c r="A25" s="347"/>
      <c r="B25" s="363"/>
      <c r="C25" s="363"/>
      <c r="D25" s="363"/>
      <c r="E25" s="363"/>
      <c r="F25" s="347"/>
      <c r="G25" s="347"/>
      <c r="H25" s="347"/>
      <c r="I25" s="347"/>
      <c r="J25" s="347"/>
      <c r="K25" s="347"/>
      <c r="L25" s="347"/>
      <c r="M25" s="347"/>
      <c r="N25" s="347"/>
      <c r="O25" s="347"/>
    </row>
    <row r="26" spans="1:15" ht="12.75" customHeight="1">
      <c r="A26" s="347"/>
      <c r="B26" s="1024" t="s">
        <v>265</v>
      </c>
      <c r="C26" s="977"/>
      <c r="D26" s="1007"/>
      <c r="E26" s="1032" t="s">
        <v>266</v>
      </c>
      <c r="F26" s="1032" t="s">
        <v>267</v>
      </c>
      <c r="G26" s="364"/>
      <c r="H26" s="364"/>
      <c r="I26" s="364"/>
      <c r="J26" s="364"/>
      <c r="K26" s="365"/>
      <c r="L26" s="365"/>
      <c r="M26" s="365"/>
      <c r="N26" s="365"/>
      <c r="O26" s="347"/>
    </row>
    <row r="27" spans="1:15" ht="12.75" customHeight="1">
      <c r="A27" s="347"/>
      <c r="B27" s="347"/>
      <c r="C27" s="347"/>
      <c r="D27" s="347"/>
      <c r="E27" s="1028"/>
      <c r="F27" s="1028"/>
      <c r="G27" s="365"/>
      <c r="H27" s="365"/>
      <c r="I27" s="365"/>
      <c r="J27" s="365"/>
      <c r="K27" s="365"/>
      <c r="L27" s="365"/>
      <c r="M27" s="365"/>
      <c r="N27" s="365"/>
      <c r="O27" s="347"/>
    </row>
    <row r="28" spans="1:15" ht="21.75" customHeight="1">
      <c r="A28" s="366"/>
      <c r="B28" s="367" t="s">
        <v>268</v>
      </c>
      <c r="C28" s="1025">
        <v>1</v>
      </c>
      <c r="D28" s="368"/>
      <c r="E28" s="1027">
        <v>1.6500000000000001E-2</v>
      </c>
      <c r="F28" s="1027">
        <v>7.5999999999999998E-2</v>
      </c>
      <c r="G28" s="369"/>
      <c r="H28" s="370"/>
      <c r="I28" s="370"/>
      <c r="J28" s="370"/>
      <c r="K28" s="370"/>
      <c r="L28" s="370"/>
      <c r="M28" s="370"/>
      <c r="N28" s="370"/>
      <c r="O28" s="366"/>
    </row>
    <row r="29" spans="1:15" ht="21.75" customHeight="1">
      <c r="A29" s="366"/>
      <c r="B29" s="367" t="s">
        <v>269</v>
      </c>
      <c r="C29" s="1026"/>
      <c r="D29" s="371"/>
      <c r="E29" s="1028"/>
      <c r="F29" s="1028"/>
      <c r="G29" s="369"/>
      <c r="H29" s="370"/>
      <c r="I29" s="370"/>
      <c r="J29" s="370"/>
      <c r="K29" s="370"/>
      <c r="L29" s="370"/>
      <c r="M29" s="370"/>
      <c r="N29" s="370"/>
      <c r="O29" s="366"/>
    </row>
    <row r="30" spans="1:15" ht="12.75" customHeight="1">
      <c r="A30" s="347"/>
      <c r="B30" s="372"/>
      <c r="C30" s="373"/>
      <c r="D30" s="373"/>
      <c r="E30" s="347"/>
      <c r="F30" s="347"/>
      <c r="G30" s="365"/>
      <c r="H30" s="365"/>
      <c r="I30" s="365"/>
      <c r="J30" s="365"/>
      <c r="K30" s="365"/>
      <c r="L30" s="365"/>
      <c r="M30" s="365"/>
      <c r="N30" s="365"/>
      <c r="O30" s="347"/>
    </row>
    <row r="31" spans="1:15" ht="12.75" customHeight="1">
      <c r="A31" s="347"/>
      <c r="B31" s="1024" t="s">
        <v>270</v>
      </c>
      <c r="C31" s="977"/>
      <c r="D31" s="1007"/>
      <c r="E31" s="374"/>
      <c r="F31" s="374"/>
      <c r="G31" s="375"/>
      <c r="H31" s="375"/>
      <c r="I31" s="375"/>
      <c r="J31" s="375"/>
      <c r="K31" s="375"/>
      <c r="L31" s="375"/>
      <c r="M31" s="375"/>
      <c r="N31" s="375"/>
      <c r="O31" s="347"/>
    </row>
    <row r="32" spans="1:15" ht="12.75" customHeight="1">
      <c r="A32" s="347"/>
      <c r="B32" s="376"/>
      <c r="C32" s="376"/>
      <c r="D32" s="376"/>
      <c r="E32" s="376"/>
      <c r="F32" s="376"/>
      <c r="G32" s="376"/>
      <c r="H32" s="376"/>
      <c r="I32" s="376"/>
      <c r="J32" s="376"/>
      <c r="K32" s="376"/>
      <c r="L32" s="376"/>
      <c r="M32" s="376"/>
      <c r="N32" s="376"/>
      <c r="O32" s="347"/>
    </row>
    <row r="33" spans="1:15" ht="32.25" customHeight="1">
      <c r="A33" s="347"/>
      <c r="B33" s="372" t="s">
        <v>271</v>
      </c>
      <c r="C33" s="377" t="str">
        <f>CAMPUS.CONTRATANTE!G6</f>
        <v>5132-05_COZINHEIRO_prepost_hs</v>
      </c>
      <c r="D33" s="377" t="str">
        <f>CAMPUS.CONTRATANTE!X6</f>
        <v>5132-05_COZINHEIRO_geral_hs</v>
      </c>
      <c r="E33" s="377" t="str">
        <f>CAMPUS.CONTRATANTE!AO6</f>
        <v>5135-05_AUX.COZINHA_hs</v>
      </c>
      <c r="F33" s="377" t="str">
        <f>CAMPUS.CONTRATANTE!BF6</f>
        <v>6220-10_JARDINEIRO_hs</v>
      </c>
      <c r="G33" s="378" t="str">
        <f>CAMPUS.CONTRATANTE!BW6</f>
        <v>A NÃO TEM MAIS POSTOS-22</v>
      </c>
      <c r="H33" s="378" t="str">
        <f>CAMPUS.CONTRATANTE!CN6</f>
        <v>A NÃO TEM MAIS POSTOS-33</v>
      </c>
      <c r="I33" s="378" t="str">
        <f>CAMPUS.CONTRATANTE!DE6</f>
        <v>A NÃO TEM MAIS POSTOS-44</v>
      </c>
      <c r="J33" s="379" t="str">
        <f>CAMPUS.CONTRATANTE!DV6</f>
        <v>A NÃO TEM MAIS POSTOS-55</v>
      </c>
      <c r="K33" s="379" t="str">
        <f>CAMPUS.CONTRATANTE!EM6</f>
        <v>A NÃO TEM MAIS POSTOS-66</v>
      </c>
      <c r="L33" s="379" t="str">
        <f>CAMPUS.CONTRATANTE!FD6</f>
        <v>A NÃO TEM MAIS POSTOS-77</v>
      </c>
      <c r="M33" s="379" t="str">
        <f>CAMPUS.CONTRATANTE!FU6</f>
        <v>A NÃO TEM MAIS POSTOS-88</v>
      </c>
      <c r="N33" s="379" t="str">
        <f>CAMPUS.CONTRATANTE!GL6</f>
        <v>A NÃO TEM MAIS POSTOS-99</v>
      </c>
      <c r="O33" s="380"/>
    </row>
    <row r="34" spans="1:15" ht="8.25" customHeight="1">
      <c r="A34" s="347"/>
      <c r="B34" s="372"/>
      <c r="C34" s="381"/>
      <c r="D34" s="381"/>
      <c r="E34" s="381"/>
      <c r="F34" s="381"/>
      <c r="G34" s="382"/>
      <c r="H34" s="382"/>
      <c r="I34" s="382"/>
      <c r="J34" s="379"/>
      <c r="K34" s="379"/>
      <c r="L34" s="379"/>
      <c r="M34" s="379"/>
      <c r="N34" s="379"/>
      <c r="O34" s="380"/>
    </row>
    <row r="35" spans="1:15" ht="15" customHeight="1">
      <c r="A35" s="347"/>
      <c r="B35" s="372" t="s">
        <v>272</v>
      </c>
      <c r="C35" s="383" t="str">
        <f>VLOOKUP(C14,CAMPUS.CONTRATANTE!$D$10:$HD$21,6,0)</f>
        <v>RS000044/2023</v>
      </c>
      <c r="D35" s="383" t="str">
        <f>VLOOKUP(C14,CAMPUS.CONTRATANTE!$D$10:$HD$21,23,0)</f>
        <v>RS000044/2023</v>
      </c>
      <c r="E35" s="383" t="str">
        <f>VLOOKUP(C14,CAMPUS.CONTRATANTE!$D$10:$HD$21,40,0)</f>
        <v>RS000044/2023</v>
      </c>
      <c r="F35" s="383" t="str">
        <f>VLOOKUP(C14,CAMPUS.CONTRATANTE!$D$10:$HD$21,57,0)</f>
        <v>RS000044/2023</v>
      </c>
      <c r="G35" s="384" t="str">
        <f>VLOOKUP(C14,CAMPUS.CONTRATANTE!$D$10:$HD$21,74,0)</f>
        <v>RS000947/2019</v>
      </c>
      <c r="H35" s="384" t="str">
        <f>VLOOKUP(C14,CAMPUS.CONTRATANTE!$D$10:$HD$21,91,0)</f>
        <v>RS005021/2021</v>
      </c>
      <c r="I35" s="384" t="str">
        <f>VLOOKUP(C14,CAMPUS.CONTRATANTE!$D$10:$HD$21,108,0)</f>
        <v>RS005021/2021</v>
      </c>
      <c r="J35" s="385" t="str">
        <f>VLOOKUP(C14,CAMPUS.CONTRATANTE!$D$10:$HD$21,125,0)</f>
        <v>RS000947/2019-</v>
      </c>
      <c r="K35" s="385" t="str">
        <f>VLOOKUP(C14,CAMPUS.CONTRATANTE!$D$10:$HD$21,142,0)</f>
        <v>RS000947/2019-</v>
      </c>
      <c r="L35" s="385" t="str">
        <f>VLOOKUP(C14,CAMPUS.CONTRATANTE!$D$10:$HD$21,159,0)</f>
        <v>RS000947/2019-</v>
      </c>
      <c r="M35" s="385" t="str">
        <f>VLOOKUP(C14,CAMPUS.CONTRATANTE!$D$10:$HD$21,176,0)</f>
        <v>RS000947/2019-</v>
      </c>
      <c r="N35" s="385" t="str">
        <f>VLOOKUP(C14,CAMPUS.CONTRATANTE!$D$10:$HD$21,193,0)</f>
        <v>RS000947/2019-</v>
      </c>
      <c r="O35" s="380"/>
    </row>
    <row r="36" spans="1:15" ht="15" customHeight="1">
      <c r="A36" s="347"/>
      <c r="B36" s="372" t="s">
        <v>273</v>
      </c>
      <c r="C36" s="376" t="str">
        <f>VLOOKUP(C35,'DADOS-CADASTRAIS'!$C$6:$O$102,3,0)</f>
        <v>01 de JANEIRO</v>
      </c>
      <c r="D36" s="376" t="str">
        <f>VLOOKUP(D35,'DADOS-CADASTRAIS'!$C$6:$O$102,3,0)</f>
        <v>01 de JANEIRO</v>
      </c>
      <c r="E36" s="376" t="str">
        <f>VLOOKUP(E35,'DADOS-CADASTRAIS'!$C$6:$O$102,3,0)</f>
        <v>01 de JANEIRO</v>
      </c>
      <c r="F36" s="376" t="str">
        <f>VLOOKUP(F35,'DADOS-CADASTRAIS'!$C$6:$O$102,3,0)</f>
        <v>01 de JANEIRO</v>
      </c>
      <c r="G36" s="386" t="str">
        <f>VLOOKUP(G35,'DADOS-CADASTRAIS'!$C$6:$O$102,3,0)</f>
        <v>01 de FEVEREIRO</v>
      </c>
      <c r="H36" s="386" t="str">
        <f>VLOOKUP(H35,'DADOS-CADASTRAIS'!$C$6:$O$102,3,0)</f>
        <v>01 de JANEIRO</v>
      </c>
      <c r="I36" s="386" t="str">
        <f>VLOOKUP(I35,'DADOS-CADASTRAIS'!$C$6:$O$102,3,0)</f>
        <v>01 de JANEIRO</v>
      </c>
      <c r="J36" s="387" t="str">
        <f>VLOOKUP(J35,'DADOS-CADASTRAIS'!$C$6:$F$17,3,0)</f>
        <v>01 de FEVEREIRO</v>
      </c>
      <c r="K36" s="387" t="str">
        <f>VLOOKUP(K35,'DADOS-CADASTRAIS'!$C$6:$F$17,3,0)</f>
        <v>01 de FEVEREIRO</v>
      </c>
      <c r="L36" s="387" t="str">
        <f>VLOOKUP(L35,'DADOS-CADASTRAIS'!$C$6:$F$17,3,0)</f>
        <v>01 de FEVEREIRO</v>
      </c>
      <c r="M36" s="387" t="str">
        <f>VLOOKUP(M35,'DADOS-CADASTRAIS'!$C$6:$O$102,3,0)</f>
        <v>01 de FEVEREIRO</v>
      </c>
      <c r="N36" s="387" t="str">
        <f>VLOOKUP(N35,'DADOS-CADASTRAIS'!$C$6:$O$102,3,0)</f>
        <v>01 de FEVEREIRO</v>
      </c>
      <c r="O36" s="380"/>
    </row>
    <row r="37" spans="1:15" ht="15" customHeight="1">
      <c r="A37" s="347"/>
      <c r="B37" s="372" t="s">
        <v>274</v>
      </c>
      <c r="C37" s="388">
        <f>VLOOKUP(C14,CAMPUS.CONTRATANTE!$D$10:$HD$21,7,0)</f>
        <v>1502.5</v>
      </c>
      <c r="D37" s="388">
        <f>VLOOKUP(C14,CAMPUS.CONTRATANTE!$D$10:$HD$21,24,0)</f>
        <v>1502.5</v>
      </c>
      <c r="E37" s="388">
        <f>VLOOKUP(C14,CAMPUS.CONTRATANTE!$D$10:$HD$21,41,0)</f>
        <v>1431.04</v>
      </c>
      <c r="F37" s="388">
        <f>VLOOKUP(C14,CAMPUS.CONTRATANTE!$D$10:$HD$21,58,0)</f>
        <v>1431.04</v>
      </c>
      <c r="G37" s="389">
        <f>VLOOKUP(C14,CAMPUS.CONTRATANTE!$D$10:$HD$21,75,0)</f>
        <v>2461.8000000000002</v>
      </c>
      <c r="H37" s="389">
        <f>VLOOKUP(C14,CAMPUS.CONTRATANTE!$D$10:$HD$21,92,0)</f>
        <v>1396.01</v>
      </c>
      <c r="I37" s="389">
        <f>VLOOKUP(C14,CAMPUS.CONTRATANTE!$D$10:$HD$21,109,0)</f>
        <v>1396.01</v>
      </c>
      <c r="J37" s="390">
        <f>VLOOKUP(C14,CAMPUS.CONTRATANTE!$D$10:$HD$21,126,0)</f>
        <v>4128.0200000000004</v>
      </c>
      <c r="K37" s="390">
        <f>VLOOKUP(C14,CAMPUS.CONTRATANTE!$D$10:$HD$21,143,0)</f>
        <v>4128.0200000000004</v>
      </c>
      <c r="L37" s="390">
        <f>VLOOKUP(C14,CAMPUS.CONTRATANTE!$D$10:$HD$21,160,0)</f>
        <v>1741.45</v>
      </c>
      <c r="M37" s="390">
        <f>VLOOKUP(C14,CAMPUS.CONTRATANTE!$D$10:$HD$21,177,0)</f>
        <v>0</v>
      </c>
      <c r="N37" s="390">
        <f>VLOOKUP(C14,CAMPUS.CONTRATANTE!$D$10:$HD$21,194,0)</f>
        <v>0</v>
      </c>
      <c r="O37" s="380"/>
    </row>
    <row r="38" spans="1:15" ht="15" customHeight="1">
      <c r="A38" s="347"/>
      <c r="B38" s="372" t="s">
        <v>275</v>
      </c>
      <c r="C38" s="391" t="str">
        <f>VLOOKUP(C14,CAMPUS.CONTRATANTE!$D$10:$HD$21,9,0)</f>
        <v>ADIC. FUNÇÃO S/NORMATIVO</v>
      </c>
      <c r="D38" s="391" t="str">
        <f>VLOOKUP(C14,CAMPUS.CONTRATANTE!$D$10:$HD$21,26,0)</f>
        <v>SEM ADICIONAL DE FUNÇÃO</v>
      </c>
      <c r="E38" s="391" t="str">
        <f>VLOOKUP(C14,CAMPUS.CONTRATANTE!$D$10:$HD$21,43,0)</f>
        <v>SEM ADICIONAL DE FUNÇÃO</v>
      </c>
      <c r="F38" s="391" t="str">
        <f>VLOOKUP(C14,CAMPUS.CONTRATANTE!$D$10:$HD$21,60,0)</f>
        <v>SEM ADICIONAL DE FUNÇÃO</v>
      </c>
      <c r="G38" s="392" t="str">
        <f>VLOOKUP(C14,CAMPUS.CONTRATANTE!$D$10:$HD$21,77,0)</f>
        <v>SEM ADICIONAL DE FUNÇÃO</v>
      </c>
      <c r="H38" s="392" t="str">
        <f>VLOOKUP(C14,CAMPUS.CONTRATANTE!$D$10:$HD$21,94,0)</f>
        <v>SEM ADICIONAL DE FUNÇÃO</v>
      </c>
      <c r="I38" s="392" t="str">
        <f>VLOOKUP(C14,CAMPUS.CONTRATANTE!$D$10:$HD$21,111,0)</f>
        <v>SEM ADICIONAL DE FUNÇÃO</v>
      </c>
      <c r="J38" s="393" t="str">
        <f>VLOOKUP(C14,CAMPUS.CONTRATANTE!$D$10:$HD$21,128,0)</f>
        <v>SEM ADICIONAL DE FUNÇÃO</v>
      </c>
      <c r="K38" s="393" t="str">
        <f>VLOOKUP(C14,CAMPUS.CONTRATANTE!$D$10:$HD$21,145,0)</f>
        <v>SEM ADICIONAL DE FUNÇÃO</v>
      </c>
      <c r="L38" s="393" t="str">
        <f>VLOOKUP(C14,CAMPUS.CONTRATANTE!$D$10:$HD$21,162,0)</f>
        <v>SEM ADICIONAL DE FUNÇÃO</v>
      </c>
      <c r="M38" s="390" t="str">
        <f>VLOOKUP(C14,CAMPUS.CONTRATANTE!$D$10:$HD$21,179,0)</f>
        <v>SEM ADICIONAL DE FUNÇÃO</v>
      </c>
      <c r="N38" s="390" t="str">
        <f>VLOOKUP(C14,CAMPUS.CONTRATANTE!$D$10:$HD$21,196,0)</f>
        <v>SEM ADICIONAL DE FUNÇÃO</v>
      </c>
      <c r="O38" s="380"/>
    </row>
    <row r="39" spans="1:15" ht="15" customHeight="1">
      <c r="A39" s="347"/>
      <c r="B39" s="372" t="s">
        <v>276</v>
      </c>
      <c r="C39" s="394">
        <f>IF(C38="SEM ADICIONAL DE FUNÇÃO",0,VLOOKUP(C14,CAMPUS.CONTRATANTE!$D$10:$HD$21,8,0))</f>
        <v>0.2</v>
      </c>
      <c r="D39" s="394">
        <f>IF(D38="SEM ADICIONAL DE FUNÇÃO",0,VLOOKUP(C14,CAMPUS.CONTRATANTE!$D$10:$HD$21,25,0))</f>
        <v>0</v>
      </c>
      <c r="E39" s="394">
        <f>IF(E38="SEM ADICIONAL DE FUNÇÃO",0,VLOOKUP(C14,CAMPUS.CONTRATANTE!$D$10:$HD$21,42,0))</f>
        <v>0</v>
      </c>
      <c r="F39" s="394">
        <f t="shared" ref="F39:G39" si="0">IF(F38="SEM ADICIONAL DE FUNÇÃO",0,25%)</f>
        <v>0</v>
      </c>
      <c r="G39" s="395">
        <f t="shared" si="0"/>
        <v>0</v>
      </c>
      <c r="H39" s="395">
        <f>IF(H38="SEM ADICIONAL DE FUNÇÃO",0,30%)</f>
        <v>0</v>
      </c>
      <c r="I39" s="395"/>
      <c r="J39" s="390"/>
      <c r="K39" s="390"/>
      <c r="L39" s="390"/>
      <c r="M39" s="390"/>
      <c r="N39" s="390"/>
      <c r="O39" s="380"/>
    </row>
    <row r="40" spans="1:15" ht="15" customHeight="1">
      <c r="A40" s="347"/>
      <c r="B40" s="372" t="s">
        <v>277</v>
      </c>
      <c r="C40" s="391" t="str">
        <f>VLOOKUP(C14,CAMPUS.CONTRATANTE!$D$10:$HD$21,12,0)</f>
        <v>INSALUB S/NORMATIVO</v>
      </c>
      <c r="D40" s="391" t="str">
        <f>VLOOKUP(C14,CAMPUS.CONTRATANTE!$D$10:$HD$21,29,0)</f>
        <v>INSALUB S/NORMATIVO</v>
      </c>
      <c r="E40" s="391" t="str">
        <f>VLOOKUP(C14,CAMPUS.CONTRATANTE!$D$10:$HD$21,46,0)</f>
        <v>INSALUB S/NORMATIVO</v>
      </c>
      <c r="F40" s="391" t="str">
        <f>VLOOKUP(C14,CAMPUS.CONTRATANTE!$D$10:$HD$21,63,0)</f>
        <v>INSALUB S/NORMATIVO</v>
      </c>
      <c r="G40" s="392" t="str">
        <f>VLOOKUP(C14,CAMPUS.CONTRATANTE!$D$10:$HD$21,80,0)</f>
        <v>INSALUB S/MIN. NACION.</v>
      </c>
      <c r="H40" s="392" t="str">
        <f>VLOOKUP(C14,CAMPUS.CONTRATANTE!$D$10:$HD$21,97,0)</f>
        <v>INSALUB S/NORMATIVO</v>
      </c>
      <c r="I40" s="392" t="str">
        <f>VLOOKUP(C14,CAMPUS.CONTRATANTE!$D$10:$HD$21,114,0)</f>
        <v>INSALUB S/NORMATIVO</v>
      </c>
      <c r="J40" s="393" t="str">
        <f>VLOOKUP(C14,CAMPUS.CONTRATANTE!$D$10:$HD$21,131,0)</f>
        <v>SEM ADICIONAL DE RISCO</v>
      </c>
      <c r="K40" s="393" t="str">
        <f>VLOOKUP(C14,CAMPUS.CONTRATANTE!$D$10:$HD$21,148,0)</f>
        <v>SEM ADICIONAL DE RISCO</v>
      </c>
      <c r="L40" s="393" t="str">
        <f>VLOOKUP(C14,CAMPUS.CONTRATANTE!$D$10:$HD$21,165,0)</f>
        <v>INSALUB S/MINIMO</v>
      </c>
      <c r="M40" s="393" t="str">
        <f>VLOOKUP(C14,CAMPUS.CONTRATANTE!$D$10:$HD$21,182,0)</f>
        <v>SEM ADICIONAL DE RISCO</v>
      </c>
      <c r="N40" s="393" t="str">
        <f>VLOOKUP(C14,CAMPUS.CONTRATANTE!$D$10:$HD$21,199,0)</f>
        <v>SEM ADICIONAL DE RISCO</v>
      </c>
      <c r="O40" s="380"/>
    </row>
    <row r="41" spans="1:15" ht="15" customHeight="1">
      <c r="A41" s="347"/>
      <c r="B41" s="372" t="s">
        <v>278</v>
      </c>
      <c r="C41" s="394">
        <f>IFERROR(IF(C40="INSALUB S/MIN. NACION.",VLOOKUP(C14,CAMPUS.CONTRATANTE!$D$10:$HD$21,11,0),IF(C40="INSALUB S/NORMATIVO",VLOOKUP(C14,CAMPUS.CONTRATANTE!$D$10:$HD$21,11,0),IF(C35="PERICULOSIDADE",0*0,0))),0)</f>
        <v>0.2</v>
      </c>
      <c r="D41" s="394">
        <f>IFERROR(IF(D40="INSALUB S/MIN. NACION.",VLOOKUP(C14,CAMPUS.CONTRATANTE!$D$10:$HD$21,28,0),IF(D40="INSALUB S/NORMATIVO",VLOOKUP(C14,CAMPUS.CONTRATANTE!$D$10:$HD$21,28,0),IF(D35="PERICULOSIDADE",0*0,0))),0)</f>
        <v>0.2</v>
      </c>
      <c r="E41" s="394">
        <f>IFERROR(IF(E40="INSALUB S/MIN. NACION.",VLOOKUP(C14,CAMPUS.CONTRATANTE!$D$10:$HD$21,45,0),IF(E40="INSALUB S/NORMATIVO",VLOOKUP(C14,CAMPUS.CONTRATANTE!$D$10:$HD$21,45,0),IF(E35="PERICULOSIDADE",0*0,0))),0)</f>
        <v>0.2</v>
      </c>
      <c r="F41" s="394">
        <f>IFERROR(IF(F40="INSALUB S/MIN. NACION.",VLOOKUP(C14,CAMPUS.CONTRATANTE!$D$10:$HD$21,62,0),IF(F40="INSALUB S/NORMATIVO",VLOOKUP(C14,CAMPUS.CONTRATANTE!$D$10:$HD$21,62,0),IF(F35="PERICULOSIDADE",0*0,0))),0)</f>
        <v>0.2</v>
      </c>
      <c r="G41" s="395">
        <f>IFERROR(IF(G40="INSALUB S/MIN. NACION.",VLOOKUP(C14,CAMPUS.CONTRATANTE!$D$10:$HD$21,79,0),IF(G40="INSALUB S/NORMATIVO",VLOOKUP(C14,CAMPUS.CONTRATANTE!$D$10:$HD$21,79,0),IF(G35="PERICULOSIDADE",0*0,0))),0)</f>
        <v>0.2</v>
      </c>
      <c r="H41" s="395">
        <f>IFERROR(IF(H40="INSALUB S/MIN. NACION.",VLOOKUP(C14,CAMPUS.CONTRATANTE!$D$10:$HD$21,96,0),IF(H40="INSALUB S/NORMATIVO",VLOOKUP(C14,CAMPUS.CONTRATANTE!$D$10:$HD$21,96,0),IF(H35="PERICULOSIDADE",0*0,0))),0)</f>
        <v>0.2</v>
      </c>
      <c r="I41" s="395">
        <f>IFERROR(IF(I40="INSALUB S/MIN. NACION.",VLOOKUP(C14,CAMPUS.CONTRATANTE!$D$10:$HD$21,113,0),IF(I40="INSALUB S/NORMATIVO",VLOOKUP(C14,CAMPUS.CONTRATANTE!$D$10:$HD$21,113,0),IF(I35="PERICULOSIDADE",0*0,0))),0)</f>
        <v>0.2</v>
      </c>
      <c r="J41" s="396">
        <f>IFERROR(IF(J40="INSALUB S/MINIMO",VLOOKUP(C14,CAMPUS.CONTRATANTE!$D$10:$HD$21,130,0),IF(J40="INSALUB S/NORMATIVO",VLOOKUP(C14,CAMPUS.CONTRATANTE!$D$10:$HD$21,130,0),IF(J35="PERICULOSIDADE",0*0,0))),0)</f>
        <v>0</v>
      </c>
      <c r="K41" s="396">
        <f>IFERROR(IF(K40="INSALUB S/MINIMO",VLOOKUP(C14,CAMPUS.CONTRATANTE!$D$10:$HD$21,147,0),IF(K40="INSALUB S/NORMATIVO",VLOOKUP(C14,CAMPUS.CONTRATANTE!$D$10:$HD$21,147,0),IF(K35="PERICULOSIDADE",0*0,0))),0)</f>
        <v>0</v>
      </c>
      <c r="L41" s="396">
        <f>IFERROR(IF(L40="INSALUB S/MINIMO",VLOOKUP(C14,CAMPUS.CONTRATANTE!$D$10:$HD$21,164,0),IF(L40="INSALUB S/NORMATIVO",VLOOKUP(C14,CAMPUS.CONTRATANTE!$D$10:$HD$21,164,0),IF(L35="PERICULOSIDADE",0*0,0))),0)</f>
        <v>0.2</v>
      </c>
      <c r="M41" s="396">
        <f>IFERROR(IF(M40="INSALUB S/MINIMO",VLOOKUP(C14,CAMPUS.CONTRATANTE!$D$10:$HD$21,181,0),IF(M40="INSALUB S/NORMATIVO",VLOOKUP(C14,CAMPUS.CONTRATANTE!$D$10:$HD$21,181,0),IF(M35="PERICULOSIDADE",0*0,0))),0)</f>
        <v>0</v>
      </c>
      <c r="N41" s="396">
        <f>IFERROR(IF(N40="INSALUB S/MINIMO",VLOOKUP(C14,CAMPUS.CONTRATANTE!$D$10:$HD$21,198,0),IF(N40="INSALUB S/NORMATIVO",VLOOKUP(C14,CAMPUS.CONTRATANTE!$D$10:$HD$21,198,0),IF(N35="PERICULOSIDADE",0*0,0))),0)</f>
        <v>0</v>
      </c>
      <c r="O41" s="380"/>
    </row>
    <row r="42" spans="1:15" ht="15" customHeight="1">
      <c r="A42" s="397"/>
      <c r="B42" s="398" t="s">
        <v>279</v>
      </c>
      <c r="C42" s="399">
        <v>1320</v>
      </c>
      <c r="D42" s="399">
        <f t="shared" ref="D42:N42" si="1">C42</f>
        <v>1320</v>
      </c>
      <c r="E42" s="399">
        <f t="shared" si="1"/>
        <v>1320</v>
      </c>
      <c r="F42" s="399">
        <f t="shared" si="1"/>
        <v>1320</v>
      </c>
      <c r="G42" s="389">
        <f t="shared" si="1"/>
        <v>1320</v>
      </c>
      <c r="H42" s="389">
        <f t="shared" si="1"/>
        <v>1320</v>
      </c>
      <c r="I42" s="389">
        <f t="shared" si="1"/>
        <v>1320</v>
      </c>
      <c r="J42" s="390">
        <f t="shared" si="1"/>
        <v>1320</v>
      </c>
      <c r="K42" s="390">
        <f t="shared" si="1"/>
        <v>1320</v>
      </c>
      <c r="L42" s="390">
        <f t="shared" si="1"/>
        <v>1320</v>
      </c>
      <c r="M42" s="390">
        <f t="shared" si="1"/>
        <v>1320</v>
      </c>
      <c r="N42" s="390">
        <f t="shared" si="1"/>
        <v>1320</v>
      </c>
      <c r="O42" s="400"/>
    </row>
    <row r="43" spans="1:15" ht="15" customHeight="1">
      <c r="A43" s="347"/>
      <c r="B43" s="372" t="s">
        <v>280</v>
      </c>
      <c r="C43" s="401">
        <f>IF(VLOOKUP(C14,CAMPUS.CONTRATANTE!$D$10:$HB$21,18,0)="S",20%,0)</f>
        <v>0.2</v>
      </c>
      <c r="D43" s="401">
        <f>IF(VLOOKUP(C14,CAMPUS.CONTRATANTE!$D$10:$HB$21,35,0)="S",20%,0)</f>
        <v>0.2</v>
      </c>
      <c r="E43" s="401">
        <f>IF(VLOOKUP(C14,CAMPUS.CONTRATANTE!$D$10:$HB$21,18,0)="S",20%,0)</f>
        <v>0.2</v>
      </c>
      <c r="F43" s="401"/>
      <c r="G43" s="392"/>
      <c r="H43" s="392"/>
      <c r="I43" s="392"/>
      <c r="J43" s="402"/>
      <c r="K43" s="402"/>
      <c r="L43" s="402"/>
      <c r="M43" s="402"/>
      <c r="N43" s="402"/>
      <c r="O43" s="380"/>
    </row>
    <row r="44" spans="1:15" ht="15" customHeight="1">
      <c r="A44" s="347"/>
      <c r="B44" s="372" t="s">
        <v>281</v>
      </c>
      <c r="C44" s="403">
        <f>IF(C40="PERICULOSIDADE",30%,0)</f>
        <v>0</v>
      </c>
      <c r="D44" s="403">
        <f t="shared" ref="D44:F44" si="2">IF(C40="PERICULOSIDADE",30%,0)</f>
        <v>0</v>
      </c>
      <c r="E44" s="403">
        <f t="shared" si="2"/>
        <v>0</v>
      </c>
      <c r="F44" s="403">
        <f t="shared" si="2"/>
        <v>0</v>
      </c>
      <c r="G44" s="404"/>
      <c r="H44" s="404"/>
      <c r="I44" s="404"/>
      <c r="J44" s="402"/>
      <c r="K44" s="402"/>
      <c r="L44" s="402"/>
      <c r="M44" s="402"/>
      <c r="N44" s="402"/>
      <c r="O44" s="380"/>
    </row>
    <row r="45" spans="1:15" ht="18.75" customHeight="1">
      <c r="A45" s="347"/>
      <c r="B45" s="1"/>
      <c r="C45" s="1"/>
      <c r="D45" s="1"/>
      <c r="E45" s="1"/>
      <c r="F45" s="1"/>
      <c r="G45" s="74"/>
      <c r="H45" s="74"/>
      <c r="I45" s="74"/>
      <c r="J45" s="89"/>
      <c r="K45" s="89"/>
      <c r="L45" s="89"/>
      <c r="M45" s="89"/>
      <c r="N45" s="89"/>
      <c r="O45" s="380"/>
    </row>
    <row r="46" spans="1:15" ht="8.25" customHeight="1">
      <c r="A46" s="347"/>
      <c r="B46" s="372"/>
      <c r="C46" s="405"/>
      <c r="D46" s="405"/>
      <c r="E46" s="406"/>
      <c r="F46" s="406"/>
      <c r="G46" s="406"/>
      <c r="H46" s="406"/>
      <c r="I46" s="406"/>
      <c r="J46" s="407"/>
      <c r="K46" s="407"/>
      <c r="L46" s="407"/>
      <c r="M46" s="407"/>
      <c r="N46" s="407"/>
      <c r="O46" s="380"/>
    </row>
    <row r="47" spans="1:15" ht="12.75" customHeight="1">
      <c r="A47" s="347"/>
      <c r="B47" s="1024" t="s">
        <v>282</v>
      </c>
      <c r="C47" s="977"/>
      <c r="D47" s="1007"/>
      <c r="E47" s="374"/>
      <c r="F47" s="374"/>
      <c r="G47" s="374"/>
      <c r="H47" s="374"/>
      <c r="I47" s="374"/>
      <c r="J47" s="89"/>
      <c r="K47" s="89"/>
      <c r="L47" s="89"/>
      <c r="M47" s="89"/>
      <c r="N47" s="89"/>
      <c r="O47" s="380"/>
    </row>
    <row r="48" spans="1:15" ht="12.75" customHeight="1">
      <c r="A48" s="347"/>
      <c r="B48" s="347"/>
      <c r="C48" s="347"/>
      <c r="D48" s="347"/>
      <c r="E48" s="365"/>
      <c r="F48" s="365"/>
      <c r="G48" s="365"/>
      <c r="H48" s="365"/>
      <c r="I48" s="365"/>
      <c r="J48" s="408"/>
      <c r="K48" s="408"/>
      <c r="L48" s="408"/>
      <c r="M48" s="408"/>
      <c r="N48" s="408"/>
      <c r="O48" s="380"/>
    </row>
    <row r="49" spans="1:15" ht="17.25" customHeight="1">
      <c r="A49" s="347"/>
      <c r="B49" s="347"/>
      <c r="C49" s="409" t="str">
        <f t="shared" ref="C49:N49" si="3">C33</f>
        <v>5132-05_COZINHEIRO_prepost_hs</v>
      </c>
      <c r="D49" s="409" t="str">
        <f t="shared" si="3"/>
        <v>5132-05_COZINHEIRO_geral_hs</v>
      </c>
      <c r="E49" s="409" t="str">
        <f t="shared" si="3"/>
        <v>5135-05_AUX.COZINHA_hs</v>
      </c>
      <c r="F49" s="409" t="str">
        <f t="shared" si="3"/>
        <v>6220-10_JARDINEIRO_hs</v>
      </c>
      <c r="G49" s="410" t="str">
        <f t="shared" si="3"/>
        <v>A NÃO TEM MAIS POSTOS-22</v>
      </c>
      <c r="H49" s="410" t="str">
        <f t="shared" si="3"/>
        <v>A NÃO TEM MAIS POSTOS-33</v>
      </c>
      <c r="I49" s="410" t="str">
        <f t="shared" si="3"/>
        <v>A NÃO TEM MAIS POSTOS-44</v>
      </c>
      <c r="J49" s="411" t="str">
        <f t="shared" si="3"/>
        <v>A NÃO TEM MAIS POSTOS-55</v>
      </c>
      <c r="K49" s="411" t="str">
        <f t="shared" si="3"/>
        <v>A NÃO TEM MAIS POSTOS-66</v>
      </c>
      <c r="L49" s="411" t="str">
        <f t="shared" si="3"/>
        <v>A NÃO TEM MAIS POSTOS-77</v>
      </c>
      <c r="M49" s="411" t="str">
        <f t="shared" si="3"/>
        <v>A NÃO TEM MAIS POSTOS-88</v>
      </c>
      <c r="N49" s="411" t="str">
        <f t="shared" si="3"/>
        <v>A NÃO TEM MAIS POSTOS-99</v>
      </c>
      <c r="O49" s="380"/>
    </row>
    <row r="50" spans="1:15" ht="13.5" customHeight="1">
      <c r="A50" s="347"/>
      <c r="B50" s="412" t="s">
        <v>283</v>
      </c>
      <c r="C50" s="413">
        <v>8</v>
      </c>
      <c r="D50" s="413">
        <v>8</v>
      </c>
      <c r="E50" s="413">
        <v>8</v>
      </c>
      <c r="F50" s="413">
        <v>8</v>
      </c>
      <c r="G50" s="414">
        <v>8</v>
      </c>
      <c r="H50" s="414">
        <v>4</v>
      </c>
      <c r="I50" s="414">
        <v>8</v>
      </c>
      <c r="J50" s="415">
        <v>4</v>
      </c>
      <c r="K50" s="415">
        <v>8</v>
      </c>
      <c r="L50" s="415">
        <v>8</v>
      </c>
      <c r="M50" s="415">
        <v>8</v>
      </c>
      <c r="N50" s="415">
        <v>8</v>
      </c>
      <c r="O50" s="380"/>
    </row>
    <row r="51" spans="1:15" ht="13.5" customHeight="1">
      <c r="A51" s="347"/>
      <c r="B51" s="412" t="s">
        <v>284</v>
      </c>
      <c r="C51" s="413">
        <f>VLOOKUP(C14,CAMPUS.CONTRATANTE!$D$10:$HD$21,13,0)</f>
        <v>40</v>
      </c>
      <c r="D51" s="413">
        <f>VLOOKUP(C14,CAMPUS.CONTRATANTE!$D$10:$HD$21,30,0)</f>
        <v>40</v>
      </c>
      <c r="E51" s="413">
        <f>VLOOKUP(C14,CAMPUS.CONTRATANTE!$D$10:$HD$21,47,0)</f>
        <v>40</v>
      </c>
      <c r="F51" s="413">
        <f>VLOOKUP(C14,CAMPUS.CONTRATANTE!$D$10:$HD$21,64,0)</f>
        <v>44</v>
      </c>
      <c r="G51" s="416">
        <f>VLOOKUP(C14,CAMPUS.CONTRATANTE!$D$10:$HD$21,81,0)</f>
        <v>44</v>
      </c>
      <c r="H51" s="416">
        <f>VLOOKUP(C14,CAMPUS.CONTRATANTE!$D$10:$HD$21,98,0)</f>
        <v>44</v>
      </c>
      <c r="I51" s="416">
        <f>VLOOKUP(C14,CAMPUS.CONTRATANTE!$D$10:$HD$21,115,0)</f>
        <v>44</v>
      </c>
      <c r="J51" s="416">
        <f>VLOOKUP(C14,CAMPUS.CONTRATANTE!$D$10:$HD$21,132,0)</f>
        <v>44</v>
      </c>
      <c r="K51" s="416">
        <f>VLOOKUP(C14,CAMPUS.CONTRATANTE!$D$10:$HD$21,149,0)</f>
        <v>44</v>
      </c>
      <c r="L51" s="416">
        <f>VLOOKUP(C14,CAMPUS.CONTRATANTE!$D$10:$HD$21,166,0)</f>
        <v>44</v>
      </c>
      <c r="M51" s="416">
        <f>VLOOKUP(C14,CAMPUS.CONTRATANTE!$D$10:$HD$21,183,0)</f>
        <v>44</v>
      </c>
      <c r="N51" s="416">
        <f>VLOOKUP(C14,CAMPUS.CONTRATANTE!$D$10:$HD$21,200,0)</f>
        <v>44</v>
      </c>
      <c r="O51" s="380"/>
    </row>
    <row r="52" spans="1:15" ht="24" customHeight="1">
      <c r="A52" s="417"/>
      <c r="B52" s="418" t="s">
        <v>285</v>
      </c>
      <c r="C52" s="419">
        <f t="shared" ref="C52:N52" si="4">C51*5</f>
        <v>200</v>
      </c>
      <c r="D52" s="419">
        <f t="shared" si="4"/>
        <v>200</v>
      </c>
      <c r="E52" s="419">
        <f t="shared" si="4"/>
        <v>200</v>
      </c>
      <c r="F52" s="419">
        <f t="shared" si="4"/>
        <v>220</v>
      </c>
      <c r="G52" s="420">
        <f t="shared" si="4"/>
        <v>220</v>
      </c>
      <c r="H52" s="420">
        <f t="shared" si="4"/>
        <v>220</v>
      </c>
      <c r="I52" s="420">
        <f t="shared" si="4"/>
        <v>220</v>
      </c>
      <c r="J52" s="420">
        <f t="shared" si="4"/>
        <v>220</v>
      </c>
      <c r="K52" s="420">
        <f t="shared" si="4"/>
        <v>220</v>
      </c>
      <c r="L52" s="420">
        <f t="shared" si="4"/>
        <v>220</v>
      </c>
      <c r="M52" s="420">
        <f t="shared" si="4"/>
        <v>220</v>
      </c>
      <c r="N52" s="420">
        <f t="shared" si="4"/>
        <v>220</v>
      </c>
      <c r="O52" s="421"/>
    </row>
    <row r="53" spans="1:15" ht="6.75" customHeight="1">
      <c r="A53" s="347"/>
      <c r="B53" s="372"/>
      <c r="C53" s="422"/>
      <c r="D53" s="422"/>
      <c r="E53" s="423"/>
      <c r="F53" s="423"/>
      <c r="G53" s="423"/>
      <c r="H53" s="423"/>
      <c r="I53" s="423"/>
      <c r="J53" s="424"/>
      <c r="K53" s="424"/>
      <c r="L53" s="424"/>
      <c r="M53" s="424"/>
      <c r="N53" s="424"/>
      <c r="O53" s="380"/>
    </row>
    <row r="54" spans="1:15" ht="12.75" customHeight="1">
      <c r="A54" s="347"/>
      <c r="B54" s="1024" t="s">
        <v>286</v>
      </c>
      <c r="C54" s="977"/>
      <c r="D54" s="1007"/>
      <c r="E54" s="374"/>
      <c r="F54" s="374"/>
      <c r="G54" s="374"/>
      <c r="H54" s="374"/>
      <c r="I54" s="374"/>
      <c r="J54" s="89"/>
      <c r="K54" s="89"/>
      <c r="L54" s="89"/>
      <c r="M54" s="89"/>
      <c r="N54" s="89"/>
      <c r="O54" s="380"/>
    </row>
    <row r="55" spans="1:15" ht="9.75" customHeight="1">
      <c r="A55" s="347"/>
      <c r="B55" s="425"/>
      <c r="C55" s="426"/>
      <c r="D55" s="426"/>
      <c r="E55" s="427"/>
      <c r="F55" s="427"/>
      <c r="G55" s="427"/>
      <c r="H55" s="427"/>
      <c r="I55" s="427"/>
      <c r="J55" s="428"/>
      <c r="K55" s="428"/>
      <c r="L55" s="428"/>
      <c r="M55" s="428"/>
      <c r="N55" s="428"/>
      <c r="O55" s="380"/>
    </row>
    <row r="56" spans="1:15" ht="27" customHeight="1">
      <c r="A56" s="347"/>
      <c r="B56" s="347"/>
      <c r="C56" s="409" t="str">
        <f t="shared" ref="C56:N56" si="5">C49</f>
        <v>5132-05_COZINHEIRO_prepost_hs</v>
      </c>
      <c r="D56" s="409" t="str">
        <f t="shared" si="5"/>
        <v>5132-05_COZINHEIRO_geral_hs</v>
      </c>
      <c r="E56" s="409" t="str">
        <f t="shared" si="5"/>
        <v>5135-05_AUX.COZINHA_hs</v>
      </c>
      <c r="F56" s="409" t="str">
        <f t="shared" si="5"/>
        <v>6220-10_JARDINEIRO_hs</v>
      </c>
      <c r="G56" s="410" t="str">
        <f t="shared" si="5"/>
        <v>A NÃO TEM MAIS POSTOS-22</v>
      </c>
      <c r="H56" s="410" t="str">
        <f t="shared" si="5"/>
        <v>A NÃO TEM MAIS POSTOS-33</v>
      </c>
      <c r="I56" s="410" t="str">
        <f t="shared" si="5"/>
        <v>A NÃO TEM MAIS POSTOS-44</v>
      </c>
      <c r="J56" s="411" t="str">
        <f t="shared" si="5"/>
        <v>A NÃO TEM MAIS POSTOS-55</v>
      </c>
      <c r="K56" s="411" t="str">
        <f t="shared" si="5"/>
        <v>A NÃO TEM MAIS POSTOS-66</v>
      </c>
      <c r="L56" s="411" t="str">
        <f t="shared" si="5"/>
        <v>A NÃO TEM MAIS POSTOS-77</v>
      </c>
      <c r="M56" s="411" t="str">
        <f t="shared" si="5"/>
        <v>A NÃO TEM MAIS POSTOS-88</v>
      </c>
      <c r="N56" s="411" t="str">
        <f t="shared" si="5"/>
        <v>A NÃO TEM MAIS POSTOS-99</v>
      </c>
      <c r="O56" s="380"/>
    </row>
    <row r="57" spans="1:15" ht="15.75" customHeight="1">
      <c r="A57" s="347"/>
      <c r="B57" s="412" t="s">
        <v>287</v>
      </c>
      <c r="C57" s="429">
        <v>0.03</v>
      </c>
      <c r="D57" s="429">
        <f t="shared" ref="D57:N57" si="6">C57</f>
        <v>0.03</v>
      </c>
      <c r="E57" s="429">
        <f t="shared" si="6"/>
        <v>0.03</v>
      </c>
      <c r="F57" s="429">
        <f t="shared" si="6"/>
        <v>0.03</v>
      </c>
      <c r="G57" s="430">
        <f t="shared" si="6"/>
        <v>0.03</v>
      </c>
      <c r="H57" s="430">
        <f t="shared" si="6"/>
        <v>0.03</v>
      </c>
      <c r="I57" s="430">
        <f t="shared" si="6"/>
        <v>0.03</v>
      </c>
      <c r="J57" s="431">
        <f t="shared" si="6"/>
        <v>0.03</v>
      </c>
      <c r="K57" s="431">
        <f t="shared" si="6"/>
        <v>0.03</v>
      </c>
      <c r="L57" s="431">
        <f t="shared" si="6"/>
        <v>0.03</v>
      </c>
      <c r="M57" s="431">
        <f t="shared" si="6"/>
        <v>0.03</v>
      </c>
      <c r="N57" s="431">
        <f t="shared" si="6"/>
        <v>0.03</v>
      </c>
      <c r="O57" s="380"/>
    </row>
    <row r="58" spans="1:15" ht="15.75" customHeight="1">
      <c r="A58" s="347"/>
      <c r="B58" s="412" t="s">
        <v>288</v>
      </c>
      <c r="C58" s="432">
        <v>1</v>
      </c>
      <c r="D58" s="432">
        <f t="shared" ref="D58:N58" si="7">C58</f>
        <v>1</v>
      </c>
      <c r="E58" s="432">
        <f t="shared" si="7"/>
        <v>1</v>
      </c>
      <c r="F58" s="432">
        <f t="shared" si="7"/>
        <v>1</v>
      </c>
      <c r="G58" s="433">
        <f t="shared" si="7"/>
        <v>1</v>
      </c>
      <c r="H58" s="433">
        <f t="shared" si="7"/>
        <v>1</v>
      </c>
      <c r="I58" s="433">
        <f t="shared" si="7"/>
        <v>1</v>
      </c>
      <c r="J58" s="434">
        <f t="shared" si="7"/>
        <v>1</v>
      </c>
      <c r="K58" s="434">
        <f t="shared" si="7"/>
        <v>1</v>
      </c>
      <c r="L58" s="434">
        <f t="shared" si="7"/>
        <v>1</v>
      </c>
      <c r="M58" s="434">
        <f t="shared" si="7"/>
        <v>1</v>
      </c>
      <c r="N58" s="434">
        <f t="shared" si="7"/>
        <v>1</v>
      </c>
      <c r="O58" s="380"/>
    </row>
    <row r="59" spans="1:15" ht="15.75" customHeight="1">
      <c r="A59" s="347"/>
      <c r="B59" s="372"/>
      <c r="C59" s="435"/>
      <c r="D59" s="435"/>
      <c r="E59" s="435"/>
      <c r="F59" s="435"/>
      <c r="G59" s="436"/>
      <c r="H59" s="436"/>
      <c r="I59" s="436"/>
      <c r="J59" s="437"/>
      <c r="K59" s="437"/>
      <c r="L59" s="437"/>
      <c r="M59" s="437"/>
      <c r="N59" s="437"/>
      <c r="O59" s="380"/>
    </row>
    <row r="60" spans="1:15" ht="15.75" customHeight="1">
      <c r="A60" s="347"/>
      <c r="B60" s="412" t="s">
        <v>289</v>
      </c>
      <c r="C60" s="438">
        <f>IF(C52&gt;199,VLOOKUP(C35,'DADOS-CADASTRAIS'!C5:O102,4,0)*1,0)</f>
        <v>22</v>
      </c>
      <c r="D60" s="438">
        <f>IF(D52&gt;199,VLOOKUP(D35,'DADOS-CADASTRAIS'!C5:O102,4,0)*1,0)</f>
        <v>22</v>
      </c>
      <c r="E60" s="438">
        <f>IF(E52&gt;199,VLOOKUP(E35,'DADOS-CADASTRAIS'!C5:O102,4,0)*1,0)</f>
        <v>22</v>
      </c>
      <c r="F60" s="438">
        <f>IF(F52&gt;199,VLOOKUP(F35,'DADOS-CADASTRAIS'!C5:O102,4,0)*1,0)</f>
        <v>22</v>
      </c>
      <c r="G60" s="439">
        <f>IF(G52&gt;199,VLOOKUP(G35,'DADOS-CADASTRAIS'!C5:O102,4,0)*1,0)</f>
        <v>20.18</v>
      </c>
      <c r="H60" s="439">
        <f>IF(H52&gt;199,VLOOKUP(H35,'DADOS-CADASTRAIS'!C5:O102,4,0)*1,0)</f>
        <v>20.18</v>
      </c>
      <c r="I60" s="439">
        <f>IF(I52&gt;199,VLOOKUP(I35,'DADOS-CADASTRAIS'!C5:O102,4,0)*1,0)</f>
        <v>20.18</v>
      </c>
      <c r="J60" s="402">
        <f>IF(J52&gt;199,VLOOKUP(J35,'DADOS-CADASTRAIS'!C5:O102,4,0)*1,0)</f>
        <v>0</v>
      </c>
      <c r="K60" s="402">
        <f>IF(K52&gt;199,VLOOKUP(K35,'DADOS-CADASTRAIS'!C5:O102,4,0)*1,0)</f>
        <v>0</v>
      </c>
      <c r="L60" s="402">
        <f>IF(L52&gt;199,VLOOKUP(L35,'DADOS-CADASTRAIS'!C5:O102,4,0)*1,0)</f>
        <v>0</v>
      </c>
      <c r="M60" s="402">
        <f>IF(L52&gt;199,VLOOKUP(L35,'DADOS-CADASTRAIS'!C5:O102,4,0)*1,0)</f>
        <v>0</v>
      </c>
      <c r="N60" s="402">
        <f>IF(L52&gt;199,VLOOKUP(L35,'DADOS-CADASTRAIS'!C5:O102,4,0)*1,0)</f>
        <v>0</v>
      </c>
      <c r="O60" s="380"/>
    </row>
    <row r="61" spans="1:15" ht="15.75" customHeight="1">
      <c r="A61" s="347"/>
      <c r="B61" s="412" t="s">
        <v>290</v>
      </c>
      <c r="C61" s="440">
        <f>VLOOKUP(C35,'DADOS-CADASTRAIS'!C6:O60,6,0)</f>
        <v>0.19</v>
      </c>
      <c r="D61" s="440">
        <f>VLOOKUP(D35,'DADOS-CADASTRAIS'!C6:O120,6,0)</f>
        <v>0.19</v>
      </c>
      <c r="E61" s="440">
        <f>VLOOKUP(E35,'DADOS-CADASTRAIS'!C6:O60,6,0)</f>
        <v>0.19</v>
      </c>
      <c r="F61" s="440">
        <f>VLOOKUP(F35,'DADOS-CADASTRAIS'!C6:O60,6,0)</f>
        <v>0.19</v>
      </c>
      <c r="G61" s="430">
        <f>VLOOKUP(G35,'DADOS-CADASTRAIS'!C6:O60,6,0)</f>
        <v>0.19</v>
      </c>
      <c r="H61" s="430">
        <f>VLOOKUP(H35,'DADOS-CADASTRAIS'!C6:R60,6,0)</f>
        <v>0.19</v>
      </c>
      <c r="I61" s="430">
        <f>VLOOKUP(I35,'DADOS-CADASTRAIS'!C6:R60,6,0)</f>
        <v>0.19</v>
      </c>
      <c r="J61" s="431">
        <f>VLOOKUP(J35,'DADOS-CADASTRAIS'!C6:O60,6,0)</f>
        <v>0</v>
      </c>
      <c r="K61" s="431">
        <f>VLOOKUP(K35,'DADOS-CADASTRAIS'!C6:O60,6,0)</f>
        <v>0</v>
      </c>
      <c r="L61" s="431">
        <f>VLOOKUP(L35,'DADOS-CADASTRAIS'!C6:O60,6,0)</f>
        <v>0</v>
      </c>
      <c r="M61" s="431">
        <f>IF(L52&gt;199,VLOOKUP(L35,'DADOS-CADASTRAIS'!C5:O102,4,0)*1,0)</f>
        <v>0</v>
      </c>
      <c r="N61" s="431">
        <f>IF(L52&gt;199,VLOOKUP(L35,'DADOS-CADASTRAIS'!C5:O102,4,0)*1,0)</f>
        <v>0</v>
      </c>
      <c r="O61" s="380"/>
    </row>
    <row r="62" spans="1:15" ht="15.75" customHeight="1">
      <c r="A62" s="347"/>
      <c r="B62" s="412" t="s">
        <v>291</v>
      </c>
      <c r="C62" s="441">
        <f>VLOOKUP(C14,CAMPUS.CONTRATANTE!$D$10:$HD$21,17,0)</f>
        <v>22</v>
      </c>
      <c r="D62" s="441">
        <f>VLOOKUP(C14,CAMPUS.CONTRATANTE!$D$10:$HD$21,34,0)</f>
        <v>22</v>
      </c>
      <c r="E62" s="441">
        <f>VLOOKUP(C14,CAMPUS.CONTRATANTE!$D$10:$HD$21,51,0)</f>
        <v>22</v>
      </c>
      <c r="F62" s="441">
        <f>VLOOKUP(C14,CAMPUS.CONTRATANTE!$D$10:$HD$21,68,0)</f>
        <v>22</v>
      </c>
      <c r="G62" s="442">
        <f>VLOOKUP(C14,CAMPUS.CONTRATANTE!$D$10:$HD$21,85,0)</f>
        <v>22</v>
      </c>
      <c r="H62" s="442">
        <f>VLOOKUP(C14,CAMPUS.CONTRATANTE!$D$10:$HD$21,102,0)</f>
        <v>22</v>
      </c>
      <c r="I62" s="442">
        <f>VLOOKUP(C14,CAMPUS.CONTRATANTE!$D$10:$HD$21,119,0)</f>
        <v>22</v>
      </c>
      <c r="J62" s="424">
        <f t="shared" ref="J62:N62" si="8">I62</f>
        <v>22</v>
      </c>
      <c r="K62" s="424">
        <f t="shared" si="8"/>
        <v>22</v>
      </c>
      <c r="L62" s="424">
        <f t="shared" si="8"/>
        <v>22</v>
      </c>
      <c r="M62" s="424">
        <f t="shared" si="8"/>
        <v>22</v>
      </c>
      <c r="N62" s="424">
        <f t="shared" si="8"/>
        <v>22</v>
      </c>
      <c r="O62" s="380"/>
    </row>
    <row r="63" spans="1:15" ht="12.75" customHeight="1">
      <c r="A63" s="347"/>
      <c r="B63" s="412" t="s">
        <v>292</v>
      </c>
      <c r="C63" s="441">
        <f>IF(C52&lt;199,VLOOKUP(C35,'DADOS-CADASTRAIS'!C5:O102,5,0)*1,0)</f>
        <v>0</v>
      </c>
      <c r="D63" s="441">
        <f>IF(D52&lt;199,VLOOKUP(D35,'DADOS-CADASTRAIS'!C5:O102,5,0)*1,0)</f>
        <v>0</v>
      </c>
      <c r="E63" s="441">
        <f>IF(E52&lt;199,VLOOKUP(E35,'DADOS-CADASTRAIS'!C5:O102,5,0)*1,0)</f>
        <v>0</v>
      </c>
      <c r="F63" s="441">
        <f>IF(F52&lt;199,VLOOKUP(F35,'DADOS-CADASTRAIS'!C5:O102,5,0)*1,0)</f>
        <v>0</v>
      </c>
      <c r="G63" s="439">
        <f>IF(G52&lt;199,VLOOKUP(G35,'DADOS-CADASTRAIS'!C5:O102,5,0)*1,0)</f>
        <v>0</v>
      </c>
      <c r="H63" s="439">
        <f>IF(H52&lt;199,VLOOKUP(H35,'DADOS-CADASTRAIS'!C5:O102,5,0)*1,0)</f>
        <v>0</v>
      </c>
      <c r="I63" s="439">
        <f>IF(I52&lt;199,VLOOKUP(I35,'DADOS-CADASTRAIS'!C5:O102,5,0)*1,0)</f>
        <v>0</v>
      </c>
      <c r="J63" s="402">
        <f>IF(J52&lt;199,VLOOKUP(J35,'DADOS-CADASTRAIS'!C5:O102,5,0)*1,0)</f>
        <v>0</v>
      </c>
      <c r="K63" s="402">
        <f>IF(K52&lt;199,VLOOKUP(K35,'DADOS-CADASTRAIS'!C5:O102,5,0)*1,0)</f>
        <v>0</v>
      </c>
      <c r="L63" s="402">
        <f>IF(L52&lt;199,VLOOKUP(L35,'DADOS-CADASTRAIS'!C5:O102,5,0)*1,0)</f>
        <v>0</v>
      </c>
      <c r="M63" s="402">
        <f>IF(M52&lt;199,VLOOKUP(M35,'DADOS-CADASTRAIS'!C5:O102,5,0)*1,0)</f>
        <v>0</v>
      </c>
      <c r="N63" s="402">
        <f>IF(N52&lt;199,VLOOKUP(N35,'DADOS-CADASTRAIS'!C5:O102,5,0)*1,0)</f>
        <v>0</v>
      </c>
      <c r="O63" s="380"/>
    </row>
    <row r="64" spans="1:15" ht="13.5" hidden="1" customHeight="1" outlineLevel="1">
      <c r="A64" s="347"/>
      <c r="B64" s="443" t="s">
        <v>293</v>
      </c>
      <c r="C64" s="444">
        <f>IF(D52&gt;199,VLOOKUP(C35,'DADOS-CADASTRAIS'!C5:O102,12,0)*1,0)</f>
        <v>0</v>
      </c>
      <c r="D64" s="445">
        <f>VLOOKUP(D35,'DADOS-CADASTRAIS'!C5:R102,12,0)</f>
        <v>0</v>
      </c>
      <c r="E64" s="445">
        <f>VLOOKUP(E35,'DADOS-CADASTRAIS'!C5:O102,12,0)</f>
        <v>0</v>
      </c>
      <c r="F64" s="445">
        <f>VLOOKUP(F35,'DADOS-CADASTRAIS'!C5:O102,12,0)</f>
        <v>0</v>
      </c>
      <c r="G64" s="446">
        <f>VLOOKUP(G35,'DADOS-CADASTRAIS'!C5:O102,12,0)</f>
        <v>0</v>
      </c>
      <c r="H64" s="446">
        <f>VLOOKUP(H35,'DADOS-CADASTRAIS'!C5:O102,12,0)</f>
        <v>0</v>
      </c>
      <c r="I64" s="446">
        <f>VLOOKUP(I35,'DADOS-CADASTRAIS'!C5:O102,12,0)</f>
        <v>0</v>
      </c>
      <c r="J64" s="402"/>
      <c r="K64" s="402"/>
      <c r="L64" s="402"/>
      <c r="M64" s="402"/>
      <c r="N64" s="402"/>
      <c r="O64" s="380"/>
    </row>
    <row r="65" spans="1:15" ht="14.25" hidden="1" customHeight="1" outlineLevel="1">
      <c r="A65" s="347"/>
      <c r="B65" s="447" t="s">
        <v>294</v>
      </c>
      <c r="C65" s="448">
        <f>ROUND(VLOOKUP($C$14,CAMPUS.CONTRATANTE!$D$10:$HD$21,14,0)*C66,2)*C67</f>
        <v>0</v>
      </c>
      <c r="D65" s="448">
        <f>ROUND(VLOOKUP($C$14,CAMPUS.CONTRATANTE!$D$10:$HD$21,31,0)*C66,2)*D67</f>
        <v>0</v>
      </c>
      <c r="E65" s="448">
        <f>ROUND(VLOOKUP($C$14,CAMPUS.CONTRATANTE!$D$10:$HD$21,48,0)*C66,2)*E67</f>
        <v>0</v>
      </c>
      <c r="F65" s="448">
        <f>ROUND(VLOOKUP($C$14,CAMPUS.CONTRATANTE!$D$10:$HD$21,65,0)*C66,2)</f>
        <v>0</v>
      </c>
      <c r="G65" s="448">
        <f>ROUND(VLOOKUP($C$14,CAMPUS.CONTRATANTE!$D$10:$HD$21,82,0)*C66,2)</f>
        <v>0</v>
      </c>
      <c r="H65" s="448">
        <f>ROUND(VLOOKUP($C$14,CAMPUS.CONTRATANTE!$D$10:$HD$21,99,0)*C66,2)</f>
        <v>0</v>
      </c>
      <c r="I65" s="448">
        <f>ROUND(VLOOKUP($C$14,CAMPUS.CONTRATANTE!$D$10:$HD$21,116,0)*C66,2)</f>
        <v>0</v>
      </c>
      <c r="J65" s="449">
        <f>ROUND(VLOOKUP($C$14,CAMPUS.CONTRATANTE!$D$10:$HD$21,133,0)*C66,2)</f>
        <v>0</v>
      </c>
      <c r="K65" s="449">
        <f>ROUND(VLOOKUP($C$14,CAMPUS.CONTRATANTE!$D$10:$HD$21,150,0)*C66,2)</f>
        <v>0</v>
      </c>
      <c r="L65" s="449">
        <f>ROUND(VLOOKUP($C$14,CAMPUS.CONTRATANTE!$D$10:$HD$21,167,0)*C66,2)</f>
        <v>0</v>
      </c>
      <c r="M65" s="449">
        <f>ROUND(VLOOKUP($C$14,CAMPUS.CONTRATANTE!$D$10:$HD$21,184,0)*C66,2)</f>
        <v>0</v>
      </c>
      <c r="N65" s="449">
        <f>ROUND(VLOOKUP($C$14,CAMPUS.CONTRATANTE!$D$10:$HD$21,202,0)*C66,2)</f>
        <v>0</v>
      </c>
      <c r="O65" s="380"/>
    </row>
    <row r="66" spans="1:15" ht="14.25" hidden="1" customHeight="1" outlineLevel="1">
      <c r="A66" s="347"/>
      <c r="B66" s="412" t="s">
        <v>295</v>
      </c>
      <c r="C66" s="442">
        <f>IF(C14="SAO-VICENTE-DO-SUL",0,4)</f>
        <v>4</v>
      </c>
      <c r="D66" s="442">
        <f>IF(C14="SAO-VICENTE-DO-SUL",0,4)</f>
        <v>4</v>
      </c>
      <c r="E66" s="442">
        <f>IF(C14="SAO-VICENTE-DO-SUL",0,4)</f>
        <v>4</v>
      </c>
      <c r="F66" s="442">
        <v>0</v>
      </c>
      <c r="G66" s="450">
        <v>0</v>
      </c>
      <c r="H66" s="450">
        <v>0</v>
      </c>
      <c r="I66" s="450">
        <v>0</v>
      </c>
      <c r="J66" s="451">
        <v>0</v>
      </c>
      <c r="K66" s="451">
        <v>4</v>
      </c>
      <c r="L66" s="451">
        <v>0</v>
      </c>
      <c r="M66" s="451">
        <v>0</v>
      </c>
      <c r="N66" s="451">
        <v>0</v>
      </c>
      <c r="O66" s="380"/>
    </row>
    <row r="67" spans="1:15" ht="14.25" hidden="1" customHeight="1" outlineLevel="1">
      <c r="A67" s="347"/>
      <c r="B67" s="452" t="s">
        <v>296</v>
      </c>
      <c r="C67" s="453">
        <f>ROUND(VLOOKUP($C$14,CAMPUS.CONTRATANTE!$D$10:$HD$21,19,0),2)</f>
        <v>0</v>
      </c>
      <c r="D67" s="453">
        <f>ROUND(VLOOKUP($C$14,CAMPUS.CONTRATANTE!$D$10:$HD$21,36,0),2)</f>
        <v>0</v>
      </c>
      <c r="E67" s="453">
        <f>ROUND(VLOOKUP($C$14,CAMPUS.CONTRATANTE!$D$10:$HD$21,53,0),2)</f>
        <v>0</v>
      </c>
      <c r="F67" s="453"/>
      <c r="G67" s="453"/>
      <c r="H67" s="453"/>
      <c r="I67" s="453"/>
      <c r="J67" s="451"/>
      <c r="K67" s="451"/>
      <c r="L67" s="451"/>
      <c r="M67" s="451"/>
      <c r="N67" s="451"/>
      <c r="O67" s="380"/>
    </row>
    <row r="68" spans="1:15" ht="15" hidden="1" customHeight="1" outlineLevel="1">
      <c r="A68" s="347"/>
      <c r="B68" s="447" t="s">
        <v>297</v>
      </c>
      <c r="C68" s="454">
        <f>ROUND(VLOOKUP($C$14,CAMPUS.CONTRATANTE!$D$10:$HD$21,15,0)*C69,2)*C71</f>
        <v>0</v>
      </c>
      <c r="D68" s="454">
        <f>ROUND(VLOOKUP($C$14,CAMPUS.CONTRATANTE!$D$10:$HD$21,32,0)*C69,2)*D71</f>
        <v>0</v>
      </c>
      <c r="E68" s="454">
        <f>ROUND(VLOOKUP($C$14,CAMPUS.CONTRATANTE!$D$10:$HD$21,49,0)*C69,2)</f>
        <v>0</v>
      </c>
      <c r="F68" s="454">
        <f>ROUND(VLOOKUP($C$14,CAMPUS.CONTRATANTE!$D$10:$HD$21,66,0)*C69,2)</f>
        <v>0</v>
      </c>
      <c r="G68" s="455">
        <f>ROUND(VLOOKUP($C$14,CAMPUS.CONTRATANTE!$D$10:$HD$21,83,0)*C69,2)</f>
        <v>0</v>
      </c>
      <c r="H68" s="455">
        <f>ROUND(VLOOKUP($C$14,CAMPUS.CONTRATANTE!$D$10:$HD$21,100,0)*C69,2)</f>
        <v>0</v>
      </c>
      <c r="I68" s="455">
        <f>ROUND(VLOOKUP($C$14,CAMPUS.CONTRATANTE!$D$10:$HD$21,117,0)*C69,2)</f>
        <v>0</v>
      </c>
      <c r="J68" s="402">
        <f>ROUND(VLOOKUP($C$14,CAMPUS.CONTRATANTE!$D$10:$HD$21,134,0)*C69,2)</f>
        <v>0</v>
      </c>
      <c r="K68" s="402">
        <f>ROUND(VLOOKUP($C$14,CAMPUS.CONTRATANTE!$D$10:$HD$21,151,0)*C69,2)</f>
        <v>0</v>
      </c>
      <c r="L68" s="402">
        <f>ROUND(VLOOKUP($C$14,CAMPUS.CONTRATANTE!$D$10:$HD$21,168,0)*C69,2)</f>
        <v>0</v>
      </c>
      <c r="M68" s="402">
        <f>ROUND(VLOOKUP($C$14,CAMPUS.CONTRATANTE!$D$10:$HD$21,185,0)*C69,2)</f>
        <v>0</v>
      </c>
      <c r="N68" s="402">
        <f>ROUND(VLOOKUP($C$14,CAMPUS.CONTRATANTE!$D$10:$HD$21,202,0)*C69,2)</f>
        <v>0</v>
      </c>
      <c r="O68" s="380"/>
    </row>
    <row r="69" spans="1:15" ht="14.25" hidden="1" customHeight="1" outlineLevel="1">
      <c r="A69" s="347"/>
      <c r="B69" s="412" t="s">
        <v>298</v>
      </c>
      <c r="C69" s="442">
        <f>IF(C14="SAO-VICENTE-DO-SUL",(4*52+8*12)/64,8)</f>
        <v>8</v>
      </c>
      <c r="D69" s="442">
        <f>IF(C14="SAO-VICENTE-DO-SUL",(4*52+8*12)/64,8)</f>
        <v>8</v>
      </c>
      <c r="E69" s="442">
        <f>IF(C14="SAO-VICENTE-DO-SUL",(4*52+8*12)/64,8)</f>
        <v>8</v>
      </c>
      <c r="F69" s="442">
        <v>0</v>
      </c>
      <c r="G69" s="442">
        <v>0</v>
      </c>
      <c r="H69" s="442">
        <v>0</v>
      </c>
      <c r="I69" s="442">
        <v>0</v>
      </c>
      <c r="J69" s="424">
        <v>0</v>
      </c>
      <c r="K69" s="424">
        <v>0</v>
      </c>
      <c r="L69" s="424">
        <v>0</v>
      </c>
      <c r="M69" s="424">
        <v>0</v>
      </c>
      <c r="N69" s="424">
        <v>0</v>
      </c>
      <c r="O69" s="380"/>
    </row>
    <row r="70" spans="1:15" ht="14.25" hidden="1" customHeight="1" outlineLevel="1">
      <c r="A70" s="347"/>
      <c r="B70" s="412" t="s">
        <v>299</v>
      </c>
      <c r="C70" s="456" t="str">
        <f>VLOOKUP(C14,CAMPUS.CONTRATANTE!$D$10:$HD$21,5,0)</f>
        <v>N</v>
      </c>
      <c r="D70" s="456" t="str">
        <f>VLOOKUP(C14,CAMPUS.CONTRATANTE!$D$10:$HD$22,22,0)</f>
        <v>N</v>
      </c>
      <c r="E70" s="456" t="str">
        <f>VLOOKUP(C14,CAMPUS.CONTRATANTE!$D$10:$HD$22,39,0)</f>
        <v>N</v>
      </c>
      <c r="F70" s="456" t="str">
        <f>VLOOKUP(C14,CAMPUS.CONTRATANTE!$D$10:$HD$22,56,0)</f>
        <v>N</v>
      </c>
      <c r="G70" s="457" t="str">
        <f>VLOOKUP(C14,CAMPUS.CONTRATANTE!$D$10:$HD$22,73,0)</f>
        <v>S</v>
      </c>
      <c r="H70" s="457" t="str">
        <f>VLOOKUP(C14,CAMPUS.CONTRATANTE!$D$10:$HD$22,90,0)</f>
        <v>S</v>
      </c>
      <c r="I70" s="457" t="str">
        <f>VLOOKUP(C14,CAMPUS.CONTRATANTE!$D$10:$HD$22,107,0)</f>
        <v>S</v>
      </c>
      <c r="J70" s="402" t="str">
        <f>VLOOKUP(C14,CAMPUS.CONTRATANTE!$D$10:$HD$22,124,0)</f>
        <v>N</v>
      </c>
      <c r="K70" s="402" t="str">
        <f>VLOOKUP(C14,CAMPUS.CONTRATANTE!$D$10:$HD$22,141,0)</f>
        <v>N</v>
      </c>
      <c r="L70" s="402" t="str">
        <f>VLOOKUP(C14,CAMPUS.CONTRATANTE!$D$10:$HD$22,158,0)</f>
        <v>N</v>
      </c>
      <c r="M70" s="402" t="str">
        <f>VLOOKUP(C14,CAMPUS.CONTRATANTE!$D$10:$HD$22,175,0)</f>
        <v>N</v>
      </c>
      <c r="N70" s="402" t="str">
        <f>VLOOKUP(C14,CAMPUS.CONTRATANTE!$D$10:$HD$22,192,0)</f>
        <v>N</v>
      </c>
      <c r="O70" s="380"/>
    </row>
    <row r="71" spans="1:15" ht="13.5" hidden="1" customHeight="1" outlineLevel="1">
      <c r="A71" s="347"/>
      <c r="B71" s="452" t="s">
        <v>300</v>
      </c>
      <c r="C71" s="458">
        <f>ROUND(VLOOKUP($C$14,CAMPUS.CONTRATANTE!$D$10:$HD$21,20,0),2)</f>
        <v>0</v>
      </c>
      <c r="D71" s="458">
        <f>ROUND(VLOOKUP($C$14,CAMPUS.CONTRATANTE!$D$10:$HD$21,37,0),2)</f>
        <v>0</v>
      </c>
      <c r="E71" s="458">
        <f>ROUND(VLOOKUP($C$14,CAMPUS.CONTRATANTE!$D$10:$HD$21,54,0),2)</f>
        <v>0</v>
      </c>
      <c r="F71" s="458">
        <f>ROUND(VLOOKUP($C$14,CAMPUS.CONTRATANTE!$D$10:$HD$21,54,0),2)</f>
        <v>0</v>
      </c>
      <c r="G71" s="453"/>
      <c r="H71" s="453"/>
      <c r="I71" s="453"/>
      <c r="J71" s="402"/>
      <c r="K71" s="402"/>
      <c r="L71" s="402"/>
      <c r="M71" s="402"/>
      <c r="N71" s="402"/>
      <c r="O71" s="380"/>
    </row>
    <row r="72" spans="1:15" ht="15" customHeight="1" collapsed="1">
      <c r="A72" s="459"/>
      <c r="B72" s="412" t="s">
        <v>301</v>
      </c>
      <c r="C72" s="438">
        <f>VLOOKUP(C14,CAMPUS.CONTRATANTE!$D$10:$BE$21,2,0)</f>
        <v>3.2</v>
      </c>
      <c r="D72" s="438">
        <f t="shared" ref="D72:N72" si="9">C72</f>
        <v>3.2</v>
      </c>
      <c r="E72" s="438">
        <f t="shared" si="9"/>
        <v>3.2</v>
      </c>
      <c r="F72" s="438">
        <f t="shared" si="9"/>
        <v>3.2</v>
      </c>
      <c r="G72" s="439">
        <f t="shared" si="9"/>
        <v>3.2</v>
      </c>
      <c r="H72" s="439">
        <f t="shared" si="9"/>
        <v>3.2</v>
      </c>
      <c r="I72" s="439">
        <f t="shared" si="9"/>
        <v>3.2</v>
      </c>
      <c r="J72" s="460">
        <f t="shared" si="9"/>
        <v>3.2</v>
      </c>
      <c r="K72" s="460">
        <f t="shared" si="9"/>
        <v>3.2</v>
      </c>
      <c r="L72" s="460">
        <f t="shared" si="9"/>
        <v>3.2</v>
      </c>
      <c r="M72" s="460">
        <f t="shared" si="9"/>
        <v>3.2</v>
      </c>
      <c r="N72" s="460">
        <f t="shared" si="9"/>
        <v>3.2</v>
      </c>
      <c r="O72" s="380"/>
    </row>
    <row r="73" spans="1:15" ht="15" customHeight="1">
      <c r="A73" s="347"/>
      <c r="B73" s="412" t="s">
        <v>302</v>
      </c>
      <c r="C73" s="461">
        <v>2</v>
      </c>
      <c r="D73" s="461">
        <f t="shared" ref="D73:N73" si="10">C73</f>
        <v>2</v>
      </c>
      <c r="E73" s="461">
        <f t="shared" si="10"/>
        <v>2</v>
      </c>
      <c r="F73" s="461">
        <f t="shared" si="10"/>
        <v>2</v>
      </c>
      <c r="G73" s="442">
        <f t="shared" si="10"/>
        <v>2</v>
      </c>
      <c r="H73" s="442">
        <f t="shared" si="10"/>
        <v>2</v>
      </c>
      <c r="I73" s="442">
        <f t="shared" si="10"/>
        <v>2</v>
      </c>
      <c r="J73" s="424">
        <f t="shared" si="10"/>
        <v>2</v>
      </c>
      <c r="K73" s="424">
        <f t="shared" si="10"/>
        <v>2</v>
      </c>
      <c r="L73" s="424">
        <f t="shared" si="10"/>
        <v>2</v>
      </c>
      <c r="M73" s="424">
        <f t="shared" si="10"/>
        <v>2</v>
      </c>
      <c r="N73" s="424">
        <f t="shared" si="10"/>
        <v>2</v>
      </c>
      <c r="O73" s="380"/>
    </row>
    <row r="74" spans="1:15" ht="15" customHeight="1">
      <c r="A74" s="347"/>
      <c r="B74" s="412" t="s">
        <v>303</v>
      </c>
      <c r="C74" s="462">
        <f>VLOOKUP(C14,CAMPUS.CONTRATANTE!$D$10:$HD$22,16,0)</f>
        <v>22</v>
      </c>
      <c r="D74" s="462">
        <f>VLOOKUP(C14,CAMPUS.CONTRATANTE!$D$10:$HD$22,33,0)</f>
        <v>22</v>
      </c>
      <c r="E74" s="462">
        <f>VLOOKUP(C14,CAMPUS.CONTRATANTE!$D$10:$HD$22,50,0)</f>
        <v>22</v>
      </c>
      <c r="F74" s="462">
        <f>VLOOKUP(C14,CAMPUS.CONTRATANTE!$D$10:$HD$22,67,0)</f>
        <v>22</v>
      </c>
      <c r="G74" s="442">
        <f>VLOOKUP(C14,CAMPUS.CONTRATANTE!$D$10:$HD$22,84,0)</f>
        <v>22</v>
      </c>
      <c r="H74" s="442">
        <f>VLOOKUP(C14,CAMPUS.CONTRATANTE!$D$10:$HD$22,101,0)</f>
        <v>22</v>
      </c>
      <c r="I74" s="442">
        <f>VLOOKUP(C14,CAMPUS.CONTRATANTE!$D$10:$HD$22,118,0)</f>
        <v>22</v>
      </c>
      <c r="J74" s="424">
        <f>VLOOKUP(C14,CAMPUS.CONTRATANTE!$D$10:$HD$22,135,0)</f>
        <v>22</v>
      </c>
      <c r="K74" s="424">
        <f>VLOOKUP(C14,CAMPUS.CONTRATANTE!$D$10:$HD$22,152,0)</f>
        <v>22</v>
      </c>
      <c r="L74" s="424">
        <f>VLOOKUP(C14,CAMPUS.CONTRATANTE!$D$10:$HD$22,169,0)</f>
        <v>25</v>
      </c>
      <c r="M74" s="424">
        <f>VLOOKUP(C14,CAMPUS.CONTRATANTE!$D$10:$HD$22,186,0)</f>
        <v>0</v>
      </c>
      <c r="N74" s="424">
        <f>VLOOKUP(C14,CAMPUS.CONTRATANTE!$D$10:$HD$22,203,0)</f>
        <v>0</v>
      </c>
      <c r="O74" s="380"/>
    </row>
    <row r="75" spans="1:15" ht="16.5" customHeight="1">
      <c r="A75" s="347"/>
      <c r="B75" s="412" t="s">
        <v>304</v>
      </c>
      <c r="C75" s="401">
        <f>VLOOKUP(C35,'DADOS-CADASTRAIS'!C6:O60,7,0)</f>
        <v>0</v>
      </c>
      <c r="D75" s="401">
        <f>VLOOKUP(D35,'DADOS-CADASTRAIS'!C6:O60,7,0)</f>
        <v>0</v>
      </c>
      <c r="E75" s="401">
        <f>VLOOKUP(E35,'DADOS-CADASTRAIS'!C6:O60,7,0)</f>
        <v>0</v>
      </c>
      <c r="F75" s="401">
        <f>VLOOKUP(E35,'DADOS-CADASTRAIS'!C6:O60,7,0)</f>
        <v>0</v>
      </c>
      <c r="G75" s="404">
        <f>VLOOKUP(G35,'DADOS-CADASTRAIS'!C6:O60,7,0)</f>
        <v>0</v>
      </c>
      <c r="H75" s="404">
        <f>VLOOKUP(H35,'DADOS-CADASTRAIS'!C6:O60,7,0)</f>
        <v>0.06</v>
      </c>
      <c r="I75" s="404">
        <f>VLOOKUP(I35,'DADOS-CADASTRAIS'!C6:O60,7,0)</f>
        <v>0.06</v>
      </c>
      <c r="J75" s="396">
        <f>VLOOKUP(J35,'DADOS-CADASTRAIS'!C6:O60,7,0)</f>
        <v>0.06</v>
      </c>
      <c r="K75" s="396">
        <f>VLOOKUP(K35,'DADOS-CADASTRAIS'!C6:O60,7,0)</f>
        <v>0.06</v>
      </c>
      <c r="L75" s="396">
        <f>VLOOKUP(L35,'DADOS-CADASTRAIS'!C6:O60,7,0)</f>
        <v>0.06</v>
      </c>
      <c r="M75" s="396">
        <f>VLOOKUP(L35,'DADOS-CADASTRAIS'!C6:O60,7,0)</f>
        <v>0.06</v>
      </c>
      <c r="N75" s="396">
        <f>VLOOKUP(L35,'DADOS-CADASTRAIS'!C6:O60,7,0)</f>
        <v>0.06</v>
      </c>
      <c r="O75" s="380"/>
    </row>
    <row r="76" spans="1:15" ht="14.25" customHeight="1">
      <c r="A76" s="347"/>
      <c r="B76" s="412" t="s">
        <v>305</v>
      </c>
      <c r="C76" s="438">
        <f>VLOOKUP(C35,'DADOS-CADASTRAIS'!C6:O60,9,0)</f>
        <v>18.5</v>
      </c>
      <c r="D76" s="438">
        <f>VLOOKUP(D35,'DADOS-CADASTRAIS'!C6:O60,9,0)</f>
        <v>18.5</v>
      </c>
      <c r="E76" s="438">
        <f>VLOOKUP(E35,'DADOS-CADASTRAIS'!C6:O60,9,0)</f>
        <v>18.5</v>
      </c>
      <c r="F76" s="438">
        <f>VLOOKUP(F35,'DADOS-CADASTRAIS'!C6:O60,9,0)</f>
        <v>18.5</v>
      </c>
      <c r="G76" s="439">
        <f>VLOOKUP(H35,'DADOS-CADASTRAIS'!C6:O60,9,0)</f>
        <v>17.32</v>
      </c>
      <c r="H76" s="439">
        <f>VLOOKUP(H35,'DADOS-CADASTRAIS'!C6:O60,9,0)</f>
        <v>17.32</v>
      </c>
      <c r="I76" s="439">
        <f>VLOOKUP(I35,'DADOS-CADASTRAIS'!C6:O60,9,0)</f>
        <v>17.32</v>
      </c>
      <c r="J76" s="402">
        <f>VLOOKUP(J35,'DADOS-CADASTRAIS'!C6:O60,9,0)</f>
        <v>0</v>
      </c>
      <c r="K76" s="402">
        <f>VLOOKUP(K35,'DADOS-CADASTRAIS'!C6:O60,9,0)</f>
        <v>0</v>
      </c>
      <c r="L76" s="402">
        <f>VLOOKUP(L35,'DADOS-CADASTRAIS'!C6:O60,9,0)</f>
        <v>0</v>
      </c>
      <c r="M76" s="402">
        <f>VLOOKUP(L35,'DADOS-CADASTRAIS'!C6:O60,7,0)</f>
        <v>0.06</v>
      </c>
      <c r="N76" s="402">
        <f>VLOOKUP(L35,'DADOS-CADASTRAIS'!C6:O60,7,0)</f>
        <v>0.06</v>
      </c>
      <c r="O76" s="380"/>
    </row>
    <row r="77" spans="1:15" ht="14.25" customHeight="1">
      <c r="A77" s="347"/>
      <c r="B77" s="412" t="s">
        <v>306</v>
      </c>
      <c r="C77" s="463">
        <f>IF(VLOOKUP(C35,'DADOS-CADASTRAIS'!C5:R60,10,0)="S",'5132-05_COZINHEIRO_prepost_hs'!J58*26*0.00023,0)</f>
        <v>0</v>
      </c>
      <c r="D77" s="463">
        <f>IF(VLOOKUP(D35,'DADOS-CADASTRAIS'!C5:R60,10,0)="S",'5132-05_COZINHEIRO_geral_hs'!J58*26*0.00023,0)</f>
        <v>0</v>
      </c>
      <c r="E77" s="463">
        <f>IF(VLOOKUP(E35,'DADOS-CADASTRAIS'!C5:R60,10,0)="S",'5135-05_AUX.COZINHA_hs'!J58*26*0.00023,0)</f>
        <v>0</v>
      </c>
      <c r="F77" s="463">
        <f>IF(VLOOKUP(F35,'DADOS-CADASTRAIS'!C5:R60,10,0)="S",'2020-10_JARDINEIRO_hs-'!J58*26*0.00023,0)</f>
        <v>0</v>
      </c>
      <c r="G77" s="439">
        <f>IF(VLOOKUP(G35,'DADOS-CADASTRAIS'!C5:R60,10,0)="S",'A NÃO TEM MAIS POSTOS-11'!J58*26*0.00023,0)</f>
        <v>0</v>
      </c>
      <c r="H77" s="439">
        <f>IF(VLOOKUP(H35,'DADOS-CADASTRAIS'!C5:R60,10,0)="S",'A NÃO TEM MAIS POSTOS-33'!J58*26*0.00023,0)</f>
        <v>0</v>
      </c>
      <c r="I77" s="439">
        <f>IF(VLOOKUP(I35,'DADOS-CADASTRAIS'!C5:R60,10,0)="S",'A NÃO TEM MAIS POSTOS-44'!J58*26*0.00023,0)</f>
        <v>0</v>
      </c>
      <c r="J77" s="402">
        <f>VLOOKUP(J35,'DADOS-CADASTRAIS'!C5:L18,10,0)</f>
        <v>0</v>
      </c>
      <c r="K77" s="402">
        <f>VLOOKUP(K35,'DADOS-CADASTRAIS'!C5:L18,10,0)</f>
        <v>0</v>
      </c>
      <c r="L77" s="402">
        <f>VLOOKUP(L35,'DADOS-CADASTRAIS'!C5:L18,10,0)</f>
        <v>0</v>
      </c>
      <c r="M77" s="402">
        <f>VLOOKUP(L35,'DADOS-CADASTRAIS'!C6:O60,7,0)</f>
        <v>0.06</v>
      </c>
      <c r="N77" s="402">
        <f>VLOOKUP(L35,'DADOS-CADASTRAIS'!C6:O60,7,0)</f>
        <v>0.06</v>
      </c>
      <c r="O77" s="380"/>
    </row>
    <row r="78" spans="1:15" ht="18" customHeight="1">
      <c r="A78" s="347"/>
      <c r="B78" s="372" t="s">
        <v>307</v>
      </c>
      <c r="C78" s="463">
        <f>IF(VLOOKUP(C35,'DADOS-CADASTRAIS'!C5:R60,10,0)="S",('5132-05_COZINHEIRO_prepost_hs'!J47*0.0052066)/12,2)*0</f>
        <v>0</v>
      </c>
      <c r="D78" s="463">
        <f>IF(VLOOKUP(C35,'DADOS-CADASTRAIS'!C5:O60,11,0)="S",('5132-05_COZINHEIRO_geral_hs'!J47*0.0052066)/12,2)*0</f>
        <v>0</v>
      </c>
      <c r="E78" s="463">
        <f>IF(VLOOKUP(C35,'DADOS-CADASTRAIS'!C5:O60,10,0)="S",'5132-05_COZINHEIRO_geral_hs'!J58*26*0.00023,0)*0</f>
        <v>0</v>
      </c>
      <c r="F78" s="463">
        <f>IF(VLOOKUP(D35,'DADOS-CADASTRAIS'!C5:R60,10,0)="S",'5132-05_COZINHEIRO_geral_hs'!K58*26*0.00023,0)*0</f>
        <v>0</v>
      </c>
      <c r="G78" s="439">
        <f>IF(VLOOKUP(E35,'DADOS-CADASTRAIS'!C5:S60,10,0)="S",'5132-05_COZINHEIRO_geral_hs'!L58*26*0.00023,0)*0</f>
        <v>0</v>
      </c>
      <c r="H78" s="439">
        <f>IF(VLOOKUP(E35,'DADOS-CADASTRAIS'!C5:R60,10,0)="S",'5132-05_COZINHEIRO_geral_hs'!L58*26*0.00023,0)</f>
        <v>0</v>
      </c>
      <c r="I78" s="439">
        <f>IF(VLOOKUP(E35,'DADOS-CADASTRAIS'!C5:R60,10,0)="S",'5132-05_COZINHEIRO_geral_hs'!L58*26*0.00023,0)</f>
        <v>0</v>
      </c>
      <c r="J78" s="402">
        <f>VLOOKUP(J35,'DADOS-CADASTRAIS'!C6:M19,11,0)</f>
        <v>0</v>
      </c>
      <c r="K78" s="402">
        <f>VLOOKUP(K35,'DADOS-CADASTRAIS'!C6:M19,11,0)</f>
        <v>0</v>
      </c>
      <c r="L78" s="402">
        <f>VLOOKUP(L35,'DADOS-CADASTRAIS'!C6:M19,11,0)</f>
        <v>0</v>
      </c>
      <c r="M78" s="402">
        <f>VLOOKUP(L35,'DADOS-CADASTRAIS'!C6:O60,7,0)</f>
        <v>0.06</v>
      </c>
      <c r="N78" s="402">
        <f>VLOOKUP(L35,'DADOS-CADASTRAIS'!C6:O60,7,0)</f>
        <v>0.06</v>
      </c>
      <c r="O78" s="380"/>
    </row>
    <row r="79" spans="1:15" ht="18" customHeight="1">
      <c r="A79" s="347"/>
      <c r="B79" s="372" t="s">
        <v>308</v>
      </c>
      <c r="C79" s="438">
        <f>VLOOKUP(C35,'DADOS-CADASTRAIS'!C5:R60,13,0)</f>
        <v>0</v>
      </c>
      <c r="D79" s="438">
        <f>VLOOKUP(D35,'DADOS-CADASTRAIS'!C5:R60,13,0)</f>
        <v>0</v>
      </c>
      <c r="E79" s="438">
        <f>VLOOKUP(E35,'DADOS-CADASTRAIS'!C5:R60,13,0)</f>
        <v>0</v>
      </c>
      <c r="F79" s="438">
        <f>VLOOKUP(F35,'DADOS-CADASTRAIS'!C5:R60,13,0)</f>
        <v>0</v>
      </c>
      <c r="G79" s="439">
        <f>VLOOKUP(G35,'DADOS-CADASTRAIS'!C5:R60,13,0)</f>
        <v>0</v>
      </c>
      <c r="H79" s="439">
        <f>VLOOKUP(H35,'DADOS-CADASTRAIS'!C5:R60,13,0)</f>
        <v>0</v>
      </c>
      <c r="I79" s="439">
        <f>VLOOKUP(I35,'DADOS-CADASTRAIS'!C5:R60,13,0)</f>
        <v>0</v>
      </c>
      <c r="J79" s="407"/>
      <c r="K79" s="407"/>
      <c r="L79" s="407"/>
      <c r="M79" s="407"/>
      <c r="N79" s="407"/>
      <c r="O79" s="380"/>
    </row>
    <row r="80" spans="1:15" ht="18" customHeight="1">
      <c r="A80" s="347"/>
      <c r="B80" s="464" t="s">
        <v>309</v>
      </c>
      <c r="C80" s="438"/>
      <c r="D80" s="438"/>
      <c r="E80" s="438"/>
      <c r="F80" s="438"/>
      <c r="G80" s="439">
        <f>VLOOKUP(G35,'DADOS-CADASTRAIS'!C6:R60,14,0)</f>
        <v>0</v>
      </c>
      <c r="H80" s="439"/>
      <c r="I80" s="439"/>
      <c r="J80" s="408"/>
      <c r="K80" s="408"/>
      <c r="L80" s="408"/>
      <c r="M80" s="408"/>
      <c r="N80" s="408"/>
      <c r="O80" s="380"/>
    </row>
    <row r="81" spans="1:15" ht="12.75" customHeight="1">
      <c r="A81" s="347"/>
      <c r="G81" s="74"/>
      <c r="H81" s="74"/>
      <c r="I81" s="74"/>
      <c r="J81" s="89"/>
      <c r="K81" s="89"/>
      <c r="L81" s="89"/>
      <c r="M81" s="89"/>
      <c r="N81" s="89"/>
      <c r="O81" s="380"/>
    </row>
    <row r="82" spans="1:15" ht="12.75" customHeight="1">
      <c r="A82" s="347"/>
      <c r="B82" s="1024" t="s">
        <v>310</v>
      </c>
      <c r="C82" s="977"/>
      <c r="D82" s="1007"/>
      <c r="E82" s="374"/>
      <c r="F82" s="374"/>
      <c r="G82" s="374"/>
      <c r="H82" s="374"/>
      <c r="I82" s="374"/>
      <c r="J82" s="408"/>
      <c r="K82" s="408"/>
      <c r="L82" s="408"/>
      <c r="M82" s="408"/>
      <c r="N82" s="408"/>
      <c r="O82" s="380"/>
    </row>
    <row r="83" spans="1:15" ht="15.75" customHeight="1">
      <c r="A83" s="347"/>
      <c r="B83" s="1022" t="str">
        <f>C11</f>
        <v xml:space="preserve"> S E R V I Ç O S     -   REFEITORIO_×_JARDINAGEM</v>
      </c>
      <c r="C83" s="1023"/>
      <c r="D83" s="1023"/>
      <c r="E83" s="375"/>
      <c r="F83" s="375"/>
      <c r="G83" s="375"/>
      <c r="H83" s="375"/>
      <c r="I83" s="375"/>
      <c r="J83" s="89"/>
      <c r="K83" s="89"/>
      <c r="L83" s="89"/>
      <c r="M83" s="89"/>
      <c r="N83" s="89"/>
      <c r="O83" s="380"/>
    </row>
    <row r="84" spans="1:15" ht="24" customHeight="1">
      <c r="A84" s="347"/>
      <c r="B84" s="347"/>
      <c r="C84" s="409" t="str">
        <f t="shared" ref="C84:N84" si="11">C56</f>
        <v>5132-05_COZINHEIRO_prepost_hs</v>
      </c>
      <c r="D84" s="409" t="str">
        <f t="shared" si="11"/>
        <v>5132-05_COZINHEIRO_geral_hs</v>
      </c>
      <c r="E84" s="409" t="str">
        <f t="shared" si="11"/>
        <v>5135-05_AUX.COZINHA_hs</v>
      </c>
      <c r="F84" s="409" t="str">
        <f t="shared" si="11"/>
        <v>6220-10_JARDINEIRO_hs</v>
      </c>
      <c r="G84" s="410" t="str">
        <f t="shared" si="11"/>
        <v>A NÃO TEM MAIS POSTOS-22</v>
      </c>
      <c r="H84" s="410" t="str">
        <f t="shared" si="11"/>
        <v>A NÃO TEM MAIS POSTOS-33</v>
      </c>
      <c r="I84" s="410" t="str">
        <f t="shared" si="11"/>
        <v>A NÃO TEM MAIS POSTOS-44</v>
      </c>
      <c r="J84" s="411" t="str">
        <f t="shared" si="11"/>
        <v>A NÃO TEM MAIS POSTOS-55</v>
      </c>
      <c r="K84" s="411" t="str">
        <f t="shared" si="11"/>
        <v>A NÃO TEM MAIS POSTOS-66</v>
      </c>
      <c r="L84" s="411" t="str">
        <f t="shared" si="11"/>
        <v>A NÃO TEM MAIS POSTOS-77</v>
      </c>
      <c r="M84" s="411" t="str">
        <f t="shared" si="11"/>
        <v>A NÃO TEM MAIS POSTOS-88</v>
      </c>
      <c r="N84" s="411" t="str">
        <f t="shared" si="11"/>
        <v>A NÃO TEM MAIS POSTOS-99</v>
      </c>
      <c r="O84" s="380"/>
    </row>
    <row r="85" spans="1:15" ht="15" customHeight="1">
      <c r="A85" s="347"/>
      <c r="B85" s="372" t="s">
        <v>311</v>
      </c>
      <c r="C85" s="465">
        <v>0.06</v>
      </c>
      <c r="D85" s="465">
        <v>0.06</v>
      </c>
      <c r="E85" s="465">
        <v>0.06</v>
      </c>
      <c r="F85" s="465">
        <v>0.06</v>
      </c>
      <c r="G85" s="466">
        <v>0.06</v>
      </c>
      <c r="H85" s="466">
        <v>0.06</v>
      </c>
      <c r="I85" s="466">
        <v>0.06</v>
      </c>
      <c r="J85" s="393">
        <v>0.06</v>
      </c>
      <c r="K85" s="393">
        <v>0.06</v>
      </c>
      <c r="L85" s="393">
        <v>0.06</v>
      </c>
      <c r="M85" s="393">
        <v>0.06</v>
      </c>
      <c r="N85" s="393">
        <v>0.06</v>
      </c>
      <c r="O85" s="380"/>
    </row>
    <row r="86" spans="1:15" ht="15" customHeight="1">
      <c r="A86" s="347"/>
      <c r="B86" s="372" t="s">
        <v>312</v>
      </c>
      <c r="C86" s="467">
        <v>0.06</v>
      </c>
      <c r="D86" s="467">
        <v>0.06</v>
      </c>
      <c r="E86" s="467">
        <v>0.06</v>
      </c>
      <c r="F86" s="467">
        <v>0.06</v>
      </c>
      <c r="G86" s="468">
        <v>0.06</v>
      </c>
      <c r="H86" s="468">
        <v>0.06</v>
      </c>
      <c r="I86" s="468">
        <v>0.06</v>
      </c>
      <c r="J86" s="393">
        <v>0.06</v>
      </c>
      <c r="K86" s="393">
        <v>0.06</v>
      </c>
      <c r="L86" s="393">
        <v>0.06</v>
      </c>
      <c r="M86" s="393">
        <v>0.06</v>
      </c>
      <c r="N86" s="393">
        <v>0.06</v>
      </c>
      <c r="O86" s="380"/>
    </row>
    <row r="87" spans="1:15" ht="15" customHeight="1">
      <c r="A87" s="347"/>
      <c r="B87" s="372" t="s">
        <v>313</v>
      </c>
      <c r="C87" s="469">
        <f>VLOOKUP(C14,CAMPUS.CONTRATANTE!$D$10:$BE$21,3,0)/100</f>
        <v>0.04</v>
      </c>
      <c r="D87" s="469">
        <f t="shared" ref="D87:N87" si="12">C87</f>
        <v>0.04</v>
      </c>
      <c r="E87" s="469">
        <f t="shared" si="12"/>
        <v>0.04</v>
      </c>
      <c r="F87" s="469">
        <f t="shared" si="12"/>
        <v>0.04</v>
      </c>
      <c r="G87" s="470">
        <f t="shared" si="12"/>
        <v>0.04</v>
      </c>
      <c r="H87" s="470">
        <f t="shared" si="12"/>
        <v>0.04</v>
      </c>
      <c r="I87" s="470">
        <f t="shared" si="12"/>
        <v>0.04</v>
      </c>
      <c r="J87" s="393">
        <f t="shared" si="12"/>
        <v>0.04</v>
      </c>
      <c r="K87" s="393">
        <f t="shared" si="12"/>
        <v>0.04</v>
      </c>
      <c r="L87" s="393">
        <f t="shared" si="12"/>
        <v>0.04</v>
      </c>
      <c r="M87" s="393">
        <f t="shared" si="12"/>
        <v>0.04</v>
      </c>
      <c r="N87" s="393">
        <f t="shared" si="12"/>
        <v>0.04</v>
      </c>
      <c r="O87" s="380"/>
    </row>
    <row r="88" spans="1:15" ht="12.75" customHeight="1">
      <c r="A88" s="347"/>
      <c r="B88" s="372"/>
      <c r="C88" s="347"/>
      <c r="D88" s="347"/>
      <c r="E88" s="347"/>
      <c r="F88" s="347"/>
      <c r="G88" s="471"/>
      <c r="H88" s="471"/>
      <c r="I88" s="471"/>
      <c r="J88" s="408"/>
      <c r="K88" s="408"/>
      <c r="L88" s="408"/>
      <c r="M88" s="408"/>
      <c r="N88" s="408"/>
      <c r="O88" s="380"/>
    </row>
    <row r="89" spans="1:15" ht="12.75" customHeight="1">
      <c r="A89" s="347"/>
      <c r="B89" s="1024" t="s">
        <v>314</v>
      </c>
      <c r="C89" s="977"/>
      <c r="D89" s="1007"/>
      <c r="E89" s="374"/>
      <c r="F89" s="374"/>
      <c r="G89" s="374"/>
      <c r="H89" s="374"/>
      <c r="I89" s="374"/>
      <c r="J89" s="472"/>
      <c r="K89" s="472"/>
      <c r="L89" s="472"/>
      <c r="M89" s="472"/>
      <c r="N89" s="472"/>
      <c r="O89" s="380"/>
    </row>
    <row r="90" spans="1:15" ht="12.75" customHeight="1">
      <c r="A90" s="347"/>
      <c r="B90" s="347"/>
      <c r="C90" s="347"/>
      <c r="D90" s="347"/>
      <c r="E90" s="347"/>
      <c r="F90" s="347"/>
      <c r="G90" s="347"/>
      <c r="H90" s="347"/>
      <c r="I90" s="347"/>
      <c r="J90" s="408"/>
      <c r="K90" s="408"/>
      <c r="L90" s="408"/>
      <c r="M90" s="408"/>
      <c r="N90" s="408"/>
      <c r="O90" s="380"/>
    </row>
    <row r="91" spans="1:15" ht="24" customHeight="1">
      <c r="A91" s="347"/>
      <c r="B91" s="347"/>
      <c r="C91" s="409" t="str">
        <f t="shared" ref="C91:N91" si="13">C84</f>
        <v>5132-05_COZINHEIRO_prepost_hs</v>
      </c>
      <c r="D91" s="409" t="str">
        <f t="shared" si="13"/>
        <v>5132-05_COZINHEIRO_geral_hs</v>
      </c>
      <c r="E91" s="409" t="str">
        <f t="shared" si="13"/>
        <v>5135-05_AUX.COZINHA_hs</v>
      </c>
      <c r="F91" s="409" t="str">
        <f t="shared" si="13"/>
        <v>6220-10_JARDINEIRO_hs</v>
      </c>
      <c r="G91" s="410" t="str">
        <f t="shared" si="13"/>
        <v>A NÃO TEM MAIS POSTOS-22</v>
      </c>
      <c r="H91" s="410" t="str">
        <f t="shared" si="13"/>
        <v>A NÃO TEM MAIS POSTOS-33</v>
      </c>
      <c r="I91" s="410" t="str">
        <f t="shared" si="13"/>
        <v>A NÃO TEM MAIS POSTOS-44</v>
      </c>
      <c r="J91" s="411" t="str">
        <f t="shared" si="13"/>
        <v>A NÃO TEM MAIS POSTOS-55</v>
      </c>
      <c r="K91" s="411" t="str">
        <f t="shared" si="13"/>
        <v>A NÃO TEM MAIS POSTOS-66</v>
      </c>
      <c r="L91" s="411" t="str">
        <f t="shared" si="13"/>
        <v>A NÃO TEM MAIS POSTOS-77</v>
      </c>
      <c r="M91" s="411" t="str">
        <f t="shared" si="13"/>
        <v>A NÃO TEM MAIS POSTOS-88</v>
      </c>
      <c r="N91" s="411" t="str">
        <f t="shared" si="13"/>
        <v>A NÃO TEM MAIS POSTOS-99</v>
      </c>
      <c r="O91" s="380"/>
    </row>
    <row r="92" spans="1:15" ht="19.5" customHeight="1">
      <c r="A92" s="347"/>
      <c r="B92" s="372" t="s">
        <v>315</v>
      </c>
      <c r="C92" s="473">
        <f>VLOOKUP(C14,CAMPUS.CONTRATANTE!$D$10:$HC$21,4,0)</f>
        <v>1</v>
      </c>
      <c r="D92" s="473">
        <f>VLOOKUP(C14,CAMPUS.CONTRATANTE!$D$10:$HC$21,21,0)</f>
        <v>3</v>
      </c>
      <c r="E92" s="473">
        <f>VLOOKUP(C14,CAMPUS.CONTRATANTE!$D$10:$HC$21,38,0)</f>
        <v>8</v>
      </c>
      <c r="F92" s="473">
        <f>VLOOKUP(C14,CAMPUS.CONTRATANTE!$D$10:$HC$21,55,0)</f>
        <v>0</v>
      </c>
      <c r="G92" s="474">
        <f>VLOOKUP(C14,CAMPUS.CONTRATANTE!$D$10:$HC$21,72,0)</f>
        <v>0</v>
      </c>
      <c r="H92" s="474">
        <f>VLOOKUP(C14,CAMPUS.CONTRATANTE!$D$10:$HC$21,89,0)</f>
        <v>0</v>
      </c>
      <c r="I92" s="474">
        <f>VLOOKUP(C14,CAMPUS.CONTRATANTE!$D$10:$HC$21,106,0)</f>
        <v>0</v>
      </c>
      <c r="J92" s="475">
        <f>VLOOKUP(C14,CAMPUS.CONTRATANTE!$D$10:$HC$21,123,0)</f>
        <v>0</v>
      </c>
      <c r="K92" s="475">
        <f>VLOOKUP(C14,CAMPUS.CONTRATANTE!$D$10:$HC$21,140,0)</f>
        <v>0</v>
      </c>
      <c r="L92" s="475">
        <f>VLOOKUP(C14,CAMPUS.CONTRATANTE!$D$10:$HC$21,157,0)</f>
        <v>0</v>
      </c>
      <c r="M92" s="475">
        <f>VLOOKUP(C14,CAMPUS.CONTRATANTE!$D$10:$HC$21,174,0)</f>
        <v>0</v>
      </c>
      <c r="N92" s="475">
        <f>VLOOKUP(C14,CAMPUS.CONTRATANTE!$D$10:$HC$21,191,0)</f>
        <v>0</v>
      </c>
      <c r="O92" s="380"/>
    </row>
    <row r="93" spans="1:15" ht="16.5" customHeight="1">
      <c r="A93" s="347"/>
      <c r="B93" s="372" t="s">
        <v>316</v>
      </c>
      <c r="C93" s="476">
        <v>1</v>
      </c>
      <c r="D93" s="476">
        <v>1</v>
      </c>
      <c r="E93" s="476">
        <v>1</v>
      </c>
      <c r="F93" s="477">
        <v>1</v>
      </c>
      <c r="G93" s="478">
        <v>1</v>
      </c>
      <c r="H93" s="478">
        <v>1</v>
      </c>
      <c r="I93" s="478">
        <v>1</v>
      </c>
      <c r="J93" s="479">
        <v>1</v>
      </c>
      <c r="K93" s="479">
        <v>1</v>
      </c>
      <c r="L93" s="479">
        <v>1</v>
      </c>
      <c r="M93" s="479">
        <v>1</v>
      </c>
      <c r="N93" s="479">
        <v>1</v>
      </c>
      <c r="O93" s="380"/>
    </row>
    <row r="94" spans="1:15" ht="16.5" customHeight="1">
      <c r="A94" s="347"/>
      <c r="B94" s="480" t="s">
        <v>317</v>
      </c>
      <c r="C94" s="481">
        <v>30</v>
      </c>
      <c r="D94" s="481">
        <v>30</v>
      </c>
      <c r="E94" s="481">
        <v>30</v>
      </c>
      <c r="F94" s="481">
        <v>30</v>
      </c>
      <c r="G94" s="478">
        <v>30</v>
      </c>
      <c r="H94" s="478">
        <v>30</v>
      </c>
      <c r="I94" s="478">
        <v>30</v>
      </c>
      <c r="J94" s="479">
        <f t="shared" ref="J94:N94" si="14">I94</f>
        <v>30</v>
      </c>
      <c r="K94" s="479">
        <f t="shared" si="14"/>
        <v>30</v>
      </c>
      <c r="L94" s="479">
        <f t="shared" si="14"/>
        <v>30</v>
      </c>
      <c r="M94" s="479">
        <f t="shared" si="14"/>
        <v>30</v>
      </c>
      <c r="N94" s="479">
        <f t="shared" si="14"/>
        <v>30</v>
      </c>
      <c r="O94" s="380"/>
    </row>
    <row r="95" spans="1:15" ht="12.75" customHeight="1">
      <c r="A95" s="347"/>
      <c r="B95" s="347"/>
      <c r="C95" s="347"/>
      <c r="D95" s="347"/>
      <c r="E95" s="347"/>
      <c r="F95" s="380"/>
      <c r="G95" s="380"/>
      <c r="H95" s="380"/>
      <c r="I95" s="380"/>
      <c r="J95" s="380"/>
      <c r="K95" s="380"/>
      <c r="L95" s="380"/>
      <c r="M95" s="380"/>
      <c r="N95" s="380"/>
      <c r="O95" s="380"/>
    </row>
    <row r="96" spans="1:15" ht="12.75" customHeight="1">
      <c r="A96" s="347"/>
      <c r="B96" s="347"/>
      <c r="C96" s="347"/>
      <c r="D96" s="347"/>
      <c r="E96" s="347"/>
      <c r="F96" s="380"/>
      <c r="G96" s="380"/>
      <c r="H96" s="380"/>
      <c r="I96" s="380"/>
      <c r="J96" s="380"/>
      <c r="K96" s="380"/>
      <c r="L96" s="380"/>
      <c r="M96" s="380"/>
      <c r="N96" s="380"/>
      <c r="O96" s="380"/>
    </row>
    <row r="97" spans="1:15" ht="12.75" customHeight="1">
      <c r="A97" s="347"/>
      <c r="B97" s="347"/>
      <c r="C97" s="347"/>
      <c r="D97" s="347"/>
      <c r="E97" s="347"/>
      <c r="F97" s="380"/>
      <c r="G97" s="380"/>
      <c r="H97" s="380"/>
      <c r="I97" s="380"/>
      <c r="J97" s="380"/>
      <c r="K97" s="380"/>
      <c r="L97" s="380"/>
      <c r="M97" s="380"/>
      <c r="N97" s="380"/>
      <c r="O97" s="380"/>
    </row>
    <row r="98" spans="1:15" ht="12.75" customHeight="1">
      <c r="A98" s="347"/>
      <c r="B98" s="347"/>
      <c r="C98" s="347"/>
      <c r="D98" s="347"/>
      <c r="E98" s="347"/>
      <c r="F98" s="380"/>
      <c r="G98" s="380"/>
      <c r="H98" s="380"/>
      <c r="I98" s="380"/>
      <c r="J98" s="380"/>
      <c r="K98" s="380"/>
      <c r="L98" s="380"/>
      <c r="M98" s="380"/>
      <c r="N98" s="380"/>
      <c r="O98" s="380"/>
    </row>
    <row r="99" spans="1:15" ht="12.75" customHeight="1">
      <c r="A99" s="347"/>
      <c r="B99" s="347"/>
      <c r="C99" s="347"/>
      <c r="D99" s="347"/>
      <c r="E99" s="347"/>
      <c r="F99" s="380"/>
      <c r="G99" s="380"/>
      <c r="H99" s="380"/>
      <c r="I99" s="380"/>
      <c r="J99" s="380"/>
      <c r="K99" s="380"/>
      <c r="L99" s="380"/>
      <c r="M99" s="380"/>
      <c r="N99" s="380"/>
      <c r="O99" s="380"/>
    </row>
    <row r="100" spans="1:15" ht="12.75" customHeight="1">
      <c r="A100" s="347"/>
      <c r="B100" s="347"/>
      <c r="C100" s="347"/>
      <c r="D100" s="347"/>
      <c r="E100" s="347"/>
      <c r="F100" s="380"/>
      <c r="G100" s="380"/>
      <c r="H100" s="380"/>
      <c r="I100" s="380"/>
      <c r="J100" s="380"/>
      <c r="K100" s="380"/>
      <c r="L100" s="380"/>
      <c r="M100" s="380"/>
      <c r="N100" s="380"/>
      <c r="O100" s="380"/>
    </row>
    <row r="101" spans="1:15" ht="12.75" customHeight="1">
      <c r="A101" s="347"/>
      <c r="B101" s="347"/>
      <c r="C101" s="347"/>
      <c r="D101" s="347"/>
      <c r="E101" s="347"/>
      <c r="F101" s="380"/>
      <c r="G101" s="380"/>
      <c r="H101" s="380"/>
      <c r="I101" s="380"/>
      <c r="J101" s="380"/>
      <c r="K101" s="380"/>
      <c r="L101" s="380"/>
      <c r="M101" s="380"/>
      <c r="N101" s="380"/>
      <c r="O101" s="380"/>
    </row>
    <row r="102" spans="1:15" ht="12.75" customHeight="1">
      <c r="A102" s="347"/>
      <c r="B102" s="347"/>
      <c r="C102" s="347"/>
      <c r="D102" s="347"/>
      <c r="E102" s="347"/>
      <c r="F102" s="380"/>
      <c r="G102" s="380"/>
      <c r="H102" s="380"/>
      <c r="I102" s="380"/>
      <c r="J102" s="380"/>
      <c r="K102" s="380"/>
      <c r="L102" s="380"/>
      <c r="M102" s="380"/>
      <c r="N102" s="380"/>
      <c r="O102" s="380"/>
    </row>
    <row r="103" spans="1:15" ht="12.75" customHeight="1">
      <c r="A103" s="347"/>
      <c r="B103" s="347"/>
      <c r="C103" s="347"/>
      <c r="D103" s="347"/>
      <c r="E103" s="347"/>
      <c r="F103" s="380"/>
      <c r="G103" s="380"/>
      <c r="H103" s="380"/>
      <c r="I103" s="380"/>
      <c r="J103" s="380"/>
      <c r="K103" s="380"/>
      <c r="L103" s="380"/>
      <c r="M103" s="380"/>
      <c r="N103" s="380"/>
      <c r="O103" s="380"/>
    </row>
    <row r="104" spans="1:15" ht="12.75" customHeight="1">
      <c r="A104" s="347"/>
      <c r="B104" s="347"/>
      <c r="C104" s="347"/>
      <c r="D104" s="347"/>
      <c r="E104" s="347"/>
      <c r="F104" s="380"/>
      <c r="G104" s="380"/>
      <c r="H104" s="380"/>
      <c r="I104" s="380"/>
      <c r="J104" s="380"/>
      <c r="K104" s="380"/>
      <c r="L104" s="380"/>
      <c r="M104" s="380"/>
      <c r="N104" s="380"/>
      <c r="O104" s="380"/>
    </row>
    <row r="105" spans="1:15" ht="12.75" customHeight="1">
      <c r="A105" s="347"/>
      <c r="B105" s="347"/>
      <c r="C105" s="347"/>
      <c r="D105" s="347"/>
      <c r="E105" s="347"/>
      <c r="F105" s="380"/>
      <c r="G105" s="380"/>
      <c r="H105" s="380"/>
      <c r="I105" s="380"/>
      <c r="J105" s="380"/>
      <c r="K105" s="380"/>
      <c r="L105" s="380"/>
      <c r="M105" s="380"/>
      <c r="N105" s="380"/>
      <c r="O105" s="380"/>
    </row>
    <row r="106" spans="1:15" ht="12.75" customHeight="1">
      <c r="A106" s="347"/>
      <c r="B106" s="347"/>
      <c r="C106" s="347"/>
      <c r="D106" s="347"/>
      <c r="E106" s="347"/>
      <c r="F106" s="380"/>
      <c r="G106" s="380"/>
      <c r="H106" s="380"/>
      <c r="I106" s="380"/>
      <c r="J106" s="380"/>
      <c r="K106" s="380"/>
      <c r="L106" s="380"/>
      <c r="M106" s="380"/>
      <c r="N106" s="380"/>
      <c r="O106" s="380"/>
    </row>
    <row r="107" spans="1:15" ht="12.75" customHeight="1">
      <c r="A107" s="347"/>
      <c r="B107" s="347"/>
      <c r="C107" s="347"/>
      <c r="D107" s="347"/>
      <c r="E107" s="347"/>
      <c r="F107" s="380"/>
      <c r="G107" s="380"/>
      <c r="H107" s="380"/>
      <c r="I107" s="380"/>
      <c r="J107" s="380"/>
      <c r="K107" s="380"/>
      <c r="L107" s="380"/>
      <c r="M107" s="380"/>
      <c r="N107" s="380"/>
      <c r="O107" s="380"/>
    </row>
    <row r="108" spans="1:15" ht="12.75" customHeight="1">
      <c r="A108" s="347"/>
      <c r="B108" s="347"/>
      <c r="C108" s="347"/>
      <c r="D108" s="347"/>
      <c r="E108" s="347"/>
      <c r="F108" s="380"/>
      <c r="G108" s="380"/>
      <c r="H108" s="380"/>
      <c r="I108" s="380"/>
      <c r="J108" s="380"/>
      <c r="K108" s="380"/>
      <c r="L108" s="380"/>
      <c r="M108" s="380"/>
      <c r="N108" s="380"/>
      <c r="O108" s="380"/>
    </row>
    <row r="109" spans="1:15" ht="12.75" customHeight="1">
      <c r="A109" s="347"/>
      <c r="B109" s="347"/>
      <c r="C109" s="347"/>
      <c r="D109" s="347"/>
      <c r="E109" s="347"/>
      <c r="F109" s="380"/>
      <c r="G109" s="380"/>
      <c r="H109" s="380"/>
      <c r="I109" s="380"/>
      <c r="J109" s="380"/>
      <c r="K109" s="380"/>
      <c r="L109" s="380"/>
      <c r="M109" s="380"/>
      <c r="N109" s="380"/>
      <c r="O109" s="380"/>
    </row>
    <row r="110" spans="1:15" ht="12.75" customHeight="1">
      <c r="A110" s="347"/>
      <c r="B110" s="347"/>
      <c r="C110" s="347"/>
      <c r="D110" s="347"/>
      <c r="E110" s="347"/>
      <c r="F110" s="380"/>
      <c r="G110" s="380"/>
      <c r="H110" s="380"/>
      <c r="I110" s="380"/>
      <c r="J110" s="380"/>
      <c r="K110" s="380"/>
      <c r="L110" s="380"/>
      <c r="M110" s="380"/>
      <c r="N110" s="380"/>
      <c r="O110" s="380"/>
    </row>
    <row r="111" spans="1:15" ht="12.75" customHeight="1">
      <c r="A111" s="347"/>
      <c r="B111" s="347"/>
      <c r="C111" s="347"/>
      <c r="D111" s="347"/>
      <c r="E111" s="347"/>
      <c r="F111" s="380"/>
      <c r="G111" s="380"/>
      <c r="H111" s="380"/>
      <c r="I111" s="380"/>
      <c r="J111" s="380"/>
      <c r="K111" s="380"/>
      <c r="L111" s="380"/>
      <c r="M111" s="380"/>
      <c r="N111" s="380"/>
      <c r="O111" s="380"/>
    </row>
    <row r="112" spans="1:15" ht="12.75" customHeight="1">
      <c r="A112" s="347"/>
      <c r="B112" s="347"/>
      <c r="C112" s="347"/>
      <c r="D112" s="347"/>
      <c r="E112" s="347"/>
      <c r="F112" s="380"/>
      <c r="G112" s="380"/>
      <c r="H112" s="380"/>
      <c r="I112" s="380"/>
      <c r="J112" s="380"/>
      <c r="K112" s="380"/>
      <c r="L112" s="380"/>
      <c r="M112" s="380"/>
      <c r="N112" s="380"/>
      <c r="O112" s="380"/>
    </row>
    <row r="113" spans="1:15" ht="12.75" customHeight="1">
      <c r="A113" s="347"/>
      <c r="B113" s="347"/>
      <c r="C113" s="347"/>
      <c r="D113" s="347"/>
      <c r="E113" s="347"/>
      <c r="F113" s="380"/>
      <c r="G113" s="380"/>
      <c r="H113" s="380"/>
      <c r="I113" s="380"/>
      <c r="J113" s="380"/>
      <c r="K113" s="380"/>
      <c r="L113" s="380"/>
      <c r="M113" s="380"/>
      <c r="N113" s="380"/>
      <c r="O113" s="380"/>
    </row>
    <row r="114" spans="1:15" ht="12.75" customHeight="1">
      <c r="A114" s="347"/>
      <c r="B114" s="347"/>
      <c r="C114" s="347"/>
      <c r="D114" s="347"/>
      <c r="E114" s="347"/>
      <c r="F114" s="380"/>
      <c r="G114" s="380"/>
      <c r="H114" s="380"/>
      <c r="I114" s="380"/>
      <c r="J114" s="380"/>
      <c r="K114" s="380"/>
      <c r="L114" s="380"/>
      <c r="M114" s="380"/>
      <c r="N114" s="380"/>
      <c r="O114" s="380"/>
    </row>
    <row r="115" spans="1:15" ht="12.75" customHeight="1">
      <c r="A115" s="347"/>
      <c r="B115" s="347"/>
      <c r="C115" s="347"/>
      <c r="D115" s="347"/>
      <c r="E115" s="347"/>
      <c r="F115" s="380"/>
      <c r="G115" s="380"/>
      <c r="H115" s="380"/>
      <c r="I115" s="380"/>
      <c r="J115" s="380"/>
      <c r="K115" s="380"/>
      <c r="L115" s="380"/>
      <c r="M115" s="380"/>
      <c r="N115" s="380"/>
      <c r="O115" s="380"/>
    </row>
    <row r="116" spans="1:15" ht="12.75" customHeight="1">
      <c r="A116" s="347"/>
      <c r="B116" s="347"/>
      <c r="C116" s="347"/>
      <c r="D116" s="347"/>
      <c r="E116" s="347"/>
      <c r="F116" s="380"/>
      <c r="G116" s="380"/>
      <c r="H116" s="380"/>
      <c r="I116" s="380"/>
      <c r="J116" s="380"/>
      <c r="K116" s="380"/>
      <c r="L116" s="380"/>
      <c r="M116" s="380"/>
      <c r="N116" s="380"/>
      <c r="O116" s="380"/>
    </row>
    <row r="117" spans="1:15" ht="12.75" customHeight="1">
      <c r="A117" s="347"/>
      <c r="B117" s="347"/>
      <c r="C117" s="347"/>
      <c r="D117" s="347"/>
      <c r="E117" s="347"/>
      <c r="F117" s="380"/>
      <c r="G117" s="380"/>
      <c r="H117" s="380"/>
      <c r="I117" s="380"/>
      <c r="J117" s="380"/>
      <c r="K117" s="380"/>
      <c r="L117" s="380"/>
      <c r="M117" s="380"/>
      <c r="N117" s="380"/>
      <c r="O117" s="380"/>
    </row>
    <row r="118" spans="1:15" ht="12.75" customHeight="1">
      <c r="A118" s="347"/>
      <c r="B118" s="347"/>
      <c r="C118" s="347"/>
      <c r="D118" s="347"/>
      <c r="E118" s="347"/>
      <c r="F118" s="380"/>
      <c r="G118" s="380"/>
      <c r="H118" s="380"/>
      <c r="I118" s="380"/>
      <c r="J118" s="380"/>
      <c r="K118" s="380"/>
      <c r="L118" s="380"/>
      <c r="M118" s="380"/>
      <c r="N118" s="380"/>
      <c r="O118" s="380"/>
    </row>
    <row r="119" spans="1:15" ht="12.75" customHeight="1">
      <c r="A119" s="347"/>
      <c r="B119" s="347"/>
      <c r="C119" s="347"/>
      <c r="D119" s="347"/>
      <c r="E119" s="347"/>
      <c r="F119" s="380"/>
      <c r="G119" s="380"/>
      <c r="H119" s="380"/>
      <c r="I119" s="380"/>
      <c r="J119" s="380"/>
      <c r="K119" s="380"/>
      <c r="L119" s="380"/>
      <c r="M119" s="380"/>
      <c r="N119" s="380"/>
      <c r="O119" s="380"/>
    </row>
    <row r="120" spans="1:15" ht="12.75" customHeight="1">
      <c r="A120" s="347"/>
      <c r="B120" s="347"/>
      <c r="C120" s="347"/>
      <c r="D120" s="347"/>
      <c r="E120" s="347"/>
      <c r="F120" s="380"/>
      <c r="G120" s="380"/>
      <c r="H120" s="380"/>
      <c r="I120" s="380"/>
      <c r="J120" s="380"/>
      <c r="K120" s="380"/>
      <c r="L120" s="380"/>
      <c r="M120" s="380"/>
      <c r="N120" s="380"/>
      <c r="O120" s="380"/>
    </row>
    <row r="121" spans="1:15" ht="12.75" customHeight="1">
      <c r="A121" s="347"/>
      <c r="B121" s="347"/>
      <c r="C121" s="347"/>
      <c r="D121" s="347"/>
      <c r="E121" s="347"/>
      <c r="F121" s="380"/>
      <c r="G121" s="380"/>
      <c r="H121" s="380"/>
      <c r="I121" s="380"/>
      <c r="J121" s="380"/>
      <c r="K121" s="380"/>
      <c r="L121" s="380"/>
      <c r="M121" s="380"/>
      <c r="N121" s="380"/>
      <c r="O121" s="380"/>
    </row>
    <row r="122" spans="1:15" ht="12.75" customHeight="1">
      <c r="A122" s="347"/>
      <c r="B122" s="347"/>
      <c r="C122" s="347"/>
      <c r="D122" s="347"/>
      <c r="E122" s="347"/>
      <c r="F122" s="380"/>
      <c r="G122" s="380"/>
      <c r="H122" s="380"/>
      <c r="I122" s="380"/>
      <c r="J122" s="380"/>
      <c r="K122" s="380"/>
      <c r="L122" s="380"/>
      <c r="M122" s="380"/>
      <c r="N122" s="380"/>
      <c r="O122" s="380"/>
    </row>
    <row r="123" spans="1:15" ht="12.75" customHeight="1">
      <c r="A123" s="347"/>
      <c r="B123" s="347"/>
      <c r="C123" s="347"/>
      <c r="D123" s="347"/>
      <c r="E123" s="347"/>
      <c r="F123" s="380"/>
      <c r="G123" s="380"/>
      <c r="H123" s="380"/>
      <c r="I123" s="380"/>
      <c r="J123" s="380"/>
      <c r="K123" s="380"/>
      <c r="L123" s="380"/>
      <c r="M123" s="380"/>
      <c r="N123" s="380"/>
      <c r="O123" s="380"/>
    </row>
    <row r="124" spans="1:15" ht="12.75" customHeight="1">
      <c r="A124" s="347"/>
      <c r="B124" s="347"/>
      <c r="C124" s="347"/>
      <c r="D124" s="347"/>
      <c r="E124" s="347"/>
      <c r="F124" s="380"/>
      <c r="G124" s="380"/>
      <c r="H124" s="380"/>
      <c r="I124" s="380"/>
      <c r="J124" s="380"/>
      <c r="K124" s="380"/>
      <c r="L124" s="380"/>
      <c r="M124" s="380"/>
      <c r="N124" s="380"/>
      <c r="O124" s="380"/>
    </row>
    <row r="125" spans="1:15" ht="12.75" customHeight="1">
      <c r="A125" s="347"/>
      <c r="B125" s="347"/>
      <c r="C125" s="347"/>
      <c r="D125" s="347"/>
      <c r="E125" s="347"/>
      <c r="F125" s="380"/>
      <c r="G125" s="380"/>
      <c r="H125" s="380"/>
      <c r="I125" s="380"/>
      <c r="J125" s="380"/>
      <c r="K125" s="380"/>
      <c r="L125" s="380"/>
      <c r="M125" s="380"/>
      <c r="N125" s="380"/>
      <c r="O125" s="380"/>
    </row>
    <row r="126" spans="1:15" ht="12.75" customHeight="1">
      <c r="A126" s="347"/>
      <c r="B126" s="347"/>
      <c r="C126" s="347"/>
      <c r="D126" s="347"/>
      <c r="E126" s="347"/>
      <c r="F126" s="380"/>
      <c r="G126" s="380"/>
      <c r="H126" s="380"/>
      <c r="I126" s="380"/>
      <c r="J126" s="380"/>
      <c r="K126" s="380"/>
      <c r="L126" s="380"/>
      <c r="M126" s="380"/>
      <c r="N126" s="380"/>
      <c r="O126" s="380"/>
    </row>
    <row r="127" spans="1:15" ht="12.75" customHeight="1">
      <c r="A127" s="347"/>
      <c r="B127" s="347"/>
      <c r="C127" s="347"/>
      <c r="D127" s="347"/>
      <c r="E127" s="347"/>
      <c r="F127" s="380"/>
      <c r="G127" s="380"/>
      <c r="H127" s="380"/>
      <c r="I127" s="380"/>
      <c r="J127" s="380"/>
      <c r="K127" s="380"/>
      <c r="L127" s="380"/>
      <c r="M127" s="380"/>
      <c r="N127" s="380"/>
      <c r="O127" s="380"/>
    </row>
    <row r="128" spans="1:15" ht="12.75" customHeight="1">
      <c r="A128" s="347"/>
      <c r="B128" s="347"/>
      <c r="C128" s="347"/>
      <c r="D128" s="347"/>
      <c r="E128" s="347"/>
      <c r="F128" s="380"/>
      <c r="G128" s="380"/>
      <c r="H128" s="380"/>
      <c r="I128" s="380"/>
      <c r="J128" s="380"/>
      <c r="K128" s="380"/>
      <c r="L128" s="380"/>
      <c r="M128" s="380"/>
      <c r="N128" s="380"/>
      <c r="O128" s="380"/>
    </row>
    <row r="129" spans="1:15" ht="12.75" customHeight="1">
      <c r="A129" s="347"/>
      <c r="B129" s="347"/>
      <c r="C129" s="347"/>
      <c r="D129" s="347"/>
      <c r="E129" s="347"/>
      <c r="F129" s="380"/>
      <c r="G129" s="380"/>
      <c r="H129" s="380"/>
      <c r="I129" s="380"/>
      <c r="J129" s="380"/>
      <c r="K129" s="380"/>
      <c r="L129" s="380"/>
      <c r="M129" s="380"/>
      <c r="N129" s="380"/>
      <c r="O129" s="380"/>
    </row>
    <row r="130" spans="1:15" ht="12.75" customHeight="1">
      <c r="A130" s="347"/>
      <c r="B130" s="347"/>
      <c r="C130" s="347"/>
      <c r="D130" s="347"/>
      <c r="E130" s="347"/>
      <c r="F130" s="380"/>
      <c r="G130" s="380"/>
      <c r="H130" s="380"/>
      <c r="I130" s="380"/>
      <c r="J130" s="380"/>
      <c r="K130" s="380"/>
      <c r="L130" s="380"/>
      <c r="M130" s="380"/>
      <c r="N130" s="380"/>
      <c r="O130" s="380"/>
    </row>
    <row r="131" spans="1:15" ht="12.75" customHeight="1">
      <c r="A131" s="347"/>
      <c r="B131" s="347"/>
      <c r="C131" s="347"/>
      <c r="D131" s="347"/>
      <c r="E131" s="347"/>
      <c r="F131" s="380"/>
      <c r="G131" s="380"/>
      <c r="H131" s="380"/>
      <c r="I131" s="380"/>
      <c r="J131" s="380"/>
      <c r="K131" s="380"/>
      <c r="L131" s="380"/>
      <c r="M131" s="380"/>
      <c r="N131" s="380"/>
      <c r="O131" s="380"/>
    </row>
    <row r="132" spans="1:15" ht="12.75" customHeight="1">
      <c r="A132" s="347"/>
      <c r="B132" s="347"/>
      <c r="C132" s="347"/>
      <c r="D132" s="347"/>
      <c r="E132" s="347"/>
      <c r="F132" s="380"/>
      <c r="G132" s="380"/>
      <c r="H132" s="380"/>
      <c r="I132" s="380"/>
      <c r="J132" s="380"/>
      <c r="K132" s="380"/>
      <c r="L132" s="380"/>
      <c r="M132" s="380"/>
      <c r="N132" s="380"/>
      <c r="O132" s="380"/>
    </row>
    <row r="133" spans="1:15" ht="12.75" customHeight="1">
      <c r="A133" s="347"/>
      <c r="B133" s="347"/>
      <c r="C133" s="347"/>
      <c r="D133" s="347"/>
      <c r="E133" s="347"/>
      <c r="F133" s="380"/>
      <c r="G133" s="380"/>
      <c r="H133" s="380"/>
      <c r="I133" s="380"/>
      <c r="J133" s="380"/>
      <c r="K133" s="380"/>
      <c r="L133" s="380"/>
      <c r="M133" s="380"/>
      <c r="N133" s="380"/>
      <c r="O133" s="380"/>
    </row>
    <row r="134" spans="1:15" ht="12.75" customHeight="1">
      <c r="A134" s="347"/>
      <c r="B134" s="347"/>
      <c r="C134" s="347"/>
      <c r="D134" s="347"/>
      <c r="E134" s="347"/>
      <c r="F134" s="380"/>
      <c r="G134" s="380"/>
      <c r="H134" s="380"/>
      <c r="I134" s="380"/>
      <c r="J134" s="380"/>
      <c r="K134" s="380"/>
      <c r="L134" s="380"/>
      <c r="M134" s="380"/>
      <c r="N134" s="380"/>
      <c r="O134" s="380"/>
    </row>
    <row r="135" spans="1:15" ht="12.75" customHeight="1">
      <c r="A135" s="347"/>
      <c r="B135" s="347"/>
      <c r="C135" s="347"/>
      <c r="D135" s="347"/>
      <c r="E135" s="347"/>
      <c r="F135" s="380"/>
      <c r="G135" s="380"/>
      <c r="H135" s="380"/>
      <c r="I135" s="380"/>
      <c r="J135" s="380"/>
      <c r="K135" s="380"/>
      <c r="L135" s="380"/>
      <c r="M135" s="380"/>
      <c r="N135" s="380"/>
      <c r="O135" s="380"/>
    </row>
    <row r="136" spans="1:15" ht="12.75" customHeight="1">
      <c r="A136" s="347"/>
      <c r="B136" s="347"/>
      <c r="C136" s="347"/>
      <c r="D136" s="347"/>
      <c r="E136" s="347"/>
      <c r="F136" s="380"/>
      <c r="G136" s="380"/>
      <c r="H136" s="380"/>
      <c r="I136" s="380"/>
      <c r="J136" s="380"/>
      <c r="K136" s="380"/>
      <c r="L136" s="380"/>
      <c r="M136" s="380"/>
      <c r="N136" s="380"/>
      <c r="O136" s="380"/>
    </row>
    <row r="137" spans="1:15" ht="12.75" customHeight="1">
      <c r="A137" s="347"/>
      <c r="B137" s="347"/>
      <c r="C137" s="347"/>
      <c r="D137" s="347"/>
      <c r="E137" s="347"/>
      <c r="F137" s="380"/>
      <c r="G137" s="380"/>
      <c r="H137" s="380"/>
      <c r="I137" s="380"/>
      <c r="J137" s="380"/>
      <c r="K137" s="380"/>
      <c r="L137" s="380"/>
      <c r="M137" s="380"/>
      <c r="N137" s="380"/>
      <c r="O137" s="380"/>
    </row>
    <row r="138" spans="1:15" ht="12.75" customHeight="1">
      <c r="A138" s="347"/>
      <c r="B138" s="347"/>
      <c r="C138" s="347"/>
      <c r="D138" s="347"/>
      <c r="E138" s="347"/>
      <c r="F138" s="380"/>
      <c r="G138" s="380"/>
      <c r="H138" s="380"/>
      <c r="I138" s="380"/>
      <c r="J138" s="380"/>
      <c r="K138" s="380"/>
      <c r="L138" s="380"/>
      <c r="M138" s="380"/>
      <c r="N138" s="380"/>
      <c r="O138" s="380"/>
    </row>
    <row r="139" spans="1:15" ht="12.75" customHeight="1">
      <c r="A139" s="347"/>
      <c r="B139" s="347"/>
      <c r="C139" s="347"/>
      <c r="D139" s="347"/>
      <c r="E139" s="347"/>
      <c r="F139" s="380"/>
      <c r="G139" s="380"/>
      <c r="H139" s="380"/>
      <c r="I139" s="380"/>
      <c r="J139" s="380"/>
      <c r="K139" s="380"/>
      <c r="L139" s="380"/>
      <c r="M139" s="380"/>
      <c r="N139" s="380"/>
      <c r="O139" s="380"/>
    </row>
    <row r="140" spans="1:15" ht="12.75" customHeight="1">
      <c r="A140" s="347"/>
      <c r="B140" s="347"/>
      <c r="C140" s="347"/>
      <c r="D140" s="347"/>
      <c r="E140" s="347"/>
      <c r="F140" s="380"/>
      <c r="G140" s="380"/>
      <c r="H140" s="380"/>
      <c r="I140" s="380"/>
      <c r="J140" s="380"/>
      <c r="K140" s="380"/>
      <c r="L140" s="380"/>
      <c r="M140" s="380"/>
      <c r="N140" s="380"/>
      <c r="O140" s="380"/>
    </row>
    <row r="141" spans="1:15" ht="12.75" customHeight="1">
      <c r="A141" s="347"/>
      <c r="B141" s="347"/>
      <c r="C141" s="347"/>
      <c r="D141" s="347"/>
      <c r="E141" s="347"/>
      <c r="F141" s="380"/>
      <c r="G141" s="380"/>
      <c r="H141" s="380"/>
      <c r="I141" s="380"/>
      <c r="J141" s="380"/>
      <c r="K141" s="380"/>
      <c r="L141" s="380"/>
      <c r="M141" s="380"/>
      <c r="N141" s="380"/>
      <c r="O141" s="380"/>
    </row>
    <row r="142" spans="1:15" ht="12.75" customHeight="1">
      <c r="A142" s="347"/>
      <c r="B142" s="347"/>
      <c r="C142" s="347"/>
      <c r="D142" s="347"/>
      <c r="E142" s="347"/>
      <c r="F142" s="380"/>
      <c r="G142" s="380"/>
      <c r="H142" s="380"/>
      <c r="I142" s="380"/>
      <c r="J142" s="380"/>
      <c r="K142" s="380"/>
      <c r="L142" s="380"/>
      <c r="M142" s="380"/>
      <c r="N142" s="380"/>
      <c r="O142" s="380"/>
    </row>
    <row r="143" spans="1:15" ht="12.75" customHeight="1">
      <c r="A143" s="347"/>
      <c r="B143" s="347"/>
      <c r="C143" s="347"/>
      <c r="D143" s="347"/>
      <c r="E143" s="347"/>
      <c r="F143" s="380"/>
      <c r="G143" s="380"/>
      <c r="H143" s="380"/>
      <c r="I143" s="380"/>
      <c r="J143" s="380"/>
      <c r="K143" s="380"/>
      <c r="L143" s="380"/>
      <c r="M143" s="380"/>
      <c r="N143" s="380"/>
      <c r="O143" s="380"/>
    </row>
    <row r="144" spans="1:15" ht="12.75" customHeight="1">
      <c r="A144" s="347"/>
      <c r="B144" s="347"/>
      <c r="C144" s="347"/>
      <c r="D144" s="347"/>
      <c r="E144" s="347"/>
      <c r="F144" s="380"/>
      <c r="G144" s="380"/>
      <c r="H144" s="380"/>
      <c r="I144" s="380"/>
      <c r="J144" s="380"/>
      <c r="K144" s="380"/>
      <c r="L144" s="380"/>
      <c r="M144" s="380"/>
      <c r="N144" s="380"/>
      <c r="O144" s="380"/>
    </row>
    <row r="145" spans="1:15" ht="12.75" customHeight="1">
      <c r="A145" s="347"/>
      <c r="B145" s="347"/>
      <c r="C145" s="347"/>
      <c r="D145" s="347"/>
      <c r="E145" s="347"/>
      <c r="F145" s="380"/>
      <c r="G145" s="380"/>
      <c r="H145" s="380"/>
      <c r="I145" s="380"/>
      <c r="J145" s="380"/>
      <c r="K145" s="380"/>
      <c r="L145" s="380"/>
      <c r="M145" s="380"/>
      <c r="N145" s="380"/>
      <c r="O145" s="380"/>
    </row>
    <row r="146" spans="1:15" ht="12.75" customHeight="1">
      <c r="A146" s="347"/>
      <c r="B146" s="347"/>
      <c r="C146" s="347"/>
      <c r="D146" s="347"/>
      <c r="E146" s="347"/>
      <c r="F146" s="380"/>
      <c r="G146" s="380"/>
      <c r="H146" s="380"/>
      <c r="I146" s="380"/>
      <c r="J146" s="380"/>
      <c r="K146" s="380"/>
      <c r="L146" s="380"/>
      <c r="M146" s="380"/>
      <c r="N146" s="380"/>
      <c r="O146" s="380"/>
    </row>
    <row r="147" spans="1:15" ht="12.75" customHeight="1">
      <c r="A147" s="347"/>
      <c r="B147" s="347"/>
      <c r="C147" s="347"/>
      <c r="D147" s="347"/>
      <c r="E147" s="347"/>
      <c r="F147" s="380"/>
      <c r="G147" s="380"/>
      <c r="H147" s="380"/>
      <c r="I147" s="380"/>
      <c r="J147" s="380"/>
      <c r="K147" s="380"/>
      <c r="L147" s="380"/>
      <c r="M147" s="380"/>
      <c r="N147" s="380"/>
      <c r="O147" s="380"/>
    </row>
    <row r="148" spans="1:15" ht="12.75" customHeight="1">
      <c r="A148" s="347"/>
      <c r="B148" s="347"/>
      <c r="C148" s="347"/>
      <c r="D148" s="347"/>
      <c r="E148" s="347"/>
      <c r="F148" s="380"/>
      <c r="G148" s="380"/>
      <c r="H148" s="380"/>
      <c r="I148" s="380"/>
      <c r="J148" s="380"/>
      <c r="K148" s="380"/>
      <c r="L148" s="380"/>
      <c r="M148" s="380"/>
      <c r="N148" s="380"/>
      <c r="O148" s="380"/>
    </row>
    <row r="149" spans="1:15" ht="12.75" customHeight="1">
      <c r="A149" s="347"/>
      <c r="B149" s="347"/>
      <c r="C149" s="347"/>
      <c r="D149" s="347"/>
      <c r="E149" s="347"/>
      <c r="F149" s="380"/>
      <c r="G149" s="380"/>
      <c r="H149" s="380"/>
      <c r="I149" s="380"/>
      <c r="J149" s="380"/>
      <c r="K149" s="380"/>
      <c r="L149" s="380"/>
      <c r="M149" s="380"/>
      <c r="N149" s="380"/>
      <c r="O149" s="380"/>
    </row>
    <row r="150" spans="1:15" ht="12.75" customHeight="1">
      <c r="A150" s="347"/>
      <c r="B150" s="347"/>
      <c r="C150" s="347"/>
      <c r="D150" s="347"/>
      <c r="E150" s="347"/>
      <c r="F150" s="380"/>
      <c r="G150" s="380"/>
      <c r="H150" s="380"/>
      <c r="I150" s="380"/>
      <c r="J150" s="380"/>
      <c r="K150" s="380"/>
      <c r="L150" s="380"/>
      <c r="M150" s="380"/>
      <c r="N150" s="380"/>
      <c r="O150" s="380"/>
    </row>
    <row r="151" spans="1:15" ht="12.75" customHeight="1">
      <c r="A151" s="347"/>
      <c r="B151" s="347"/>
      <c r="C151" s="347"/>
      <c r="D151" s="347"/>
      <c r="E151" s="347"/>
      <c r="F151" s="380"/>
      <c r="G151" s="380"/>
      <c r="H151" s="380"/>
      <c r="I151" s="380"/>
      <c r="J151" s="380"/>
      <c r="K151" s="380"/>
      <c r="L151" s="380"/>
      <c r="M151" s="380"/>
      <c r="N151" s="380"/>
      <c r="O151" s="380"/>
    </row>
    <row r="152" spans="1:15" ht="12.75" customHeight="1">
      <c r="A152" s="347"/>
      <c r="B152" s="347"/>
      <c r="C152" s="347"/>
      <c r="D152" s="347"/>
      <c r="E152" s="347"/>
      <c r="F152" s="380"/>
      <c r="G152" s="380"/>
      <c r="H152" s="380"/>
      <c r="I152" s="380"/>
      <c r="J152" s="380"/>
      <c r="K152" s="380"/>
      <c r="L152" s="380"/>
      <c r="M152" s="380"/>
      <c r="N152" s="380"/>
      <c r="O152" s="380"/>
    </row>
    <row r="153" spans="1:15" ht="12.75" customHeight="1">
      <c r="A153" s="347"/>
      <c r="B153" s="347"/>
      <c r="C153" s="347"/>
      <c r="D153" s="347"/>
      <c r="E153" s="347"/>
      <c r="F153" s="380"/>
      <c r="G153" s="380"/>
      <c r="H153" s="380"/>
      <c r="I153" s="380"/>
      <c r="J153" s="380"/>
      <c r="K153" s="380"/>
      <c r="L153" s="380"/>
      <c r="M153" s="380"/>
      <c r="N153" s="380"/>
      <c r="O153" s="380"/>
    </row>
    <row r="154" spans="1:15" ht="12.75" customHeight="1">
      <c r="A154" s="347"/>
      <c r="B154" s="347"/>
      <c r="C154" s="347"/>
      <c r="D154" s="347"/>
      <c r="E154" s="347"/>
      <c r="F154" s="380"/>
      <c r="G154" s="380"/>
      <c r="H154" s="380"/>
      <c r="I154" s="380"/>
      <c r="J154" s="380"/>
      <c r="K154" s="380"/>
      <c r="L154" s="380"/>
      <c r="M154" s="380"/>
      <c r="N154" s="380"/>
      <c r="O154" s="380"/>
    </row>
    <row r="155" spans="1:15" ht="12.75" customHeight="1">
      <c r="A155" s="347"/>
      <c r="B155" s="347"/>
      <c r="C155" s="347"/>
      <c r="D155" s="347"/>
      <c r="E155" s="347"/>
      <c r="F155" s="380"/>
      <c r="G155" s="380"/>
      <c r="H155" s="380"/>
      <c r="I155" s="380"/>
      <c r="J155" s="380"/>
      <c r="K155" s="380"/>
      <c r="L155" s="380"/>
      <c r="M155" s="380"/>
      <c r="N155" s="380"/>
      <c r="O155" s="380"/>
    </row>
    <row r="156" spans="1:15" ht="12.75" customHeight="1">
      <c r="A156" s="347"/>
      <c r="B156" s="347"/>
      <c r="C156" s="347"/>
      <c r="D156" s="347"/>
      <c r="E156" s="347"/>
      <c r="F156" s="380"/>
      <c r="G156" s="380"/>
      <c r="H156" s="380"/>
      <c r="I156" s="380"/>
      <c r="J156" s="380"/>
      <c r="K156" s="380"/>
      <c r="L156" s="380"/>
      <c r="M156" s="380"/>
      <c r="N156" s="380"/>
      <c r="O156" s="380"/>
    </row>
    <row r="157" spans="1:15" ht="12.75" customHeight="1">
      <c r="A157" s="347"/>
      <c r="B157" s="347"/>
      <c r="C157" s="347"/>
      <c r="D157" s="347"/>
      <c r="E157" s="347"/>
      <c r="F157" s="380"/>
      <c r="G157" s="380"/>
      <c r="H157" s="380"/>
      <c r="I157" s="380"/>
      <c r="J157" s="380"/>
      <c r="K157" s="380"/>
      <c r="L157" s="380"/>
      <c r="M157" s="380"/>
      <c r="N157" s="380"/>
      <c r="O157" s="380"/>
    </row>
    <row r="158" spans="1:15" ht="12.75" customHeight="1">
      <c r="A158" s="347"/>
      <c r="B158" s="347"/>
      <c r="C158" s="347"/>
      <c r="D158" s="347"/>
      <c r="E158" s="347"/>
      <c r="F158" s="380"/>
      <c r="G158" s="380"/>
      <c r="H158" s="380"/>
      <c r="I158" s="380"/>
      <c r="J158" s="380"/>
      <c r="K158" s="380"/>
      <c r="L158" s="380"/>
      <c r="M158" s="380"/>
      <c r="N158" s="380"/>
      <c r="O158" s="380"/>
    </row>
    <row r="159" spans="1:15" ht="12.75" customHeight="1">
      <c r="A159" s="347"/>
      <c r="B159" s="347"/>
      <c r="C159" s="347"/>
      <c r="D159" s="347"/>
      <c r="E159" s="347"/>
      <c r="F159" s="380"/>
      <c r="G159" s="380"/>
      <c r="H159" s="380"/>
      <c r="I159" s="380"/>
      <c r="J159" s="380"/>
      <c r="K159" s="380"/>
      <c r="L159" s="380"/>
      <c r="M159" s="380"/>
      <c r="N159" s="380"/>
      <c r="O159" s="380"/>
    </row>
    <row r="160" spans="1:15" ht="12.75" customHeight="1">
      <c r="A160" s="347"/>
      <c r="B160" s="347"/>
      <c r="C160" s="347"/>
      <c r="D160" s="347"/>
      <c r="E160" s="347"/>
      <c r="F160" s="380"/>
      <c r="G160" s="380"/>
      <c r="H160" s="380"/>
      <c r="I160" s="380"/>
      <c r="J160" s="380"/>
      <c r="K160" s="380"/>
      <c r="L160" s="380"/>
      <c r="M160" s="380"/>
      <c r="N160" s="380"/>
      <c r="O160" s="380"/>
    </row>
    <row r="161" spans="1:15" ht="12.75" customHeight="1">
      <c r="A161" s="347"/>
      <c r="B161" s="347"/>
      <c r="C161" s="347"/>
      <c r="D161" s="347"/>
      <c r="E161" s="347"/>
      <c r="F161" s="380"/>
      <c r="G161" s="380"/>
      <c r="H161" s="380"/>
      <c r="I161" s="380"/>
      <c r="J161" s="380"/>
      <c r="K161" s="380"/>
      <c r="L161" s="380"/>
      <c r="M161" s="380"/>
      <c r="N161" s="380"/>
      <c r="O161" s="380"/>
    </row>
    <row r="162" spans="1:15" ht="12.75" customHeight="1">
      <c r="A162" s="347"/>
      <c r="B162" s="347"/>
      <c r="C162" s="347"/>
      <c r="D162" s="347"/>
      <c r="E162" s="347"/>
      <c r="F162" s="380"/>
      <c r="G162" s="380"/>
      <c r="H162" s="380"/>
      <c r="I162" s="380"/>
      <c r="J162" s="380"/>
      <c r="K162" s="380"/>
      <c r="L162" s="380"/>
      <c r="M162" s="380"/>
      <c r="N162" s="380"/>
      <c r="O162" s="380"/>
    </row>
    <row r="163" spans="1:15" ht="12.75" customHeight="1">
      <c r="A163" s="347"/>
      <c r="B163" s="347"/>
      <c r="C163" s="347"/>
      <c r="D163" s="347"/>
      <c r="E163" s="347"/>
      <c r="F163" s="380"/>
      <c r="G163" s="380"/>
      <c r="H163" s="380"/>
      <c r="I163" s="380"/>
      <c r="J163" s="380"/>
      <c r="K163" s="380"/>
      <c r="L163" s="380"/>
      <c r="M163" s="380"/>
      <c r="N163" s="380"/>
      <c r="O163" s="380"/>
    </row>
    <row r="164" spans="1:15" ht="12.75" customHeight="1">
      <c r="A164" s="347"/>
      <c r="B164" s="347"/>
      <c r="C164" s="347"/>
      <c r="D164" s="347"/>
      <c r="E164" s="347"/>
      <c r="F164" s="380"/>
      <c r="G164" s="380"/>
      <c r="H164" s="380"/>
      <c r="I164" s="380"/>
      <c r="J164" s="380"/>
      <c r="K164" s="380"/>
      <c r="L164" s="380"/>
      <c r="M164" s="380"/>
      <c r="N164" s="380"/>
      <c r="O164" s="380"/>
    </row>
    <row r="165" spans="1:15" ht="12.75" customHeight="1">
      <c r="A165" s="347"/>
      <c r="B165" s="347"/>
      <c r="C165" s="347"/>
      <c r="D165" s="347"/>
      <c r="E165" s="347"/>
      <c r="F165" s="380"/>
      <c r="G165" s="380"/>
      <c r="H165" s="380"/>
      <c r="I165" s="380"/>
      <c r="J165" s="380"/>
      <c r="K165" s="380"/>
      <c r="L165" s="380"/>
      <c r="M165" s="380"/>
      <c r="N165" s="380"/>
      <c r="O165" s="380"/>
    </row>
    <row r="166" spans="1:15" ht="12.75" customHeight="1">
      <c r="A166" s="347"/>
      <c r="B166" s="347"/>
      <c r="C166" s="347"/>
      <c r="D166" s="347"/>
      <c r="E166" s="347"/>
      <c r="F166" s="380"/>
      <c r="G166" s="380"/>
      <c r="H166" s="380"/>
      <c r="I166" s="380"/>
      <c r="J166" s="380"/>
      <c r="K166" s="380"/>
      <c r="L166" s="380"/>
      <c r="M166" s="380"/>
      <c r="N166" s="380"/>
      <c r="O166" s="380"/>
    </row>
    <row r="167" spans="1:15" ht="12.75" customHeight="1">
      <c r="A167" s="347"/>
      <c r="B167" s="347"/>
      <c r="C167" s="347"/>
      <c r="D167" s="347"/>
      <c r="E167" s="347"/>
      <c r="F167" s="380"/>
      <c r="G167" s="380"/>
      <c r="H167" s="380"/>
      <c r="I167" s="380"/>
      <c r="J167" s="380"/>
      <c r="K167" s="380"/>
      <c r="L167" s="380"/>
      <c r="M167" s="380"/>
      <c r="N167" s="380"/>
      <c r="O167" s="380"/>
    </row>
    <row r="168" spans="1:15" ht="12.75" customHeight="1">
      <c r="A168" s="347"/>
      <c r="B168" s="347"/>
      <c r="C168" s="347"/>
      <c r="D168" s="347"/>
      <c r="E168" s="347"/>
      <c r="F168" s="380"/>
      <c r="G168" s="380"/>
      <c r="H168" s="380"/>
      <c r="I168" s="380"/>
      <c r="J168" s="380"/>
      <c r="K168" s="380"/>
      <c r="L168" s="380"/>
      <c r="M168" s="380"/>
      <c r="N168" s="380"/>
      <c r="O168" s="380"/>
    </row>
    <row r="169" spans="1:15" ht="12.75" customHeight="1">
      <c r="A169" s="347"/>
      <c r="B169" s="347"/>
      <c r="C169" s="347"/>
      <c r="D169" s="347"/>
      <c r="E169" s="347"/>
      <c r="F169" s="380"/>
      <c r="G169" s="380"/>
      <c r="H169" s="380"/>
      <c r="I169" s="380"/>
      <c r="J169" s="380"/>
      <c r="K169" s="380"/>
      <c r="L169" s="380"/>
      <c r="M169" s="380"/>
      <c r="N169" s="380"/>
      <c r="O169" s="380"/>
    </row>
    <row r="170" spans="1:15" ht="12.75" customHeight="1">
      <c r="A170" s="347"/>
      <c r="B170" s="347"/>
      <c r="C170" s="347"/>
      <c r="D170" s="347"/>
      <c r="E170" s="347"/>
      <c r="F170" s="380"/>
      <c r="G170" s="380"/>
      <c r="H170" s="380"/>
      <c r="I170" s="380"/>
      <c r="J170" s="380"/>
      <c r="K170" s="380"/>
      <c r="L170" s="380"/>
      <c r="M170" s="380"/>
      <c r="N170" s="380"/>
      <c r="O170" s="380"/>
    </row>
    <row r="171" spans="1:15" ht="12.75" customHeight="1">
      <c r="A171" s="347"/>
      <c r="B171" s="347"/>
      <c r="C171" s="347"/>
      <c r="D171" s="347"/>
      <c r="E171" s="347"/>
      <c r="F171" s="380"/>
      <c r="G171" s="380"/>
      <c r="H171" s="380"/>
      <c r="I171" s="380"/>
      <c r="J171" s="380"/>
      <c r="K171" s="380"/>
      <c r="L171" s="380"/>
      <c r="M171" s="380"/>
      <c r="N171" s="380"/>
      <c r="O171" s="380"/>
    </row>
    <row r="172" spans="1:15" ht="12.75" customHeight="1">
      <c r="A172" s="347"/>
      <c r="B172" s="347"/>
      <c r="C172" s="347"/>
      <c r="D172" s="347"/>
      <c r="E172" s="347"/>
      <c r="F172" s="380"/>
      <c r="G172" s="380"/>
      <c r="H172" s="380"/>
      <c r="I172" s="380"/>
      <c r="J172" s="380"/>
      <c r="K172" s="380"/>
      <c r="L172" s="380"/>
      <c r="M172" s="380"/>
      <c r="N172" s="380"/>
      <c r="O172" s="380"/>
    </row>
    <row r="173" spans="1:15" ht="12.75" customHeight="1">
      <c r="A173" s="347"/>
      <c r="B173" s="347"/>
      <c r="C173" s="347"/>
      <c r="D173" s="347"/>
      <c r="E173" s="347"/>
      <c r="F173" s="380"/>
      <c r="G173" s="380"/>
      <c r="H173" s="380"/>
      <c r="I173" s="380"/>
      <c r="J173" s="380"/>
      <c r="K173" s="380"/>
      <c r="L173" s="380"/>
      <c r="M173" s="380"/>
      <c r="N173" s="380"/>
      <c r="O173" s="380"/>
    </row>
    <row r="174" spans="1:15" ht="12.75" customHeight="1">
      <c r="A174" s="347"/>
      <c r="B174" s="347"/>
      <c r="C174" s="347"/>
      <c r="D174" s="347"/>
      <c r="E174" s="347"/>
      <c r="F174" s="380"/>
      <c r="G174" s="380"/>
      <c r="H174" s="380"/>
      <c r="I174" s="380"/>
      <c r="J174" s="380"/>
      <c r="K174" s="380"/>
      <c r="L174" s="380"/>
      <c r="M174" s="380"/>
      <c r="N174" s="380"/>
      <c r="O174" s="380"/>
    </row>
    <row r="175" spans="1:15" ht="12.75" customHeight="1">
      <c r="A175" s="347"/>
      <c r="B175" s="347"/>
      <c r="C175" s="347"/>
      <c r="D175" s="347"/>
      <c r="E175" s="347"/>
      <c r="F175" s="380"/>
      <c r="G175" s="380"/>
      <c r="H175" s="380"/>
      <c r="I175" s="380"/>
      <c r="J175" s="380"/>
      <c r="K175" s="380"/>
      <c r="L175" s="380"/>
      <c r="M175" s="380"/>
      <c r="N175" s="380"/>
      <c r="O175" s="380"/>
    </row>
    <row r="176" spans="1:15" ht="12.75" customHeight="1">
      <c r="A176" s="347"/>
      <c r="B176" s="347"/>
      <c r="C176" s="347"/>
      <c r="D176" s="347"/>
      <c r="E176" s="347"/>
      <c r="F176" s="380"/>
      <c r="G176" s="380"/>
      <c r="H176" s="380"/>
      <c r="I176" s="380"/>
      <c r="J176" s="380"/>
      <c r="K176" s="380"/>
      <c r="L176" s="380"/>
      <c r="M176" s="380"/>
      <c r="N176" s="380"/>
      <c r="O176" s="380"/>
    </row>
    <row r="177" spans="1:15" ht="12.75" customHeight="1">
      <c r="A177" s="347"/>
      <c r="B177" s="347"/>
      <c r="C177" s="347"/>
      <c r="D177" s="347"/>
      <c r="E177" s="347"/>
      <c r="F177" s="380"/>
      <c r="G177" s="380"/>
      <c r="H177" s="380"/>
      <c r="I177" s="380"/>
      <c r="J177" s="380"/>
      <c r="K177" s="380"/>
      <c r="L177" s="380"/>
      <c r="M177" s="380"/>
      <c r="N177" s="380"/>
      <c r="O177" s="380"/>
    </row>
    <row r="178" spans="1:15" ht="12.75" customHeight="1">
      <c r="A178" s="347"/>
      <c r="B178" s="347"/>
      <c r="C178" s="347"/>
      <c r="D178" s="347"/>
      <c r="E178" s="347"/>
      <c r="F178" s="380"/>
      <c r="G178" s="380"/>
      <c r="H178" s="380"/>
      <c r="I178" s="380"/>
      <c r="J178" s="380"/>
      <c r="K178" s="380"/>
      <c r="L178" s="380"/>
      <c r="M178" s="380"/>
      <c r="N178" s="380"/>
      <c r="O178" s="380"/>
    </row>
    <row r="179" spans="1:15" ht="12.75" customHeight="1">
      <c r="A179" s="347"/>
      <c r="B179" s="347"/>
      <c r="C179" s="347"/>
      <c r="D179" s="347"/>
      <c r="E179" s="347"/>
      <c r="F179" s="380"/>
      <c r="G179" s="380"/>
      <c r="H179" s="380"/>
      <c r="I179" s="380"/>
      <c r="J179" s="380"/>
      <c r="K179" s="380"/>
      <c r="L179" s="380"/>
      <c r="M179" s="380"/>
      <c r="N179" s="380"/>
      <c r="O179" s="380"/>
    </row>
    <row r="180" spans="1:15" ht="12.75" customHeight="1">
      <c r="A180" s="347"/>
      <c r="B180" s="347"/>
      <c r="C180" s="347"/>
      <c r="D180" s="347"/>
      <c r="E180" s="347"/>
      <c r="F180" s="380"/>
      <c r="G180" s="380"/>
      <c r="H180" s="380"/>
      <c r="I180" s="380"/>
      <c r="J180" s="380"/>
      <c r="K180" s="380"/>
      <c r="L180" s="380"/>
      <c r="M180" s="380"/>
      <c r="N180" s="380"/>
      <c r="O180" s="380"/>
    </row>
    <row r="181" spans="1:15" ht="12.75" customHeight="1">
      <c r="A181" s="347"/>
      <c r="B181" s="347"/>
      <c r="C181" s="347"/>
      <c r="D181" s="347"/>
      <c r="E181" s="347"/>
      <c r="F181" s="380"/>
      <c r="G181" s="380"/>
      <c r="H181" s="380"/>
      <c r="I181" s="380"/>
      <c r="J181" s="380"/>
      <c r="K181" s="380"/>
      <c r="L181" s="380"/>
      <c r="M181" s="380"/>
      <c r="N181" s="380"/>
      <c r="O181" s="380"/>
    </row>
    <row r="182" spans="1:15" ht="12.75" customHeight="1">
      <c r="A182" s="347"/>
      <c r="B182" s="347"/>
      <c r="C182" s="347"/>
      <c r="D182" s="347"/>
      <c r="E182" s="347"/>
      <c r="F182" s="380"/>
      <c r="G182" s="380"/>
      <c r="H182" s="380"/>
      <c r="I182" s="380"/>
      <c r="J182" s="380"/>
      <c r="K182" s="380"/>
      <c r="L182" s="380"/>
      <c r="M182" s="380"/>
      <c r="N182" s="380"/>
      <c r="O182" s="380"/>
    </row>
    <row r="183" spans="1:15" ht="12.75" customHeight="1">
      <c r="A183" s="347"/>
      <c r="B183" s="347"/>
      <c r="C183" s="347"/>
      <c r="D183" s="347"/>
      <c r="E183" s="347"/>
      <c r="F183" s="380"/>
      <c r="G183" s="380"/>
      <c r="H183" s="380"/>
      <c r="I183" s="380"/>
      <c r="J183" s="380"/>
      <c r="K183" s="380"/>
      <c r="L183" s="380"/>
      <c r="M183" s="380"/>
      <c r="N183" s="380"/>
      <c r="O183" s="380"/>
    </row>
    <row r="184" spans="1:15" ht="12.75" customHeight="1">
      <c r="A184" s="347"/>
      <c r="B184" s="347"/>
      <c r="C184" s="347"/>
      <c r="D184" s="347"/>
      <c r="E184" s="347"/>
      <c r="F184" s="380"/>
      <c r="G184" s="380"/>
      <c r="H184" s="380"/>
      <c r="I184" s="380"/>
      <c r="J184" s="380"/>
      <c r="K184" s="380"/>
      <c r="L184" s="380"/>
      <c r="M184" s="380"/>
      <c r="N184" s="380"/>
      <c r="O184" s="380"/>
    </row>
    <row r="185" spans="1:15" ht="12.75" customHeight="1">
      <c r="A185" s="347"/>
      <c r="B185" s="347"/>
      <c r="C185" s="347"/>
      <c r="D185" s="347"/>
      <c r="E185" s="347"/>
      <c r="F185" s="380"/>
      <c r="G185" s="380"/>
      <c r="H185" s="380"/>
      <c r="I185" s="380"/>
      <c r="J185" s="380"/>
      <c r="K185" s="380"/>
      <c r="L185" s="380"/>
      <c r="M185" s="380"/>
      <c r="N185" s="380"/>
      <c r="O185" s="380"/>
    </row>
    <row r="186" spans="1:15" ht="12.75" customHeight="1">
      <c r="A186" s="347"/>
      <c r="B186" s="347"/>
      <c r="C186" s="347"/>
      <c r="D186" s="347"/>
      <c r="E186" s="347"/>
      <c r="F186" s="380"/>
      <c r="G186" s="380"/>
      <c r="H186" s="380"/>
      <c r="I186" s="380"/>
      <c r="J186" s="380"/>
      <c r="K186" s="380"/>
      <c r="L186" s="380"/>
      <c r="M186" s="380"/>
      <c r="N186" s="380"/>
      <c r="O186" s="380"/>
    </row>
    <row r="187" spans="1:15" ht="12.75" customHeight="1">
      <c r="A187" s="347"/>
      <c r="B187" s="347"/>
      <c r="C187" s="347"/>
      <c r="D187" s="347"/>
      <c r="E187" s="347"/>
      <c r="F187" s="380"/>
      <c r="G187" s="380"/>
      <c r="H187" s="380"/>
      <c r="I187" s="380"/>
      <c r="J187" s="380"/>
      <c r="K187" s="380"/>
      <c r="L187" s="380"/>
      <c r="M187" s="380"/>
      <c r="N187" s="380"/>
      <c r="O187" s="380"/>
    </row>
    <row r="188" spans="1:15" ht="12.75" customHeight="1">
      <c r="A188" s="347"/>
      <c r="B188" s="347"/>
      <c r="C188" s="347"/>
      <c r="D188" s="347"/>
      <c r="E188" s="347"/>
      <c r="F188" s="380"/>
      <c r="G188" s="380"/>
      <c r="H188" s="380"/>
      <c r="I188" s="380"/>
      <c r="J188" s="380"/>
      <c r="K188" s="380"/>
      <c r="L188" s="380"/>
      <c r="M188" s="380"/>
      <c r="N188" s="380"/>
      <c r="O188" s="380"/>
    </row>
    <row r="189" spans="1:15" ht="12.75" customHeight="1">
      <c r="A189" s="347"/>
      <c r="B189" s="347"/>
      <c r="C189" s="347"/>
      <c r="D189" s="347"/>
      <c r="E189" s="347"/>
      <c r="F189" s="380"/>
      <c r="G189" s="380"/>
      <c r="H189" s="380"/>
      <c r="I189" s="380"/>
      <c r="J189" s="380"/>
      <c r="K189" s="380"/>
      <c r="L189" s="380"/>
      <c r="M189" s="380"/>
      <c r="N189" s="380"/>
      <c r="O189" s="380"/>
    </row>
    <row r="190" spans="1:15" ht="12.75" customHeight="1">
      <c r="A190" s="347"/>
      <c r="B190" s="347"/>
      <c r="C190" s="347"/>
      <c r="D190" s="347"/>
      <c r="E190" s="347"/>
      <c r="F190" s="380"/>
      <c r="G190" s="380"/>
      <c r="H190" s="380"/>
      <c r="I190" s="380"/>
      <c r="J190" s="380"/>
      <c r="K190" s="380"/>
      <c r="L190" s="380"/>
      <c r="M190" s="380"/>
      <c r="N190" s="380"/>
      <c r="O190" s="380"/>
    </row>
    <row r="191" spans="1:15" ht="12.75" customHeight="1">
      <c r="A191" s="347"/>
      <c r="B191" s="347"/>
      <c r="C191" s="347"/>
      <c r="D191" s="347"/>
      <c r="E191" s="347"/>
      <c r="F191" s="380"/>
      <c r="G191" s="380"/>
      <c r="H191" s="380"/>
      <c r="I191" s="380"/>
      <c r="J191" s="380"/>
      <c r="K191" s="380"/>
      <c r="L191" s="380"/>
      <c r="M191" s="380"/>
      <c r="N191" s="380"/>
      <c r="O191" s="380"/>
    </row>
    <row r="192" spans="1:15" ht="12.75" customHeight="1">
      <c r="A192" s="347"/>
      <c r="B192" s="347"/>
      <c r="C192" s="347"/>
      <c r="D192" s="347"/>
      <c r="E192" s="347"/>
      <c r="F192" s="380"/>
      <c r="G192" s="380"/>
      <c r="H192" s="380"/>
      <c r="I192" s="380"/>
      <c r="J192" s="380"/>
      <c r="K192" s="380"/>
      <c r="L192" s="380"/>
      <c r="M192" s="380"/>
      <c r="N192" s="380"/>
      <c r="O192" s="380"/>
    </row>
    <row r="193" spans="1:15" ht="12.75" customHeight="1">
      <c r="A193" s="347"/>
      <c r="B193" s="347"/>
      <c r="C193" s="347"/>
      <c r="D193" s="347"/>
      <c r="E193" s="347"/>
      <c r="F193" s="380"/>
      <c r="G193" s="380"/>
      <c r="H193" s="380"/>
      <c r="I193" s="380"/>
      <c r="J193" s="380"/>
      <c r="K193" s="380"/>
      <c r="L193" s="380"/>
      <c r="M193" s="380"/>
      <c r="N193" s="380"/>
      <c r="O193" s="380"/>
    </row>
    <row r="194" spans="1:15" ht="12.75" customHeight="1">
      <c r="A194" s="347"/>
      <c r="B194" s="347"/>
      <c r="C194" s="347"/>
      <c r="D194" s="347"/>
      <c r="E194" s="347"/>
      <c r="F194" s="380"/>
      <c r="G194" s="380"/>
      <c r="H194" s="380"/>
      <c r="I194" s="380"/>
      <c r="J194" s="380"/>
      <c r="K194" s="380"/>
      <c r="L194" s="380"/>
      <c r="M194" s="380"/>
      <c r="N194" s="380"/>
      <c r="O194" s="380"/>
    </row>
    <row r="195" spans="1:15" ht="12.75" customHeight="1">
      <c r="A195" s="347"/>
      <c r="B195" s="347"/>
      <c r="C195" s="347"/>
      <c r="D195" s="347"/>
      <c r="E195" s="347"/>
      <c r="F195" s="380"/>
      <c r="G195" s="380"/>
      <c r="H195" s="380"/>
      <c r="I195" s="380"/>
      <c r="J195" s="380"/>
      <c r="K195" s="380"/>
      <c r="L195" s="380"/>
      <c r="M195" s="380"/>
      <c r="N195" s="380"/>
      <c r="O195" s="380"/>
    </row>
    <row r="196" spans="1:15" ht="12.75" customHeight="1">
      <c r="A196" s="347"/>
      <c r="B196" s="347"/>
      <c r="C196" s="347"/>
      <c r="D196" s="347"/>
      <c r="E196" s="347"/>
      <c r="F196" s="380"/>
      <c r="G196" s="380"/>
      <c r="H196" s="380"/>
      <c r="I196" s="380"/>
      <c r="J196" s="380"/>
      <c r="K196" s="380"/>
      <c r="L196" s="380"/>
      <c r="M196" s="380"/>
      <c r="N196" s="380"/>
      <c r="O196" s="380"/>
    </row>
    <row r="197" spans="1:15" ht="12.75" customHeight="1">
      <c r="A197" s="347"/>
      <c r="B197" s="347"/>
      <c r="C197" s="347"/>
      <c r="D197" s="347"/>
      <c r="E197" s="347"/>
      <c r="F197" s="380"/>
      <c r="G197" s="380"/>
      <c r="H197" s="380"/>
      <c r="I197" s="380"/>
      <c r="J197" s="380"/>
      <c r="K197" s="380"/>
      <c r="L197" s="380"/>
      <c r="M197" s="380"/>
      <c r="N197" s="380"/>
      <c r="O197" s="380"/>
    </row>
    <row r="198" spans="1:15" ht="12.75" customHeight="1">
      <c r="A198" s="347"/>
      <c r="B198" s="347"/>
      <c r="C198" s="347"/>
      <c r="D198" s="347"/>
      <c r="E198" s="347"/>
      <c r="F198" s="380"/>
      <c r="G198" s="380"/>
      <c r="H198" s="380"/>
      <c r="I198" s="380"/>
      <c r="J198" s="380"/>
      <c r="K198" s="380"/>
      <c r="L198" s="380"/>
      <c r="M198" s="380"/>
      <c r="N198" s="380"/>
      <c r="O198" s="380"/>
    </row>
    <row r="199" spans="1:15" ht="12.75" customHeight="1">
      <c r="A199" s="347"/>
      <c r="B199" s="347"/>
      <c r="C199" s="347"/>
      <c r="D199" s="347"/>
      <c r="E199" s="347"/>
      <c r="F199" s="380"/>
      <c r="G199" s="380"/>
      <c r="H199" s="380"/>
      <c r="I199" s="380"/>
      <c r="J199" s="380"/>
      <c r="K199" s="380"/>
      <c r="L199" s="380"/>
      <c r="M199" s="380"/>
      <c r="N199" s="380"/>
      <c r="O199" s="380"/>
    </row>
    <row r="200" spans="1:15" ht="12.75" customHeight="1">
      <c r="A200" s="347"/>
      <c r="B200" s="347"/>
      <c r="C200" s="347"/>
      <c r="D200" s="347"/>
      <c r="E200" s="347"/>
      <c r="F200" s="380"/>
      <c r="G200" s="380"/>
      <c r="H200" s="380"/>
      <c r="I200" s="380"/>
      <c r="J200" s="380"/>
      <c r="K200" s="380"/>
      <c r="L200" s="380"/>
      <c r="M200" s="380"/>
      <c r="N200" s="380"/>
      <c r="O200" s="380"/>
    </row>
    <row r="201" spans="1:15" ht="12.75" customHeight="1">
      <c r="A201" s="347"/>
      <c r="B201" s="347"/>
      <c r="C201" s="347"/>
      <c r="D201" s="347"/>
      <c r="E201" s="347"/>
      <c r="F201" s="380"/>
      <c r="G201" s="380"/>
      <c r="H201" s="380"/>
      <c r="I201" s="380"/>
      <c r="J201" s="380"/>
      <c r="K201" s="380"/>
      <c r="L201" s="380"/>
      <c r="M201" s="380"/>
      <c r="N201" s="380"/>
      <c r="O201" s="380"/>
    </row>
    <row r="202" spans="1:15" ht="12.75" customHeight="1">
      <c r="A202" s="347"/>
      <c r="B202" s="347"/>
      <c r="C202" s="347"/>
      <c r="D202" s="347"/>
      <c r="E202" s="347"/>
      <c r="F202" s="380"/>
      <c r="G202" s="380"/>
      <c r="H202" s="380"/>
      <c r="I202" s="380"/>
      <c r="J202" s="380"/>
      <c r="K202" s="380"/>
      <c r="L202" s="380"/>
      <c r="M202" s="380"/>
      <c r="N202" s="380"/>
      <c r="O202" s="380"/>
    </row>
    <row r="203" spans="1:15" ht="12.75" customHeight="1">
      <c r="A203" s="347"/>
      <c r="B203" s="347"/>
      <c r="C203" s="347"/>
      <c r="D203" s="347"/>
      <c r="E203" s="347"/>
      <c r="F203" s="380"/>
      <c r="G203" s="380"/>
      <c r="H203" s="380"/>
      <c r="I203" s="380"/>
      <c r="J203" s="380"/>
      <c r="K203" s="380"/>
      <c r="L203" s="380"/>
      <c r="M203" s="380"/>
      <c r="N203" s="380"/>
      <c r="O203" s="380"/>
    </row>
    <row r="204" spans="1:15" ht="12.75" customHeight="1">
      <c r="A204" s="347"/>
      <c r="B204" s="347"/>
      <c r="C204" s="347"/>
      <c r="D204" s="347"/>
      <c r="E204" s="347"/>
      <c r="F204" s="380"/>
      <c r="G204" s="380"/>
      <c r="H204" s="380"/>
      <c r="I204" s="380"/>
      <c r="J204" s="380"/>
      <c r="K204" s="380"/>
      <c r="L204" s="380"/>
      <c r="M204" s="380"/>
      <c r="N204" s="380"/>
      <c r="O204" s="380"/>
    </row>
    <row r="205" spans="1:15" ht="12.75" customHeight="1">
      <c r="A205" s="347"/>
      <c r="B205" s="347"/>
      <c r="C205" s="347"/>
      <c r="D205" s="347"/>
      <c r="E205" s="347"/>
      <c r="F205" s="380"/>
      <c r="G205" s="380"/>
      <c r="H205" s="380"/>
      <c r="I205" s="380"/>
      <c r="J205" s="380"/>
      <c r="K205" s="380"/>
      <c r="L205" s="380"/>
      <c r="M205" s="380"/>
      <c r="N205" s="380"/>
      <c r="O205" s="380"/>
    </row>
    <row r="206" spans="1:15" ht="12.75" customHeight="1">
      <c r="A206" s="347"/>
      <c r="B206" s="347"/>
      <c r="C206" s="347"/>
      <c r="D206" s="347"/>
      <c r="E206" s="347"/>
      <c r="F206" s="380"/>
      <c r="G206" s="380"/>
      <c r="H206" s="380"/>
      <c r="I206" s="380"/>
      <c r="J206" s="380"/>
      <c r="K206" s="380"/>
      <c r="L206" s="380"/>
      <c r="M206" s="380"/>
      <c r="N206" s="380"/>
      <c r="O206" s="380"/>
    </row>
    <row r="207" spans="1:15" ht="12.75" customHeight="1">
      <c r="A207" s="347"/>
      <c r="B207" s="347"/>
      <c r="C207" s="347"/>
      <c r="D207" s="347"/>
      <c r="E207" s="347"/>
      <c r="F207" s="380"/>
      <c r="G207" s="380"/>
      <c r="H207" s="380"/>
      <c r="I207" s="380"/>
      <c r="J207" s="380"/>
      <c r="K207" s="380"/>
      <c r="L207" s="380"/>
      <c r="M207" s="380"/>
      <c r="N207" s="380"/>
      <c r="O207" s="380"/>
    </row>
    <row r="208" spans="1:15" ht="12.75" customHeight="1">
      <c r="A208" s="347"/>
      <c r="B208" s="347"/>
      <c r="C208" s="347"/>
      <c r="D208" s="347"/>
      <c r="E208" s="347"/>
      <c r="F208" s="380"/>
      <c r="G208" s="380"/>
      <c r="H208" s="380"/>
      <c r="I208" s="380"/>
      <c r="J208" s="380"/>
      <c r="K208" s="380"/>
      <c r="L208" s="380"/>
      <c r="M208" s="380"/>
      <c r="N208" s="380"/>
      <c r="O208" s="380"/>
    </row>
    <row r="209" spans="1:15" ht="12.75" customHeight="1">
      <c r="A209" s="347"/>
      <c r="B209" s="347"/>
      <c r="C209" s="347"/>
      <c r="D209" s="347"/>
      <c r="E209" s="347"/>
      <c r="F209" s="380"/>
      <c r="G209" s="380"/>
      <c r="H209" s="380"/>
      <c r="I209" s="380"/>
      <c r="J209" s="380"/>
      <c r="K209" s="380"/>
      <c r="L209" s="380"/>
      <c r="M209" s="380"/>
      <c r="N209" s="380"/>
      <c r="O209" s="380"/>
    </row>
    <row r="210" spans="1:15" ht="12.75" customHeight="1">
      <c r="A210" s="347"/>
      <c r="B210" s="347"/>
      <c r="C210" s="347"/>
      <c r="D210" s="347"/>
      <c r="E210" s="347"/>
      <c r="F210" s="380"/>
      <c r="G210" s="380"/>
      <c r="H210" s="380"/>
      <c r="I210" s="380"/>
      <c r="J210" s="380"/>
      <c r="K210" s="380"/>
      <c r="L210" s="380"/>
      <c r="M210" s="380"/>
      <c r="N210" s="380"/>
      <c r="O210" s="380"/>
    </row>
    <row r="211" spans="1:15" ht="12.75" customHeight="1">
      <c r="A211" s="347"/>
      <c r="B211" s="347"/>
      <c r="C211" s="347"/>
      <c r="D211" s="347"/>
      <c r="E211" s="347"/>
      <c r="F211" s="380"/>
      <c r="G211" s="380"/>
      <c r="H211" s="380"/>
      <c r="I211" s="380"/>
      <c r="J211" s="380"/>
      <c r="K211" s="380"/>
      <c r="L211" s="380"/>
      <c r="M211" s="380"/>
      <c r="N211" s="380"/>
      <c r="O211" s="380"/>
    </row>
    <row r="212" spans="1:15" ht="12.75" customHeight="1">
      <c r="A212" s="347"/>
      <c r="B212" s="347"/>
      <c r="C212" s="347"/>
      <c r="D212" s="347"/>
      <c r="E212" s="347"/>
      <c r="F212" s="380"/>
      <c r="G212" s="380"/>
      <c r="H212" s="380"/>
      <c r="I212" s="380"/>
      <c r="J212" s="380"/>
      <c r="K212" s="380"/>
      <c r="L212" s="380"/>
      <c r="M212" s="380"/>
      <c r="N212" s="380"/>
      <c r="O212" s="380"/>
    </row>
    <row r="213" spans="1:15" ht="12.75" customHeight="1">
      <c r="A213" s="347"/>
      <c r="B213" s="347"/>
      <c r="C213" s="347"/>
      <c r="D213" s="347"/>
      <c r="E213" s="347"/>
      <c r="F213" s="380"/>
      <c r="G213" s="380"/>
      <c r="H213" s="380"/>
      <c r="I213" s="380"/>
      <c r="J213" s="380"/>
      <c r="K213" s="380"/>
      <c r="L213" s="380"/>
      <c r="M213" s="380"/>
      <c r="N213" s="380"/>
      <c r="O213" s="380"/>
    </row>
    <row r="214" spans="1:15" ht="12.75" customHeight="1">
      <c r="A214" s="347"/>
      <c r="B214" s="347"/>
      <c r="C214" s="347"/>
      <c r="D214" s="347"/>
      <c r="E214" s="347"/>
      <c r="F214" s="380"/>
      <c r="G214" s="380"/>
      <c r="H214" s="380"/>
      <c r="I214" s="380"/>
      <c r="J214" s="380"/>
      <c r="K214" s="380"/>
      <c r="L214" s="380"/>
      <c r="M214" s="380"/>
      <c r="N214" s="380"/>
      <c r="O214" s="380"/>
    </row>
    <row r="215" spans="1:15" ht="12.75" customHeight="1">
      <c r="A215" s="347"/>
      <c r="B215" s="347"/>
      <c r="C215" s="347"/>
      <c r="D215" s="347"/>
      <c r="E215" s="347"/>
      <c r="F215" s="380"/>
      <c r="G215" s="380"/>
      <c r="H215" s="380"/>
      <c r="I215" s="380"/>
      <c r="J215" s="380"/>
      <c r="K215" s="380"/>
      <c r="L215" s="380"/>
      <c r="M215" s="380"/>
      <c r="N215" s="380"/>
      <c r="O215" s="380"/>
    </row>
    <row r="216" spans="1:15" ht="12.75" customHeight="1">
      <c r="A216" s="347"/>
      <c r="B216" s="347"/>
      <c r="C216" s="347"/>
      <c r="D216" s="347"/>
      <c r="E216" s="347"/>
      <c r="F216" s="380"/>
      <c r="G216" s="380"/>
      <c r="H216" s="380"/>
      <c r="I216" s="380"/>
      <c r="J216" s="380"/>
      <c r="K216" s="380"/>
      <c r="L216" s="380"/>
      <c r="M216" s="380"/>
      <c r="N216" s="380"/>
      <c r="O216" s="380"/>
    </row>
    <row r="217" spans="1:15" ht="12.75" customHeight="1">
      <c r="A217" s="347"/>
      <c r="B217" s="347"/>
      <c r="C217" s="347"/>
      <c r="D217" s="347"/>
      <c r="E217" s="347"/>
      <c r="F217" s="380"/>
      <c r="G217" s="380"/>
      <c r="H217" s="380"/>
      <c r="I217" s="380"/>
      <c r="J217" s="380"/>
      <c r="K217" s="380"/>
      <c r="L217" s="380"/>
      <c r="M217" s="380"/>
      <c r="N217" s="380"/>
      <c r="O217" s="380"/>
    </row>
    <row r="218" spans="1:15" ht="12.75" customHeight="1">
      <c r="A218" s="347"/>
      <c r="B218" s="347"/>
      <c r="C218" s="347"/>
      <c r="D218" s="347"/>
      <c r="E218" s="347"/>
      <c r="F218" s="380"/>
      <c r="G218" s="380"/>
      <c r="H218" s="380"/>
      <c r="I218" s="380"/>
      <c r="J218" s="380"/>
      <c r="K218" s="380"/>
      <c r="L218" s="380"/>
      <c r="M218" s="380"/>
      <c r="N218" s="380"/>
      <c r="O218" s="380"/>
    </row>
    <row r="219" spans="1:15" ht="12.75" customHeight="1">
      <c r="A219" s="347"/>
      <c r="B219" s="347"/>
      <c r="C219" s="347"/>
      <c r="D219" s="347"/>
      <c r="E219" s="347"/>
      <c r="F219" s="380"/>
      <c r="G219" s="380"/>
      <c r="H219" s="380"/>
      <c r="I219" s="380"/>
      <c r="J219" s="380"/>
      <c r="K219" s="380"/>
      <c r="L219" s="380"/>
      <c r="M219" s="380"/>
      <c r="N219" s="380"/>
      <c r="O219" s="380"/>
    </row>
    <row r="220" spans="1:15" ht="12.75" customHeight="1">
      <c r="A220" s="347"/>
      <c r="B220" s="347"/>
      <c r="C220" s="347"/>
      <c r="D220" s="347"/>
      <c r="E220" s="347"/>
      <c r="F220" s="380"/>
      <c r="G220" s="380"/>
      <c r="H220" s="380"/>
      <c r="I220" s="380"/>
      <c r="J220" s="380"/>
      <c r="K220" s="380"/>
      <c r="L220" s="380"/>
      <c r="M220" s="380"/>
      <c r="N220" s="380"/>
      <c r="O220" s="380"/>
    </row>
    <row r="221" spans="1:15" ht="12.75" customHeight="1">
      <c r="A221" s="347"/>
      <c r="B221" s="347"/>
      <c r="C221" s="347"/>
      <c r="D221" s="347"/>
      <c r="E221" s="347"/>
      <c r="F221" s="380"/>
      <c r="G221" s="380"/>
      <c r="H221" s="380"/>
      <c r="I221" s="380"/>
      <c r="J221" s="380"/>
      <c r="K221" s="380"/>
      <c r="L221" s="380"/>
      <c r="M221" s="380"/>
      <c r="N221" s="380"/>
      <c r="O221" s="380"/>
    </row>
    <row r="222" spans="1:15" ht="12.75" customHeight="1">
      <c r="A222" s="347"/>
      <c r="B222" s="347"/>
      <c r="C222" s="347"/>
      <c r="D222" s="347"/>
      <c r="E222" s="347"/>
      <c r="F222" s="380"/>
      <c r="G222" s="380"/>
      <c r="H222" s="380"/>
      <c r="I222" s="380"/>
      <c r="J222" s="380"/>
      <c r="K222" s="380"/>
      <c r="L222" s="380"/>
      <c r="M222" s="380"/>
      <c r="N222" s="380"/>
      <c r="O222" s="380"/>
    </row>
    <row r="223" spans="1:15" ht="12.75" customHeight="1">
      <c r="A223" s="347"/>
      <c r="B223" s="347"/>
      <c r="C223" s="347"/>
      <c r="D223" s="347"/>
      <c r="E223" s="347"/>
      <c r="F223" s="380"/>
      <c r="G223" s="380"/>
      <c r="H223" s="380"/>
      <c r="I223" s="380"/>
      <c r="J223" s="380"/>
      <c r="K223" s="380"/>
      <c r="L223" s="380"/>
      <c r="M223" s="380"/>
      <c r="N223" s="380"/>
      <c r="O223" s="380"/>
    </row>
    <row r="224" spans="1:15" ht="12.75" customHeight="1">
      <c r="A224" s="347"/>
      <c r="B224" s="347"/>
      <c r="C224" s="347"/>
      <c r="D224" s="347"/>
      <c r="E224" s="347"/>
      <c r="F224" s="380"/>
      <c r="G224" s="380"/>
      <c r="H224" s="380"/>
      <c r="I224" s="380"/>
      <c r="J224" s="380"/>
      <c r="K224" s="380"/>
      <c r="L224" s="380"/>
      <c r="M224" s="380"/>
      <c r="N224" s="380"/>
      <c r="O224" s="380"/>
    </row>
    <row r="225" spans="1:15" ht="12.75" customHeight="1">
      <c r="A225" s="347"/>
      <c r="B225" s="347"/>
      <c r="C225" s="347"/>
      <c r="D225" s="347"/>
      <c r="E225" s="347"/>
      <c r="F225" s="380"/>
      <c r="G225" s="380"/>
      <c r="H225" s="380"/>
      <c r="I225" s="380"/>
      <c r="J225" s="380"/>
      <c r="K225" s="380"/>
      <c r="L225" s="380"/>
      <c r="M225" s="380"/>
      <c r="N225" s="380"/>
      <c r="O225" s="380"/>
    </row>
    <row r="226" spans="1:15" ht="12.75" customHeight="1">
      <c r="A226" s="347"/>
      <c r="B226" s="347"/>
      <c r="C226" s="347"/>
      <c r="D226" s="347"/>
      <c r="E226" s="347"/>
      <c r="F226" s="380"/>
      <c r="G226" s="380"/>
      <c r="H226" s="380"/>
      <c r="I226" s="380"/>
      <c r="J226" s="380"/>
      <c r="K226" s="380"/>
      <c r="L226" s="380"/>
      <c r="M226" s="380"/>
      <c r="N226" s="380"/>
      <c r="O226" s="380"/>
    </row>
    <row r="227" spans="1:15" ht="12.75" customHeight="1">
      <c r="A227" s="347"/>
      <c r="B227" s="347"/>
      <c r="C227" s="347"/>
      <c r="D227" s="347"/>
      <c r="E227" s="347"/>
      <c r="F227" s="380"/>
      <c r="G227" s="380"/>
      <c r="H227" s="380"/>
      <c r="I227" s="380"/>
      <c r="J227" s="380"/>
      <c r="K227" s="380"/>
      <c r="L227" s="380"/>
      <c r="M227" s="380"/>
      <c r="N227" s="380"/>
      <c r="O227" s="380"/>
    </row>
    <row r="228" spans="1:15" ht="12.75" customHeight="1">
      <c r="A228" s="347"/>
      <c r="B228" s="347"/>
      <c r="C228" s="347"/>
      <c r="D228" s="347"/>
      <c r="E228" s="347"/>
      <c r="F228" s="380"/>
      <c r="G228" s="380"/>
      <c r="H228" s="380"/>
      <c r="I228" s="380"/>
      <c r="J228" s="380"/>
      <c r="K228" s="380"/>
      <c r="L228" s="380"/>
      <c r="M228" s="380"/>
      <c r="N228" s="380"/>
      <c r="O228" s="380"/>
    </row>
    <row r="229" spans="1:15" ht="12.75" customHeight="1">
      <c r="A229" s="347"/>
      <c r="B229" s="347"/>
      <c r="C229" s="347"/>
      <c r="D229" s="347"/>
      <c r="E229" s="347"/>
      <c r="F229" s="380"/>
      <c r="G229" s="380"/>
      <c r="H229" s="380"/>
      <c r="I229" s="380"/>
      <c r="J229" s="380"/>
      <c r="K229" s="380"/>
      <c r="L229" s="380"/>
      <c r="M229" s="380"/>
      <c r="N229" s="380"/>
      <c r="O229" s="380"/>
    </row>
    <row r="230" spans="1:15" ht="12.75" customHeight="1">
      <c r="A230" s="347"/>
      <c r="B230" s="347"/>
      <c r="C230" s="347"/>
      <c r="D230" s="347"/>
      <c r="E230" s="347"/>
      <c r="F230" s="380"/>
      <c r="G230" s="380"/>
      <c r="H230" s="380"/>
      <c r="I230" s="380"/>
      <c r="J230" s="380"/>
      <c r="K230" s="380"/>
      <c r="L230" s="380"/>
      <c r="M230" s="380"/>
      <c r="N230" s="380"/>
      <c r="O230" s="380"/>
    </row>
    <row r="231" spans="1:15" ht="12.75" customHeight="1">
      <c r="A231" s="347"/>
      <c r="B231" s="347"/>
      <c r="C231" s="347"/>
      <c r="D231" s="347"/>
      <c r="E231" s="347"/>
      <c r="F231" s="380"/>
      <c r="G231" s="380"/>
      <c r="H231" s="380"/>
      <c r="I231" s="380"/>
      <c r="J231" s="380"/>
      <c r="K231" s="380"/>
      <c r="L231" s="380"/>
      <c r="M231" s="380"/>
      <c r="N231" s="380"/>
      <c r="O231" s="380"/>
    </row>
    <row r="232" spans="1:15" ht="12.75" customHeight="1">
      <c r="A232" s="347"/>
      <c r="B232" s="347"/>
      <c r="C232" s="347"/>
      <c r="D232" s="347"/>
      <c r="E232" s="347"/>
      <c r="F232" s="380"/>
      <c r="G232" s="380"/>
      <c r="H232" s="380"/>
      <c r="I232" s="380"/>
      <c r="J232" s="380"/>
      <c r="K232" s="380"/>
      <c r="L232" s="380"/>
      <c r="M232" s="380"/>
      <c r="N232" s="380"/>
      <c r="O232" s="380"/>
    </row>
    <row r="233" spans="1:15" ht="12.75" customHeight="1">
      <c r="A233" s="347"/>
      <c r="B233" s="347"/>
      <c r="C233" s="347"/>
      <c r="D233" s="347"/>
      <c r="E233" s="347"/>
      <c r="F233" s="380"/>
      <c r="G233" s="380"/>
      <c r="H233" s="380"/>
      <c r="I233" s="380"/>
      <c r="J233" s="380"/>
      <c r="K233" s="380"/>
      <c r="L233" s="380"/>
      <c r="M233" s="380"/>
      <c r="N233" s="380"/>
      <c r="O233" s="380"/>
    </row>
    <row r="234" spans="1:15" ht="12.75" customHeight="1">
      <c r="A234" s="347"/>
      <c r="B234" s="347"/>
      <c r="C234" s="347"/>
      <c r="D234" s="347"/>
      <c r="E234" s="347"/>
      <c r="F234" s="380"/>
      <c r="G234" s="380"/>
      <c r="H234" s="380"/>
      <c r="I234" s="380"/>
      <c r="J234" s="380"/>
      <c r="K234" s="380"/>
      <c r="L234" s="380"/>
      <c r="M234" s="380"/>
      <c r="N234" s="380"/>
      <c r="O234" s="380"/>
    </row>
    <row r="235" spans="1:15" ht="12.75" customHeight="1">
      <c r="A235" s="347"/>
      <c r="B235" s="347"/>
      <c r="C235" s="347"/>
      <c r="D235" s="347"/>
      <c r="E235" s="347"/>
      <c r="F235" s="380"/>
      <c r="G235" s="380"/>
      <c r="H235" s="380"/>
      <c r="I235" s="380"/>
      <c r="J235" s="380"/>
      <c r="K235" s="380"/>
      <c r="L235" s="380"/>
      <c r="M235" s="380"/>
      <c r="N235" s="380"/>
      <c r="O235" s="380"/>
    </row>
    <row r="236" spans="1:15" ht="12.75" customHeight="1">
      <c r="A236" s="347"/>
      <c r="B236" s="347"/>
      <c r="C236" s="347"/>
      <c r="D236" s="347"/>
      <c r="E236" s="347"/>
      <c r="F236" s="380"/>
      <c r="G236" s="380"/>
      <c r="H236" s="380"/>
      <c r="I236" s="380"/>
      <c r="J236" s="380"/>
      <c r="K236" s="380"/>
      <c r="L236" s="380"/>
      <c r="M236" s="380"/>
      <c r="N236" s="380"/>
      <c r="O236" s="380"/>
    </row>
    <row r="237" spans="1:15" ht="12.75" customHeight="1">
      <c r="A237" s="347"/>
      <c r="B237" s="347"/>
      <c r="C237" s="347"/>
      <c r="D237" s="347"/>
      <c r="E237" s="347"/>
      <c r="F237" s="380"/>
      <c r="G237" s="380"/>
      <c r="H237" s="380"/>
      <c r="I237" s="380"/>
      <c r="J237" s="380"/>
      <c r="K237" s="380"/>
      <c r="L237" s="380"/>
      <c r="M237" s="380"/>
      <c r="N237" s="380"/>
      <c r="O237" s="380"/>
    </row>
    <row r="238" spans="1:15" ht="12.75" customHeight="1">
      <c r="A238" s="347"/>
      <c r="B238" s="347"/>
      <c r="C238" s="347"/>
      <c r="D238" s="347"/>
      <c r="E238" s="347"/>
      <c r="F238" s="380"/>
      <c r="G238" s="380"/>
      <c r="H238" s="380"/>
      <c r="I238" s="380"/>
      <c r="J238" s="380"/>
      <c r="K238" s="380"/>
      <c r="L238" s="380"/>
      <c r="M238" s="380"/>
      <c r="N238" s="380"/>
      <c r="O238" s="380"/>
    </row>
    <row r="239" spans="1:15" ht="12.75" customHeight="1">
      <c r="A239" s="347"/>
      <c r="B239" s="347"/>
      <c r="C239" s="347"/>
      <c r="D239" s="347"/>
      <c r="E239" s="347"/>
      <c r="F239" s="380"/>
      <c r="G239" s="380"/>
      <c r="H239" s="380"/>
      <c r="I239" s="380"/>
      <c r="J239" s="380"/>
      <c r="K239" s="380"/>
      <c r="L239" s="380"/>
      <c r="M239" s="380"/>
      <c r="N239" s="380"/>
      <c r="O239" s="380"/>
    </row>
    <row r="240" spans="1:15" ht="12.75" customHeight="1">
      <c r="A240" s="347"/>
      <c r="B240" s="347"/>
      <c r="C240" s="347"/>
      <c r="D240" s="347"/>
      <c r="E240" s="347"/>
      <c r="F240" s="380"/>
      <c r="G240" s="380"/>
      <c r="H240" s="380"/>
      <c r="I240" s="380"/>
      <c r="J240" s="380"/>
      <c r="K240" s="380"/>
      <c r="L240" s="380"/>
      <c r="M240" s="380"/>
      <c r="N240" s="380"/>
      <c r="O240" s="380"/>
    </row>
    <row r="241" spans="1:15" ht="12.75" customHeight="1">
      <c r="A241" s="347"/>
      <c r="B241" s="347"/>
      <c r="C241" s="347"/>
      <c r="D241" s="347"/>
      <c r="E241" s="347"/>
      <c r="F241" s="380"/>
      <c r="G241" s="380"/>
      <c r="H241" s="380"/>
      <c r="I241" s="380"/>
      <c r="J241" s="380"/>
      <c r="K241" s="380"/>
      <c r="L241" s="380"/>
      <c r="M241" s="380"/>
      <c r="N241" s="380"/>
      <c r="O241" s="380"/>
    </row>
    <row r="242" spans="1:15" ht="12.75" customHeight="1">
      <c r="A242" s="347"/>
      <c r="B242" s="347"/>
      <c r="C242" s="347"/>
      <c r="D242" s="347"/>
      <c r="E242" s="347"/>
      <c r="F242" s="380"/>
      <c r="G242" s="380"/>
      <c r="H242" s="380"/>
      <c r="I242" s="380"/>
      <c r="J242" s="380"/>
      <c r="K242" s="380"/>
      <c r="L242" s="380"/>
      <c r="M242" s="380"/>
      <c r="N242" s="380"/>
      <c r="O242" s="380"/>
    </row>
    <row r="243" spans="1:15" ht="12.75" customHeight="1">
      <c r="A243" s="347"/>
      <c r="B243" s="347"/>
      <c r="C243" s="347"/>
      <c r="D243" s="347"/>
      <c r="E243" s="347"/>
      <c r="F243" s="380"/>
      <c r="G243" s="380"/>
      <c r="H243" s="380"/>
      <c r="I243" s="380"/>
      <c r="J243" s="380"/>
      <c r="K243" s="380"/>
      <c r="L243" s="380"/>
      <c r="M243" s="380"/>
      <c r="N243" s="380"/>
      <c r="O243" s="380"/>
    </row>
    <row r="244" spans="1:15" ht="12.75" customHeight="1">
      <c r="A244" s="347"/>
      <c r="B244" s="347"/>
      <c r="C244" s="347"/>
      <c r="D244" s="347"/>
      <c r="E244" s="347"/>
      <c r="F244" s="380"/>
      <c r="G244" s="380"/>
      <c r="H244" s="380"/>
      <c r="I244" s="380"/>
      <c r="J244" s="380"/>
      <c r="K244" s="380"/>
      <c r="L244" s="380"/>
      <c r="M244" s="380"/>
      <c r="N244" s="380"/>
      <c r="O244" s="380"/>
    </row>
    <row r="245" spans="1:15" ht="12.75" customHeight="1">
      <c r="A245" s="347"/>
      <c r="B245" s="347"/>
      <c r="C245" s="347"/>
      <c r="D245" s="347"/>
      <c r="E245" s="347"/>
      <c r="F245" s="380"/>
      <c r="G245" s="380"/>
      <c r="H245" s="380"/>
      <c r="I245" s="380"/>
      <c r="J245" s="380"/>
      <c r="K245" s="380"/>
      <c r="L245" s="380"/>
      <c r="M245" s="380"/>
      <c r="N245" s="380"/>
      <c r="O245" s="380"/>
    </row>
    <row r="246" spans="1:15" ht="12.75" customHeight="1">
      <c r="A246" s="347"/>
      <c r="B246" s="347"/>
      <c r="C246" s="347"/>
      <c r="D246" s="347"/>
      <c r="E246" s="347"/>
      <c r="F246" s="380"/>
      <c r="G246" s="380"/>
      <c r="H246" s="380"/>
      <c r="I246" s="380"/>
      <c r="J246" s="380"/>
      <c r="K246" s="380"/>
      <c r="L246" s="380"/>
      <c r="M246" s="380"/>
      <c r="N246" s="380"/>
      <c r="O246" s="380"/>
    </row>
    <row r="247" spans="1:15" ht="12.75" customHeight="1">
      <c r="A247" s="347"/>
      <c r="B247" s="347"/>
      <c r="C247" s="347"/>
      <c r="D247" s="347"/>
      <c r="E247" s="347"/>
      <c r="F247" s="380"/>
      <c r="G247" s="380"/>
      <c r="H247" s="380"/>
      <c r="I247" s="380"/>
      <c r="J247" s="380"/>
      <c r="K247" s="380"/>
      <c r="L247" s="380"/>
      <c r="M247" s="380"/>
      <c r="N247" s="380"/>
      <c r="O247" s="380"/>
    </row>
    <row r="248" spans="1:15" ht="12.75" customHeight="1">
      <c r="A248" s="347"/>
      <c r="B248" s="347"/>
      <c r="C248" s="347"/>
      <c r="D248" s="347"/>
      <c r="E248" s="347"/>
      <c r="F248" s="380"/>
      <c r="G248" s="380"/>
      <c r="H248" s="380"/>
      <c r="I248" s="380"/>
      <c r="J248" s="380"/>
      <c r="K248" s="380"/>
      <c r="L248" s="380"/>
      <c r="M248" s="380"/>
      <c r="N248" s="380"/>
      <c r="O248" s="380"/>
    </row>
    <row r="249" spans="1:15" ht="12.75" customHeight="1">
      <c r="A249" s="347"/>
      <c r="B249" s="347"/>
      <c r="C249" s="347"/>
      <c r="D249" s="347"/>
      <c r="E249" s="347"/>
      <c r="F249" s="380"/>
      <c r="G249" s="380"/>
      <c r="H249" s="380"/>
      <c r="I249" s="380"/>
      <c r="J249" s="380"/>
      <c r="K249" s="380"/>
      <c r="L249" s="380"/>
      <c r="M249" s="380"/>
      <c r="N249" s="380"/>
      <c r="O249" s="380"/>
    </row>
    <row r="250" spans="1:15" ht="12.75" customHeight="1">
      <c r="A250" s="347"/>
      <c r="B250" s="347"/>
      <c r="C250" s="347"/>
      <c r="D250" s="347"/>
      <c r="E250" s="347"/>
      <c r="F250" s="380"/>
      <c r="G250" s="380"/>
      <c r="H250" s="380"/>
      <c r="I250" s="380"/>
      <c r="J250" s="380"/>
      <c r="K250" s="380"/>
      <c r="L250" s="380"/>
      <c r="M250" s="380"/>
      <c r="N250" s="380"/>
      <c r="O250" s="380"/>
    </row>
    <row r="251" spans="1:15" ht="12.75" customHeight="1">
      <c r="A251" s="347"/>
      <c r="B251" s="347"/>
      <c r="C251" s="347"/>
      <c r="D251" s="347"/>
      <c r="E251" s="347"/>
      <c r="F251" s="380"/>
      <c r="G251" s="380"/>
      <c r="H251" s="380"/>
      <c r="I251" s="380"/>
      <c r="J251" s="380"/>
      <c r="K251" s="380"/>
      <c r="L251" s="380"/>
      <c r="M251" s="380"/>
      <c r="N251" s="380"/>
      <c r="O251" s="380"/>
    </row>
    <row r="252" spans="1:15" ht="12.75" customHeight="1">
      <c r="A252" s="347"/>
      <c r="B252" s="347"/>
      <c r="C252" s="347"/>
      <c r="D252" s="347"/>
      <c r="E252" s="347"/>
      <c r="F252" s="380"/>
      <c r="G252" s="380"/>
      <c r="H252" s="380"/>
      <c r="I252" s="380"/>
      <c r="J252" s="380"/>
      <c r="K252" s="380"/>
      <c r="L252" s="380"/>
      <c r="M252" s="380"/>
      <c r="N252" s="380"/>
      <c r="O252" s="380"/>
    </row>
    <row r="253" spans="1:15" ht="12.75" customHeight="1">
      <c r="A253" s="347"/>
      <c r="B253" s="347"/>
      <c r="C253" s="347"/>
      <c r="D253" s="347"/>
      <c r="E253" s="347"/>
      <c r="F253" s="380"/>
      <c r="G253" s="380"/>
      <c r="H253" s="380"/>
      <c r="I253" s="380"/>
      <c r="J253" s="380"/>
      <c r="K253" s="380"/>
      <c r="L253" s="380"/>
      <c r="M253" s="380"/>
      <c r="N253" s="380"/>
      <c r="O253" s="380"/>
    </row>
    <row r="254" spans="1:15" ht="12.75" customHeight="1">
      <c r="A254" s="347"/>
      <c r="B254" s="347"/>
      <c r="C254" s="347"/>
      <c r="D254" s="347"/>
      <c r="E254" s="347"/>
      <c r="F254" s="380"/>
      <c r="G254" s="380"/>
      <c r="H254" s="380"/>
      <c r="I254" s="380"/>
      <c r="J254" s="380"/>
      <c r="K254" s="380"/>
      <c r="L254" s="380"/>
      <c r="M254" s="380"/>
      <c r="N254" s="380"/>
      <c r="O254" s="380"/>
    </row>
    <row r="255" spans="1:15" ht="12.75" customHeight="1">
      <c r="A255" s="347"/>
      <c r="B255" s="347"/>
      <c r="C255" s="347"/>
      <c r="D255" s="347"/>
      <c r="E255" s="347"/>
      <c r="F255" s="380"/>
      <c r="G255" s="380"/>
      <c r="H255" s="380"/>
      <c r="I255" s="380"/>
      <c r="J255" s="380"/>
      <c r="K255" s="380"/>
      <c r="L255" s="380"/>
      <c r="M255" s="380"/>
      <c r="N255" s="380"/>
      <c r="O255" s="380"/>
    </row>
    <row r="256" spans="1:15" ht="12.75" customHeight="1">
      <c r="A256" s="347"/>
      <c r="B256" s="347"/>
      <c r="C256" s="347"/>
      <c r="D256" s="347"/>
      <c r="E256" s="347"/>
      <c r="F256" s="380"/>
      <c r="G256" s="380"/>
      <c r="H256" s="380"/>
      <c r="I256" s="380"/>
      <c r="J256" s="380"/>
      <c r="K256" s="380"/>
      <c r="L256" s="380"/>
      <c r="M256" s="380"/>
      <c r="N256" s="380"/>
      <c r="O256" s="380"/>
    </row>
    <row r="257" spans="1:15" ht="12.75" customHeight="1">
      <c r="A257" s="347"/>
      <c r="B257" s="347"/>
      <c r="C257" s="347"/>
      <c r="D257" s="347"/>
      <c r="E257" s="347"/>
      <c r="F257" s="380"/>
      <c r="G257" s="380"/>
      <c r="H257" s="380"/>
      <c r="I257" s="380"/>
      <c r="J257" s="380"/>
      <c r="K257" s="380"/>
      <c r="L257" s="380"/>
      <c r="M257" s="380"/>
      <c r="N257" s="380"/>
      <c r="O257" s="380"/>
    </row>
    <row r="258" spans="1:15" ht="12.75" customHeight="1">
      <c r="A258" s="347"/>
      <c r="B258" s="347"/>
      <c r="C258" s="347"/>
      <c r="D258" s="347"/>
      <c r="E258" s="347"/>
      <c r="F258" s="380"/>
      <c r="G258" s="380"/>
      <c r="H258" s="380"/>
      <c r="I258" s="380"/>
      <c r="J258" s="380"/>
      <c r="K258" s="380"/>
      <c r="L258" s="380"/>
      <c r="M258" s="380"/>
      <c r="N258" s="380"/>
      <c r="O258" s="380"/>
    </row>
    <row r="259" spans="1:15" ht="12.75" customHeight="1">
      <c r="A259" s="347"/>
      <c r="B259" s="347"/>
      <c r="C259" s="347"/>
      <c r="D259" s="347"/>
      <c r="E259" s="347"/>
      <c r="F259" s="380"/>
      <c r="G259" s="380"/>
      <c r="H259" s="380"/>
      <c r="I259" s="380"/>
      <c r="J259" s="380"/>
      <c r="K259" s="380"/>
      <c r="L259" s="380"/>
      <c r="M259" s="380"/>
      <c r="N259" s="380"/>
      <c r="O259" s="380"/>
    </row>
    <row r="260" spans="1:15" ht="12.75" customHeight="1">
      <c r="A260" s="347"/>
      <c r="B260" s="347"/>
      <c r="C260" s="347"/>
      <c r="D260" s="347"/>
      <c r="E260" s="347"/>
      <c r="F260" s="380"/>
      <c r="G260" s="380"/>
      <c r="H260" s="380"/>
      <c r="I260" s="380"/>
      <c r="J260" s="380"/>
      <c r="K260" s="380"/>
      <c r="L260" s="380"/>
      <c r="M260" s="380"/>
      <c r="N260" s="380"/>
      <c r="O260" s="380"/>
    </row>
    <row r="261" spans="1:15" ht="12.75" customHeight="1">
      <c r="A261" s="347"/>
      <c r="B261" s="347"/>
      <c r="C261" s="347"/>
      <c r="D261" s="347"/>
      <c r="E261" s="347"/>
      <c r="F261" s="380"/>
      <c r="G261" s="380"/>
      <c r="H261" s="380"/>
      <c r="I261" s="380"/>
      <c r="J261" s="380"/>
      <c r="K261" s="380"/>
      <c r="L261" s="380"/>
      <c r="M261" s="380"/>
      <c r="N261" s="380"/>
      <c r="O261" s="380"/>
    </row>
    <row r="262" spans="1:15" ht="12.75" customHeight="1">
      <c r="A262" s="347"/>
      <c r="B262" s="347"/>
      <c r="C262" s="347"/>
      <c r="D262" s="347"/>
      <c r="E262" s="347"/>
      <c r="F262" s="380"/>
      <c r="G262" s="380"/>
      <c r="H262" s="380"/>
      <c r="I262" s="380"/>
      <c r="J262" s="380"/>
      <c r="K262" s="380"/>
      <c r="L262" s="380"/>
      <c r="M262" s="380"/>
      <c r="N262" s="380"/>
      <c r="O262" s="380"/>
    </row>
    <row r="263" spans="1:15" ht="12.75" customHeight="1">
      <c r="A263" s="347"/>
      <c r="B263" s="347"/>
      <c r="C263" s="347"/>
      <c r="D263" s="347"/>
      <c r="E263" s="347"/>
      <c r="F263" s="380"/>
      <c r="G263" s="380"/>
      <c r="H263" s="380"/>
      <c r="I263" s="380"/>
      <c r="J263" s="380"/>
      <c r="K263" s="380"/>
      <c r="L263" s="380"/>
      <c r="M263" s="380"/>
      <c r="N263" s="380"/>
      <c r="O263" s="380"/>
    </row>
    <row r="264" spans="1:15" ht="12.75" customHeight="1">
      <c r="A264" s="347"/>
      <c r="B264" s="347"/>
      <c r="C264" s="347"/>
      <c r="D264" s="347"/>
      <c r="E264" s="347"/>
      <c r="F264" s="380"/>
      <c r="G264" s="380"/>
      <c r="H264" s="380"/>
      <c r="I264" s="380"/>
      <c r="J264" s="380"/>
      <c r="K264" s="380"/>
      <c r="L264" s="380"/>
      <c r="M264" s="380"/>
      <c r="N264" s="380"/>
      <c r="O264" s="380"/>
    </row>
    <row r="265" spans="1:15" ht="12.75" customHeight="1">
      <c r="A265" s="347"/>
      <c r="B265" s="347"/>
      <c r="C265" s="347"/>
      <c r="D265" s="347"/>
      <c r="E265" s="347"/>
      <c r="F265" s="380"/>
      <c r="G265" s="380"/>
      <c r="H265" s="380"/>
      <c r="I265" s="380"/>
      <c r="J265" s="380"/>
      <c r="K265" s="380"/>
      <c r="L265" s="380"/>
      <c r="M265" s="380"/>
      <c r="N265" s="380"/>
      <c r="O265" s="380"/>
    </row>
    <row r="266" spans="1:15" ht="12.75" customHeight="1">
      <c r="A266" s="347"/>
      <c r="B266" s="347"/>
      <c r="C266" s="347"/>
      <c r="D266" s="347"/>
      <c r="E266" s="347"/>
      <c r="F266" s="380"/>
      <c r="G266" s="380"/>
      <c r="H266" s="380"/>
      <c r="I266" s="380"/>
      <c r="J266" s="380"/>
      <c r="K266" s="380"/>
      <c r="L266" s="380"/>
      <c r="M266" s="380"/>
      <c r="N266" s="380"/>
      <c r="O266" s="380"/>
    </row>
    <row r="267" spans="1:15" ht="12.75" customHeight="1">
      <c r="A267" s="347"/>
      <c r="B267" s="347"/>
      <c r="C267" s="347"/>
      <c r="D267" s="347"/>
      <c r="E267" s="347"/>
      <c r="F267" s="380"/>
      <c r="G267" s="380"/>
      <c r="H267" s="380"/>
      <c r="I267" s="380"/>
      <c r="J267" s="380"/>
      <c r="K267" s="380"/>
      <c r="L267" s="380"/>
      <c r="M267" s="380"/>
      <c r="N267" s="380"/>
      <c r="O267" s="380"/>
    </row>
    <row r="268" spans="1:15" ht="12.75" customHeight="1">
      <c r="A268" s="347"/>
      <c r="B268" s="347"/>
      <c r="C268" s="347"/>
      <c r="D268" s="347"/>
      <c r="E268" s="347"/>
      <c r="F268" s="380"/>
      <c r="G268" s="380"/>
      <c r="H268" s="380"/>
      <c r="I268" s="380"/>
      <c r="J268" s="380"/>
      <c r="K268" s="380"/>
      <c r="L268" s="380"/>
      <c r="M268" s="380"/>
      <c r="N268" s="380"/>
      <c r="O268" s="380"/>
    </row>
    <row r="269" spans="1:15" ht="12.75" customHeight="1">
      <c r="A269" s="347"/>
      <c r="B269" s="347"/>
      <c r="C269" s="347"/>
      <c r="D269" s="347"/>
      <c r="E269" s="347"/>
      <c r="F269" s="380"/>
      <c r="G269" s="380"/>
      <c r="H269" s="380"/>
      <c r="I269" s="380"/>
      <c r="J269" s="380"/>
      <c r="K269" s="380"/>
      <c r="L269" s="380"/>
      <c r="M269" s="380"/>
      <c r="N269" s="380"/>
      <c r="O269" s="380"/>
    </row>
    <row r="270" spans="1:15" ht="12.75" customHeight="1">
      <c r="A270" s="347"/>
      <c r="B270" s="347"/>
      <c r="C270" s="347"/>
      <c r="D270" s="347"/>
      <c r="E270" s="347"/>
      <c r="F270" s="380"/>
      <c r="G270" s="380"/>
      <c r="H270" s="380"/>
      <c r="I270" s="380"/>
      <c r="J270" s="380"/>
      <c r="K270" s="380"/>
      <c r="L270" s="380"/>
      <c r="M270" s="380"/>
      <c r="N270" s="380"/>
      <c r="O270" s="380"/>
    </row>
    <row r="271" spans="1:15" ht="12.75" customHeight="1">
      <c r="A271" s="347"/>
      <c r="B271" s="347"/>
      <c r="C271" s="347"/>
      <c r="D271" s="347"/>
      <c r="E271" s="347"/>
      <c r="F271" s="380"/>
      <c r="G271" s="380"/>
      <c r="H271" s="380"/>
      <c r="I271" s="380"/>
      <c r="J271" s="380"/>
      <c r="K271" s="380"/>
      <c r="L271" s="380"/>
      <c r="M271" s="380"/>
      <c r="N271" s="380"/>
      <c r="O271" s="380"/>
    </row>
    <row r="272" spans="1:15" ht="12.75" customHeight="1">
      <c r="A272" s="347"/>
      <c r="B272" s="347"/>
      <c r="C272" s="347"/>
      <c r="D272" s="347"/>
      <c r="E272" s="347"/>
      <c r="F272" s="380"/>
      <c r="G272" s="380"/>
      <c r="H272" s="380"/>
      <c r="I272" s="380"/>
      <c r="J272" s="380"/>
      <c r="K272" s="380"/>
      <c r="L272" s="380"/>
      <c r="M272" s="380"/>
      <c r="N272" s="380"/>
      <c r="O272" s="380"/>
    </row>
    <row r="273" spans="1:15" ht="12.75" customHeight="1">
      <c r="A273" s="347"/>
      <c r="B273" s="347"/>
      <c r="C273" s="347"/>
      <c r="D273" s="347"/>
      <c r="E273" s="347"/>
      <c r="F273" s="380"/>
      <c r="G273" s="380"/>
      <c r="H273" s="380"/>
      <c r="I273" s="380"/>
      <c r="J273" s="380"/>
      <c r="K273" s="380"/>
      <c r="L273" s="380"/>
      <c r="M273" s="380"/>
      <c r="N273" s="380"/>
      <c r="O273" s="380"/>
    </row>
    <row r="274" spans="1:15" ht="12.75" customHeight="1">
      <c r="A274" s="347"/>
      <c r="B274" s="347"/>
      <c r="C274" s="347"/>
      <c r="D274" s="347"/>
      <c r="E274" s="347"/>
      <c r="F274" s="380"/>
      <c r="G274" s="380"/>
      <c r="H274" s="380"/>
      <c r="I274" s="380"/>
      <c r="J274" s="380"/>
      <c r="K274" s="380"/>
      <c r="L274" s="380"/>
      <c r="M274" s="380"/>
      <c r="N274" s="380"/>
      <c r="O274" s="380"/>
    </row>
    <row r="275" spans="1:15" ht="12.75" customHeight="1">
      <c r="A275" s="347"/>
      <c r="B275" s="347"/>
      <c r="C275" s="347"/>
      <c r="D275" s="347"/>
      <c r="E275" s="347"/>
      <c r="F275" s="380"/>
      <c r="G275" s="380"/>
      <c r="H275" s="380"/>
      <c r="I275" s="380"/>
      <c r="J275" s="380"/>
      <c r="K275" s="380"/>
      <c r="L275" s="380"/>
      <c r="M275" s="380"/>
      <c r="N275" s="380"/>
      <c r="O275" s="380"/>
    </row>
    <row r="276" spans="1:15" ht="12.75" customHeight="1">
      <c r="A276" s="347"/>
      <c r="B276" s="347"/>
      <c r="C276" s="347"/>
      <c r="D276" s="347"/>
      <c r="E276" s="347"/>
      <c r="F276" s="380"/>
      <c r="G276" s="380"/>
      <c r="H276" s="380"/>
      <c r="I276" s="380"/>
      <c r="J276" s="380"/>
      <c r="K276" s="380"/>
      <c r="L276" s="380"/>
      <c r="M276" s="380"/>
      <c r="N276" s="380"/>
      <c r="O276" s="380"/>
    </row>
    <row r="277" spans="1:15" ht="12.75" customHeight="1">
      <c r="A277" s="347"/>
      <c r="B277" s="347"/>
      <c r="C277" s="347"/>
      <c r="D277" s="347"/>
      <c r="E277" s="347"/>
      <c r="F277" s="380"/>
      <c r="G277" s="380"/>
      <c r="H277" s="380"/>
      <c r="I277" s="380"/>
      <c r="J277" s="380"/>
      <c r="K277" s="380"/>
      <c r="L277" s="380"/>
      <c r="M277" s="380"/>
      <c r="N277" s="380"/>
      <c r="O277" s="380"/>
    </row>
    <row r="278" spans="1:15" ht="12.75" customHeight="1">
      <c r="A278" s="347"/>
      <c r="B278" s="347"/>
      <c r="C278" s="347"/>
      <c r="D278" s="347"/>
      <c r="E278" s="347"/>
      <c r="F278" s="380"/>
      <c r="G278" s="380"/>
      <c r="H278" s="380"/>
      <c r="I278" s="380"/>
      <c r="J278" s="380"/>
      <c r="K278" s="380"/>
      <c r="L278" s="380"/>
      <c r="M278" s="380"/>
      <c r="N278" s="380"/>
      <c r="O278" s="380"/>
    </row>
    <row r="279" spans="1:15" ht="12.75" customHeight="1">
      <c r="A279" s="347"/>
      <c r="B279" s="347"/>
      <c r="C279" s="347"/>
      <c r="D279" s="347"/>
      <c r="E279" s="347"/>
      <c r="F279" s="380"/>
      <c r="G279" s="380"/>
      <c r="H279" s="380"/>
      <c r="I279" s="380"/>
      <c r="J279" s="380"/>
      <c r="K279" s="380"/>
      <c r="L279" s="380"/>
      <c r="M279" s="380"/>
      <c r="N279" s="380"/>
      <c r="O279" s="380"/>
    </row>
    <row r="280" spans="1:15" ht="12.75" customHeight="1">
      <c r="A280" s="347"/>
      <c r="B280" s="347"/>
      <c r="C280" s="347"/>
      <c r="D280" s="347"/>
      <c r="E280" s="347"/>
      <c r="F280" s="380"/>
      <c r="G280" s="380"/>
      <c r="H280" s="380"/>
      <c r="I280" s="380"/>
      <c r="J280" s="380"/>
      <c r="K280" s="380"/>
      <c r="L280" s="380"/>
      <c r="M280" s="380"/>
      <c r="N280" s="380"/>
      <c r="O280" s="380"/>
    </row>
    <row r="281" spans="1:15" ht="12.75" customHeight="1">
      <c r="A281" s="347"/>
      <c r="B281" s="347"/>
      <c r="C281" s="347"/>
      <c r="D281" s="347"/>
      <c r="E281" s="347"/>
      <c r="F281" s="380"/>
      <c r="G281" s="380"/>
      <c r="H281" s="380"/>
      <c r="I281" s="380"/>
      <c r="J281" s="380"/>
      <c r="K281" s="380"/>
      <c r="L281" s="380"/>
      <c r="M281" s="380"/>
      <c r="N281" s="380"/>
      <c r="O281" s="380"/>
    </row>
    <row r="282" spans="1:15" ht="12.75" customHeight="1">
      <c r="A282" s="347"/>
      <c r="B282" s="347"/>
      <c r="C282" s="347"/>
      <c r="D282" s="347"/>
      <c r="E282" s="347"/>
      <c r="F282" s="380"/>
      <c r="G282" s="380"/>
      <c r="H282" s="380"/>
      <c r="I282" s="380"/>
      <c r="J282" s="380"/>
      <c r="K282" s="380"/>
      <c r="L282" s="380"/>
      <c r="M282" s="380"/>
      <c r="N282" s="380"/>
      <c r="O282" s="380"/>
    </row>
    <row r="283" spans="1:15" ht="12.75" customHeight="1">
      <c r="A283" s="347"/>
      <c r="B283" s="347"/>
      <c r="C283" s="347"/>
      <c r="D283" s="347"/>
      <c r="E283" s="347"/>
      <c r="F283" s="380"/>
      <c r="G283" s="380"/>
      <c r="H283" s="380"/>
      <c r="I283" s="380"/>
      <c r="J283" s="380"/>
      <c r="K283" s="380"/>
      <c r="L283" s="380"/>
      <c r="M283" s="380"/>
      <c r="N283" s="380"/>
      <c r="O283" s="380"/>
    </row>
    <row r="284" spans="1:15" ht="12.75" customHeight="1">
      <c r="A284" s="347"/>
      <c r="B284" s="347"/>
      <c r="C284" s="347"/>
      <c r="D284" s="347"/>
      <c r="E284" s="347"/>
      <c r="F284" s="380"/>
      <c r="G284" s="380"/>
      <c r="H284" s="380"/>
      <c r="I284" s="380"/>
      <c r="J284" s="380"/>
      <c r="K284" s="380"/>
      <c r="L284" s="380"/>
      <c r="M284" s="380"/>
      <c r="N284" s="380"/>
      <c r="O284" s="380"/>
    </row>
    <row r="285" spans="1:15" ht="12.75" customHeight="1">
      <c r="A285" s="347"/>
      <c r="B285" s="347"/>
      <c r="C285" s="347"/>
      <c r="D285" s="347"/>
      <c r="E285" s="347"/>
      <c r="F285" s="380"/>
      <c r="G285" s="380"/>
      <c r="H285" s="380"/>
      <c r="I285" s="380"/>
      <c r="J285" s="380"/>
      <c r="K285" s="380"/>
      <c r="L285" s="380"/>
      <c r="M285" s="380"/>
      <c r="N285" s="380"/>
      <c r="O285" s="380"/>
    </row>
    <row r="286" spans="1:15" ht="12.75" customHeight="1">
      <c r="A286" s="347"/>
      <c r="B286" s="347"/>
      <c r="C286" s="347"/>
      <c r="D286" s="347"/>
      <c r="E286" s="347"/>
      <c r="F286" s="380"/>
      <c r="G286" s="380"/>
      <c r="H286" s="380"/>
      <c r="I286" s="380"/>
      <c r="J286" s="380"/>
      <c r="K286" s="380"/>
      <c r="L286" s="380"/>
      <c r="M286" s="380"/>
      <c r="N286" s="380"/>
      <c r="O286" s="380"/>
    </row>
    <row r="287" spans="1:15" ht="12.75" customHeight="1">
      <c r="A287" s="347"/>
      <c r="B287" s="347"/>
      <c r="C287" s="347"/>
      <c r="D287" s="347"/>
      <c r="E287" s="347"/>
      <c r="F287" s="380"/>
      <c r="G287" s="380"/>
      <c r="H287" s="380"/>
      <c r="I287" s="380"/>
      <c r="J287" s="380"/>
      <c r="K287" s="380"/>
      <c r="L287" s="380"/>
      <c r="M287" s="380"/>
      <c r="N287" s="380"/>
      <c r="O287" s="380"/>
    </row>
    <row r="288" spans="1:15" ht="12.75" customHeight="1">
      <c r="A288" s="347"/>
      <c r="B288" s="347"/>
      <c r="C288" s="347"/>
      <c r="D288" s="347"/>
      <c r="E288" s="347"/>
      <c r="F288" s="380"/>
      <c r="G288" s="380"/>
      <c r="H288" s="380"/>
      <c r="I288" s="380"/>
      <c r="J288" s="380"/>
      <c r="K288" s="380"/>
      <c r="L288" s="380"/>
      <c r="M288" s="380"/>
      <c r="N288" s="380"/>
      <c r="O288" s="380"/>
    </row>
    <row r="289" spans="1:15" ht="12.75" customHeight="1">
      <c r="A289" s="347"/>
      <c r="B289" s="347"/>
      <c r="C289" s="347"/>
      <c r="D289" s="347"/>
      <c r="E289" s="347"/>
      <c r="F289" s="380"/>
      <c r="G289" s="380"/>
      <c r="H289" s="380"/>
      <c r="I289" s="380"/>
      <c r="J289" s="380"/>
      <c r="K289" s="380"/>
      <c r="L289" s="380"/>
      <c r="M289" s="380"/>
      <c r="N289" s="380"/>
      <c r="O289" s="380"/>
    </row>
    <row r="290" spans="1:15" ht="12.75" customHeight="1">
      <c r="A290" s="347"/>
      <c r="B290" s="347"/>
      <c r="C290" s="347"/>
      <c r="D290" s="347"/>
      <c r="E290" s="347"/>
      <c r="F290" s="380"/>
      <c r="G290" s="380"/>
      <c r="H290" s="380"/>
      <c r="I290" s="380"/>
      <c r="J290" s="380"/>
      <c r="K290" s="380"/>
      <c r="L290" s="380"/>
      <c r="M290" s="380"/>
      <c r="N290" s="380"/>
      <c r="O290" s="380"/>
    </row>
    <row r="291" spans="1:15" ht="12.75" customHeight="1">
      <c r="A291" s="347"/>
      <c r="B291" s="347"/>
      <c r="C291" s="347"/>
      <c r="D291" s="347"/>
      <c r="E291" s="347"/>
      <c r="F291" s="380"/>
      <c r="G291" s="380"/>
      <c r="H291" s="380"/>
      <c r="I291" s="380"/>
      <c r="J291" s="380"/>
      <c r="K291" s="380"/>
      <c r="L291" s="380"/>
      <c r="M291" s="380"/>
      <c r="N291" s="380"/>
      <c r="O291" s="380"/>
    </row>
    <row r="292" spans="1:15" ht="12.75" customHeight="1">
      <c r="A292" s="347"/>
      <c r="B292" s="347"/>
      <c r="C292" s="347"/>
      <c r="D292" s="347"/>
      <c r="E292" s="347"/>
      <c r="F292" s="380"/>
      <c r="G292" s="380"/>
      <c r="H292" s="380"/>
      <c r="I292" s="380"/>
      <c r="J292" s="380"/>
      <c r="K292" s="380"/>
      <c r="L292" s="380"/>
      <c r="M292" s="380"/>
      <c r="N292" s="380"/>
      <c r="O292" s="380"/>
    </row>
    <row r="293" spans="1:15" ht="12.75" customHeight="1">
      <c r="A293" s="347"/>
      <c r="B293" s="347"/>
      <c r="C293" s="347"/>
      <c r="D293" s="347"/>
      <c r="E293" s="347"/>
      <c r="F293" s="380"/>
      <c r="G293" s="380"/>
      <c r="H293" s="380"/>
      <c r="I293" s="380"/>
      <c r="J293" s="380"/>
      <c r="K293" s="380"/>
      <c r="L293" s="380"/>
      <c r="M293" s="380"/>
      <c r="N293" s="380"/>
      <c r="O293" s="380"/>
    </row>
    <row r="294" spans="1:15" ht="12.75" customHeight="1">
      <c r="A294" s="347"/>
      <c r="B294" s="347"/>
      <c r="C294" s="347"/>
      <c r="D294" s="347"/>
      <c r="E294" s="347"/>
      <c r="F294" s="380"/>
      <c r="G294" s="380"/>
      <c r="H294" s="380"/>
      <c r="I294" s="380"/>
      <c r="J294" s="380"/>
      <c r="K294" s="380"/>
      <c r="L294" s="380"/>
      <c r="M294" s="380"/>
      <c r="N294" s="380"/>
      <c r="O294" s="380"/>
    </row>
    <row r="295" spans="1:15" ht="15.75" customHeight="1"/>
    <row r="296" spans="1:15" ht="15.75" customHeight="1"/>
    <row r="297" spans="1:15" ht="15.75" customHeight="1"/>
    <row r="298" spans="1:15" ht="15.75" customHeight="1"/>
    <row r="299" spans="1:15" ht="15.75" customHeight="1"/>
    <row r="300" spans="1:15" ht="15.75" customHeight="1"/>
    <row r="301" spans="1:15" ht="15.75" customHeight="1"/>
    <row r="302" spans="1:15" ht="15.75" customHeight="1"/>
    <row r="303" spans="1:15" ht="15.75" customHeight="1"/>
    <row r="304" spans="1:1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B9:E9"/>
    <mergeCell ref="C11:E11"/>
    <mergeCell ref="C12:E12"/>
    <mergeCell ref="C13:E13"/>
    <mergeCell ref="C14:E14"/>
    <mergeCell ref="C15:E15"/>
    <mergeCell ref="C16:E16"/>
    <mergeCell ref="E26:E27"/>
    <mergeCell ref="F26:F27"/>
    <mergeCell ref="C17:E17"/>
    <mergeCell ref="C18:E18"/>
    <mergeCell ref="C19:E19"/>
    <mergeCell ref="C21:E21"/>
    <mergeCell ref="C22:E22"/>
    <mergeCell ref="C23:E23"/>
    <mergeCell ref="B26:D26"/>
    <mergeCell ref="B83:D83"/>
    <mergeCell ref="B89:D89"/>
    <mergeCell ref="C28:C29"/>
    <mergeCell ref="E28:E29"/>
    <mergeCell ref="F28:F29"/>
    <mergeCell ref="B31:D31"/>
    <mergeCell ref="B47:D47"/>
    <mergeCell ref="B54:D54"/>
    <mergeCell ref="B82:D82"/>
  </mergeCells>
  <conditionalFormatting sqref="C11:E14 C15">
    <cfRule type="containsBlanks" dxfId="214" priority="1">
      <formula>LEN(TRIM(C11))=0</formula>
    </cfRule>
  </conditionalFormatting>
  <conditionalFormatting sqref="C15">
    <cfRule type="containsBlanks" dxfId="213" priority="2">
      <formula>LEN(TRIM(C15))=0</formula>
    </cfRule>
  </conditionalFormatting>
  <conditionalFormatting sqref="C17">
    <cfRule type="containsBlanks" dxfId="212" priority="3">
      <formula>LEN(TRIM(C17))=0</formula>
    </cfRule>
  </conditionalFormatting>
  <conditionalFormatting sqref="C17">
    <cfRule type="containsBlanks" dxfId="211" priority="4">
      <formula>LEN(TRIM(C17))=0</formula>
    </cfRule>
  </conditionalFormatting>
  <conditionalFormatting sqref="C18">
    <cfRule type="containsBlanks" dxfId="210" priority="5">
      <formula>LEN(TRIM(C18))=0</formula>
    </cfRule>
  </conditionalFormatting>
  <conditionalFormatting sqref="C18">
    <cfRule type="containsBlanks" dxfId="209" priority="6">
      <formula>LEN(TRIM(C18))=0</formula>
    </cfRule>
  </conditionalFormatting>
  <conditionalFormatting sqref="C19">
    <cfRule type="containsBlanks" dxfId="208" priority="7">
      <formula>LEN(TRIM(C19))=0</formula>
    </cfRule>
  </conditionalFormatting>
  <conditionalFormatting sqref="C19">
    <cfRule type="containsBlanks" dxfId="207" priority="8">
      <formula>LEN(TRIM(C19))=0</formula>
    </cfRule>
  </conditionalFormatting>
  <conditionalFormatting sqref="C21">
    <cfRule type="containsBlanks" dxfId="206" priority="9">
      <formula>LEN(TRIM(C21))=0</formula>
    </cfRule>
  </conditionalFormatting>
  <conditionalFormatting sqref="C21">
    <cfRule type="containsBlanks" dxfId="205" priority="10">
      <formula>LEN(TRIM(C21))=0</formula>
    </cfRule>
  </conditionalFormatting>
  <conditionalFormatting sqref="C22">
    <cfRule type="containsBlanks" dxfId="204" priority="11">
      <formula>LEN(TRIM(C22))=0</formula>
    </cfRule>
  </conditionalFormatting>
  <conditionalFormatting sqref="C22">
    <cfRule type="containsBlanks" dxfId="203" priority="12">
      <formula>LEN(TRIM(C22))=0</formula>
    </cfRule>
  </conditionalFormatting>
  <conditionalFormatting sqref="C23">
    <cfRule type="containsBlanks" dxfId="202" priority="13">
      <formula>LEN(TRIM(C23))=0</formula>
    </cfRule>
  </conditionalFormatting>
  <conditionalFormatting sqref="C23">
    <cfRule type="containsBlanks" dxfId="201" priority="14">
      <formula>LEN(TRIM(C23))=0</formula>
    </cfRule>
  </conditionalFormatting>
  <conditionalFormatting sqref="C16">
    <cfRule type="containsBlanks" dxfId="200" priority="15">
      <formula>LEN(TRIM(C16))=0</formula>
    </cfRule>
  </conditionalFormatting>
  <conditionalFormatting sqref="C16">
    <cfRule type="containsBlanks" dxfId="199" priority="16">
      <formula>LEN(TRIM(C16))=0</formula>
    </cfRule>
  </conditionalFormatting>
  <conditionalFormatting sqref="G28">
    <cfRule type="cellIs" dxfId="198" priority="17" operator="equal">
      <formula>"FALSE"</formula>
    </cfRule>
  </conditionalFormatting>
  <conditionalFormatting sqref="G28">
    <cfRule type="cellIs" dxfId="197" priority="18" operator="equal">
      <formula>"FALSE"</formula>
    </cfRule>
  </conditionalFormatting>
  <conditionalFormatting sqref="G29">
    <cfRule type="cellIs" dxfId="196" priority="19" operator="equal">
      <formula>"FALSE"</formula>
    </cfRule>
  </conditionalFormatting>
  <conditionalFormatting sqref="C39:I39">
    <cfRule type="cellIs" dxfId="195" priority="20" operator="equal">
      <formula>0</formula>
    </cfRule>
  </conditionalFormatting>
  <conditionalFormatting sqref="C43:F43">
    <cfRule type="cellIs" dxfId="194" priority="21" operator="equal">
      <formula>0</formula>
    </cfRule>
  </conditionalFormatting>
  <conditionalFormatting sqref="C44:I44">
    <cfRule type="cellIs" dxfId="193" priority="22" operator="equal">
      <formula>0</formula>
    </cfRule>
  </conditionalFormatting>
  <conditionalFormatting sqref="C41:F41">
    <cfRule type="cellIs" dxfId="192" priority="23" operator="equal">
      <formula>0</formula>
    </cfRule>
  </conditionalFormatting>
  <conditionalFormatting sqref="D41:I41">
    <cfRule type="cellIs" dxfId="191" priority="24" operator="equal">
      <formula>0</formula>
    </cfRule>
  </conditionalFormatting>
  <conditionalFormatting sqref="E41:I41">
    <cfRule type="cellIs" dxfId="190" priority="25" operator="equal">
      <formula>0</formula>
    </cfRule>
  </conditionalFormatting>
  <conditionalFormatting sqref="F41">
    <cfRule type="cellIs" dxfId="189" priority="26" operator="equal">
      <formula>0</formula>
    </cfRule>
  </conditionalFormatting>
  <conditionalFormatting sqref="G41">
    <cfRule type="cellIs" dxfId="188" priority="27" operator="equal">
      <formula>0</formula>
    </cfRule>
  </conditionalFormatting>
  <conditionalFormatting sqref="H41">
    <cfRule type="cellIs" dxfId="187" priority="28" operator="equal">
      <formula>0</formula>
    </cfRule>
  </conditionalFormatting>
  <conditionalFormatting sqref="I41:N41">
    <cfRule type="cellIs" dxfId="186" priority="29" operator="equal">
      <formula>0</formula>
    </cfRule>
  </conditionalFormatting>
  <printOptions horizontalCentered="1" verticalCentered="1"/>
  <pageMargins left="0.23622047244094491" right="0.11811023622047245" top="0.11811023622047245" bottom="0.11811023622047245" header="0" footer="0"/>
  <pageSetup paperSize="9" fitToHeight="0" orientation="landscape"/>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SELECIONE O CONTRATANTE">
          <x14:formula1>
            <xm:f>CAMPUS.CONTRATANTE!$D$10:$D$21</xm:f>
          </x14:formula1>
          <xm:sqref>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Z1000"/>
  <sheetViews>
    <sheetView tabSelected="1" topLeftCell="A7" workbookViewId="0">
      <selection activeCell="H14" sqref="H14"/>
    </sheetView>
  </sheetViews>
  <sheetFormatPr defaultColWidth="14.42578125" defaultRowHeight="15" customHeight="1"/>
  <cols>
    <col min="1" max="1" width="1.7109375" customWidth="1"/>
    <col min="2" max="2" width="10.140625" customWidth="1"/>
    <col min="3" max="3" width="40" customWidth="1"/>
    <col min="4" max="4" width="18.42578125" customWidth="1"/>
    <col min="5" max="5" width="15.140625" customWidth="1"/>
    <col min="6" max="6" width="16.7109375" customWidth="1"/>
    <col min="7" max="7" width="15.5703125" customWidth="1"/>
    <col min="8" max="8" width="15.42578125" customWidth="1"/>
    <col min="9" max="9" width="16.28515625" customWidth="1"/>
    <col min="10" max="10" width="8.7109375" customWidth="1"/>
    <col min="11" max="11" width="17" customWidth="1"/>
    <col min="12" max="12" width="15.5703125" customWidth="1"/>
    <col min="13" max="13" width="25.7109375" customWidth="1"/>
    <col min="14" max="15" width="17.42578125" customWidth="1"/>
  </cols>
  <sheetData>
    <row r="1" spans="1:26" ht="30.75" customHeight="1">
      <c r="A1" s="482"/>
      <c r="B1" s="1047"/>
      <c r="C1" s="1007"/>
      <c r="D1" s="483"/>
      <c r="E1" s="484"/>
      <c r="F1" s="485"/>
      <c r="G1" s="485"/>
      <c r="H1" s="485"/>
      <c r="I1" s="485"/>
      <c r="J1" s="485"/>
      <c r="K1" s="485"/>
      <c r="L1" s="485"/>
      <c r="M1" s="485"/>
      <c r="N1" s="485"/>
      <c r="O1" s="485"/>
      <c r="P1" s="486"/>
      <c r="Q1" s="486"/>
      <c r="R1" s="486"/>
      <c r="S1" s="486"/>
      <c r="T1" s="486"/>
      <c r="U1" s="486"/>
      <c r="V1" s="486"/>
      <c r="W1" s="486"/>
      <c r="X1" s="486"/>
      <c r="Y1" s="486"/>
      <c r="Z1" s="486"/>
    </row>
    <row r="2" spans="1:26" ht="40.5" customHeight="1">
      <c r="A2" s="482" t="s">
        <v>318</v>
      </c>
      <c r="B2" s="1048" t="s">
        <v>319</v>
      </c>
      <c r="C2" s="977"/>
      <c r="D2" s="977"/>
      <c r="E2" s="977"/>
      <c r="F2" s="977"/>
      <c r="G2" s="977"/>
      <c r="H2" s="977"/>
      <c r="I2" s="977"/>
      <c r="J2" s="977"/>
      <c r="K2" s="977"/>
      <c r="L2" s="1007"/>
      <c r="M2" s="485"/>
      <c r="N2" s="485"/>
      <c r="O2" s="485"/>
      <c r="P2" s="486"/>
      <c r="Q2" s="486"/>
      <c r="R2" s="486"/>
      <c r="S2" s="486"/>
      <c r="T2" s="486"/>
      <c r="U2" s="486"/>
      <c r="V2" s="486"/>
      <c r="W2" s="486"/>
      <c r="X2" s="486"/>
      <c r="Y2" s="486"/>
      <c r="Z2" s="486"/>
    </row>
    <row r="3" spans="1:26" ht="34.5" customHeight="1">
      <c r="A3" s="482" t="s">
        <v>318</v>
      </c>
      <c r="B3" s="487"/>
      <c r="C3" s="482" t="s">
        <v>320</v>
      </c>
      <c r="D3" s="485"/>
      <c r="E3" s="485"/>
      <c r="F3" s="485"/>
      <c r="G3" s="485"/>
      <c r="H3" s="485"/>
      <c r="I3" s="485"/>
      <c r="J3" s="485"/>
      <c r="K3" s="485"/>
      <c r="L3" s="485"/>
      <c r="M3" s="485"/>
      <c r="N3" s="485"/>
      <c r="O3" s="485"/>
      <c r="P3" s="486"/>
      <c r="Q3" s="486"/>
      <c r="R3" s="486"/>
      <c r="S3" s="486"/>
      <c r="T3" s="486"/>
      <c r="U3" s="486"/>
      <c r="V3" s="486"/>
      <c r="W3" s="486"/>
      <c r="X3" s="486"/>
      <c r="Y3" s="486"/>
      <c r="Z3" s="486"/>
    </row>
    <row r="4" spans="1:26" ht="24.75" customHeight="1">
      <c r="A4" s="482" t="s">
        <v>318</v>
      </c>
      <c r="B4" s="1049" t="s">
        <v>321</v>
      </c>
      <c r="C4" s="1023"/>
      <c r="D4" s="1051" t="str">
        <f>'1-ABA-DE-CARREGAMENTO'!C14</f>
        <v xml:space="preserve">JULIO-DE-CASTILHOS </v>
      </c>
      <c r="E4" s="1051"/>
      <c r="F4" s="488"/>
      <c r="G4" s="488"/>
      <c r="H4" s="488"/>
      <c r="I4" s="488"/>
      <c r="J4" s="488"/>
      <c r="K4" s="488"/>
      <c r="L4" s="488"/>
      <c r="M4" s="485"/>
      <c r="N4" s="485"/>
      <c r="O4" s="485"/>
      <c r="P4" s="486"/>
      <c r="Q4" s="486"/>
      <c r="R4" s="486"/>
      <c r="S4" s="486"/>
      <c r="T4" s="486"/>
      <c r="U4" s="486"/>
      <c r="V4" s="486"/>
      <c r="W4" s="486"/>
      <c r="X4" s="486"/>
      <c r="Y4" s="486"/>
      <c r="Z4" s="486"/>
    </row>
    <row r="5" spans="1:26" ht="16.5" customHeight="1">
      <c r="A5" s="482" t="s">
        <v>318</v>
      </c>
      <c r="B5" s="486"/>
      <c r="C5" s="485"/>
      <c r="D5" s="489"/>
      <c r="E5" s="489"/>
      <c r="F5" s="489"/>
      <c r="G5" s="489"/>
      <c r="H5" s="489"/>
      <c r="I5" s="489"/>
      <c r="J5" s="489"/>
      <c r="K5" s="489"/>
      <c r="L5" s="489"/>
      <c r="M5" s="485"/>
      <c r="N5" s="485"/>
      <c r="O5" s="485"/>
      <c r="P5" s="486"/>
      <c r="Q5" s="486"/>
      <c r="R5" s="486"/>
      <c r="S5" s="486"/>
      <c r="T5" s="486"/>
      <c r="U5" s="486"/>
      <c r="V5" s="486"/>
      <c r="W5" s="486"/>
      <c r="X5" s="486"/>
      <c r="Y5" s="486"/>
      <c r="Z5" s="486"/>
    </row>
    <row r="6" spans="1:26" ht="20.25" customHeight="1">
      <c r="A6" s="482" t="s">
        <v>318</v>
      </c>
      <c r="B6" s="1039" t="s">
        <v>257</v>
      </c>
      <c r="C6" s="1040"/>
      <c r="D6" s="1050">
        <f>'1-ABA-DE-CARREGAMENTO'!C17</f>
        <v>0</v>
      </c>
      <c r="E6" s="1023"/>
      <c r="F6" s="1023"/>
      <c r="G6" s="1023"/>
      <c r="H6" s="490"/>
      <c r="I6" s="491" t="s">
        <v>322</v>
      </c>
      <c r="J6" s="1050">
        <f>'1-ABA-DE-CARREGAMENTO'!C18</f>
        <v>0</v>
      </c>
      <c r="K6" s="1023"/>
      <c r="L6" s="1023"/>
      <c r="M6" s="485"/>
      <c r="N6" s="485"/>
      <c r="O6" s="485"/>
      <c r="P6" s="486"/>
      <c r="Q6" s="486"/>
      <c r="R6" s="486"/>
      <c r="S6" s="486"/>
      <c r="T6" s="486"/>
      <c r="U6" s="486"/>
      <c r="V6" s="486"/>
      <c r="W6" s="486"/>
      <c r="X6" s="486"/>
      <c r="Y6" s="486"/>
      <c r="Z6" s="486"/>
    </row>
    <row r="7" spans="1:26" ht="20.25" customHeight="1">
      <c r="A7" s="482" t="s">
        <v>318</v>
      </c>
      <c r="B7" s="1039" t="s">
        <v>323</v>
      </c>
      <c r="C7" s="1023"/>
      <c r="D7" s="1038">
        <f>'1-ABA-DE-CARREGAMENTO'!C15</f>
        <v>0</v>
      </c>
      <c r="E7" s="1023"/>
      <c r="F7" s="1023"/>
      <c r="G7" s="1023"/>
      <c r="H7" s="1023"/>
      <c r="I7" s="1023"/>
      <c r="J7" s="1023"/>
      <c r="K7" s="1023"/>
      <c r="L7" s="1023"/>
      <c r="M7" s="485"/>
      <c r="N7" s="485"/>
      <c r="O7" s="485"/>
      <c r="P7" s="486"/>
      <c r="Q7" s="486"/>
      <c r="R7" s="486"/>
      <c r="S7" s="486"/>
      <c r="T7" s="486"/>
      <c r="U7" s="486"/>
      <c r="V7" s="486"/>
      <c r="W7" s="486"/>
      <c r="X7" s="486"/>
      <c r="Y7" s="486"/>
      <c r="Z7" s="486"/>
    </row>
    <row r="8" spans="1:26" ht="20.25" customHeight="1">
      <c r="A8" s="482" t="s">
        <v>318</v>
      </c>
      <c r="B8" s="1039" t="s">
        <v>324</v>
      </c>
      <c r="C8" s="1023"/>
      <c r="D8" s="1038">
        <f>'1-ABA-DE-CARREGAMENTO'!C19</f>
        <v>0</v>
      </c>
      <c r="E8" s="1023"/>
      <c r="F8" s="1023"/>
      <c r="G8" s="1023"/>
      <c r="H8" s="492"/>
      <c r="I8" s="1045"/>
      <c r="J8" s="1023"/>
      <c r="K8" s="1023"/>
      <c r="L8" s="1023"/>
      <c r="M8" s="485"/>
      <c r="N8" s="485"/>
      <c r="O8" s="485"/>
      <c r="P8" s="486"/>
      <c r="Q8" s="486"/>
      <c r="R8" s="486"/>
      <c r="S8" s="486"/>
      <c r="T8" s="486"/>
      <c r="U8" s="486"/>
      <c r="V8" s="486"/>
      <c r="W8" s="486"/>
      <c r="X8" s="486"/>
      <c r="Y8" s="486"/>
      <c r="Z8" s="486"/>
    </row>
    <row r="9" spans="1:26" ht="20.25" customHeight="1">
      <c r="A9" s="482" t="s">
        <v>318</v>
      </c>
      <c r="B9" s="1039" t="s">
        <v>325</v>
      </c>
      <c r="C9" s="1040"/>
      <c r="D9" s="1038">
        <f>'1-ABA-DE-CARREGAMENTO'!C21</f>
        <v>0</v>
      </c>
      <c r="E9" s="1023"/>
      <c r="F9" s="1023"/>
      <c r="G9" s="1023"/>
      <c r="H9" s="490"/>
      <c r="I9" s="491" t="s">
        <v>326</v>
      </c>
      <c r="J9" s="1046">
        <f>'1-ABA-DE-CARREGAMENTO'!C22</f>
        <v>0</v>
      </c>
      <c r="K9" s="1009"/>
      <c r="L9" s="1010"/>
      <c r="M9" s="485"/>
      <c r="N9" s="485"/>
      <c r="O9" s="485"/>
      <c r="P9" s="486"/>
      <c r="Q9" s="486"/>
      <c r="R9" s="486"/>
      <c r="S9" s="486"/>
      <c r="T9" s="486"/>
      <c r="U9" s="486"/>
      <c r="V9" s="486"/>
      <c r="W9" s="486"/>
      <c r="X9" s="486"/>
      <c r="Y9" s="486"/>
      <c r="Z9" s="486"/>
    </row>
    <row r="10" spans="1:26">
      <c r="A10" s="482" t="s">
        <v>318</v>
      </c>
      <c r="B10" s="1039" t="s">
        <v>327</v>
      </c>
      <c r="C10" s="1040"/>
      <c r="D10" s="1041">
        <f>'1-ABA-DE-CARREGAMENTO'!C16</f>
        <v>0</v>
      </c>
      <c r="E10" s="1023"/>
      <c r="F10" s="1023"/>
      <c r="G10" s="1023"/>
      <c r="H10" s="485"/>
      <c r="I10" s="485"/>
      <c r="J10" s="485"/>
      <c r="K10" s="485"/>
      <c r="L10" s="485"/>
      <c r="M10" s="485"/>
      <c r="N10" s="485"/>
      <c r="O10" s="485"/>
      <c r="P10" s="486"/>
      <c r="Q10" s="486"/>
      <c r="R10" s="486"/>
      <c r="S10" s="486"/>
      <c r="T10" s="486"/>
      <c r="U10" s="486"/>
      <c r="V10" s="486"/>
      <c r="W10" s="486"/>
      <c r="X10" s="486"/>
      <c r="Y10" s="486"/>
      <c r="Z10" s="486"/>
    </row>
    <row r="11" spans="1:26" ht="21.75" customHeight="1">
      <c r="A11" s="482" t="s">
        <v>318</v>
      </c>
      <c r="B11" s="486"/>
      <c r="C11" s="485"/>
      <c r="D11" s="485"/>
      <c r="E11" s="485"/>
      <c r="F11" s="485"/>
      <c r="G11" s="485"/>
      <c r="H11" s="485"/>
      <c r="I11" s="485"/>
      <c r="J11" s="485"/>
      <c r="K11" s="485"/>
      <c r="L11" s="485"/>
      <c r="M11" s="485"/>
      <c r="N11" s="485"/>
      <c r="O11" s="485"/>
      <c r="P11" s="486"/>
      <c r="Q11" s="486"/>
      <c r="R11" s="486"/>
      <c r="S11" s="486"/>
      <c r="T11" s="486"/>
      <c r="U11" s="486"/>
      <c r="V11" s="486"/>
      <c r="W11" s="486"/>
      <c r="X11" s="486"/>
      <c r="Y11" s="486"/>
      <c r="Z11" s="486"/>
    </row>
    <row r="12" spans="1:26" ht="21.75" customHeight="1">
      <c r="A12" s="482" t="s">
        <v>318</v>
      </c>
      <c r="B12" s="486"/>
      <c r="C12" s="1042" t="str">
        <f>'1-ABA-DE-CARREGAMENTO'!C11</f>
        <v xml:space="preserve"> S E R V I Ç O S     -   REFEITORIO_×_JARDINAGEM</v>
      </c>
      <c r="D12" s="1009"/>
      <c r="E12" s="1009"/>
      <c r="F12" s="1009"/>
      <c r="G12" s="1009"/>
      <c r="H12" s="1009"/>
      <c r="I12" s="1009"/>
      <c r="J12" s="1009"/>
      <c r="K12" s="1009"/>
      <c r="L12" s="1010"/>
      <c r="M12" s="485"/>
      <c r="N12" s="485"/>
      <c r="O12" s="485"/>
      <c r="P12" s="486"/>
      <c r="Q12" s="486"/>
      <c r="R12" s="486"/>
      <c r="S12" s="486"/>
      <c r="T12" s="486"/>
      <c r="U12" s="486"/>
      <c r="V12" s="486"/>
      <c r="W12" s="486"/>
      <c r="X12" s="486"/>
      <c r="Y12" s="486"/>
      <c r="Z12" s="486"/>
    </row>
    <row r="13" spans="1:26" ht="72" customHeight="1">
      <c r="A13" s="482" t="s">
        <v>318</v>
      </c>
      <c r="B13" s="493"/>
      <c r="C13" s="494" t="s">
        <v>328</v>
      </c>
      <c r="D13" s="495" t="s">
        <v>329</v>
      </c>
      <c r="E13" s="494" t="s">
        <v>330</v>
      </c>
      <c r="F13" s="494" t="s">
        <v>331</v>
      </c>
      <c r="G13" s="494" t="s">
        <v>332</v>
      </c>
      <c r="H13" s="496" t="s">
        <v>333</v>
      </c>
      <c r="I13" s="494" t="s">
        <v>334</v>
      </c>
      <c r="J13" s="497" t="s">
        <v>335</v>
      </c>
      <c r="K13" s="498" t="s">
        <v>336</v>
      </c>
      <c r="L13" s="494" t="s">
        <v>337</v>
      </c>
      <c r="M13" s="494" t="s">
        <v>338</v>
      </c>
      <c r="N13" s="485"/>
      <c r="O13" s="485"/>
      <c r="P13" s="486"/>
      <c r="Q13" s="486"/>
      <c r="R13" s="486"/>
      <c r="S13" s="486"/>
      <c r="T13" s="486"/>
      <c r="U13" s="486"/>
      <c r="V13" s="486"/>
      <c r="W13" s="486"/>
      <c r="X13" s="486"/>
      <c r="Y13" s="486"/>
      <c r="Z13" s="486"/>
    </row>
    <row r="14" spans="1:26" ht="33" customHeight="1">
      <c r="A14" s="482" t="s">
        <v>318</v>
      </c>
      <c r="B14" s="1043" t="s">
        <v>339</v>
      </c>
      <c r="C14" s="499" t="str">
        <f>'1-ABA-DE-CARREGAMENTO'!C33</f>
        <v>5132-05_COZINHEIRO_prepost_hs</v>
      </c>
      <c r="D14" s="500">
        <f>'1-ABA-DE-CARREGAMENTO'!C52</f>
        <v>200</v>
      </c>
      <c r="E14" s="501">
        <f>'1-ABA-DE-CARREGAMENTO'!C92</f>
        <v>1</v>
      </c>
      <c r="F14" s="501">
        <f>'1-ABA-DE-CARREGAMENTO'!C93</f>
        <v>1</v>
      </c>
      <c r="G14" s="502">
        <f>'5132-05_COZINHEIRO_prepost_hs'!J195</f>
        <v>5314.93</v>
      </c>
      <c r="H14" s="503">
        <f t="shared" ref="H14:H25" si="0">G14*F14</f>
        <v>5314.93</v>
      </c>
      <c r="I14" s="502">
        <f t="shared" ref="I14:I25" si="1">H14*E14</f>
        <v>5314.93</v>
      </c>
      <c r="J14" s="501">
        <f>'1-ABA-DE-CARREGAMENTO'!C94</f>
        <v>30</v>
      </c>
      <c r="K14" s="504">
        <f t="shared" ref="K14:K25" si="2">J14*E14</f>
        <v>30</v>
      </c>
      <c r="L14" s="502">
        <f t="shared" ref="L14:L25" si="3">I14*12</f>
        <v>63779.16</v>
      </c>
      <c r="M14" s="502">
        <f t="shared" ref="M14:M25" si="4">I14*J14</f>
        <v>159447.90000000002</v>
      </c>
      <c r="N14" s="505"/>
      <c r="O14" s="505"/>
      <c r="P14" s="486"/>
      <c r="Q14" s="486"/>
      <c r="R14" s="486"/>
      <c r="S14" s="486"/>
      <c r="T14" s="486"/>
      <c r="U14" s="486"/>
      <c r="V14" s="486"/>
      <c r="W14" s="486"/>
      <c r="X14" s="486"/>
      <c r="Y14" s="486"/>
      <c r="Z14" s="486"/>
    </row>
    <row r="15" spans="1:26" ht="33" customHeight="1">
      <c r="A15" s="482" t="s">
        <v>318</v>
      </c>
      <c r="B15" s="943"/>
      <c r="C15" s="499" t="str">
        <f>'1-ABA-DE-CARREGAMENTO'!D33</f>
        <v>5132-05_COZINHEIRO_geral_hs</v>
      </c>
      <c r="D15" s="506">
        <f>'1-ABA-DE-CARREGAMENTO'!D52</f>
        <v>200</v>
      </c>
      <c r="E15" s="501">
        <f>'1-ABA-DE-CARREGAMENTO'!D92</f>
        <v>3</v>
      </c>
      <c r="F15" s="501">
        <f>'1-ABA-DE-CARREGAMENTO'!D93</f>
        <v>1</v>
      </c>
      <c r="G15" s="507">
        <f>'5132-05_COZINHEIRO_geral_hs'!J195/F15</f>
        <v>4705.18</v>
      </c>
      <c r="H15" s="503">
        <f t="shared" si="0"/>
        <v>4705.18</v>
      </c>
      <c r="I15" s="502">
        <f t="shared" si="1"/>
        <v>14115.54</v>
      </c>
      <c r="J15" s="501">
        <f>'1-ABA-DE-CARREGAMENTO'!D94</f>
        <v>30</v>
      </c>
      <c r="K15" s="504">
        <f t="shared" si="2"/>
        <v>90</v>
      </c>
      <c r="L15" s="502">
        <f t="shared" si="3"/>
        <v>169386.48</v>
      </c>
      <c r="M15" s="502">
        <f t="shared" si="4"/>
        <v>423466.2</v>
      </c>
      <c r="N15" s="505"/>
      <c r="O15" s="505"/>
      <c r="P15" s="486"/>
      <c r="Q15" s="486"/>
      <c r="R15" s="486"/>
      <c r="S15" s="486"/>
      <c r="T15" s="486"/>
      <c r="U15" s="486"/>
      <c r="V15" s="486"/>
      <c r="W15" s="486"/>
      <c r="X15" s="486"/>
      <c r="Y15" s="486"/>
      <c r="Z15" s="486"/>
    </row>
    <row r="16" spans="1:26" ht="33" customHeight="1">
      <c r="A16" s="482" t="s">
        <v>318</v>
      </c>
      <c r="B16" s="943"/>
      <c r="C16" s="508" t="str">
        <f>'1-ABA-DE-CARREGAMENTO'!E33</f>
        <v>5135-05_AUX.COZINHA_hs</v>
      </c>
      <c r="D16" s="506">
        <f>'1-ABA-DE-CARREGAMENTO'!E52</f>
        <v>200</v>
      </c>
      <c r="E16" s="501">
        <f>'1-ABA-DE-CARREGAMENTO'!E92</f>
        <v>8</v>
      </c>
      <c r="F16" s="509">
        <f>'1-ABA-DE-CARREGAMENTO'!E93</f>
        <v>1</v>
      </c>
      <c r="G16" s="507">
        <f>'5135-05_AUX.COZINHA_hs'!J195/F16</f>
        <v>4533.2700000000004</v>
      </c>
      <c r="H16" s="503">
        <f t="shared" si="0"/>
        <v>4533.2700000000004</v>
      </c>
      <c r="I16" s="502">
        <f t="shared" si="1"/>
        <v>36266.160000000003</v>
      </c>
      <c r="J16" s="501">
        <f>'1-ABA-DE-CARREGAMENTO'!E94</f>
        <v>30</v>
      </c>
      <c r="K16" s="504">
        <f t="shared" si="2"/>
        <v>240</v>
      </c>
      <c r="L16" s="502">
        <f t="shared" si="3"/>
        <v>435193.92000000004</v>
      </c>
      <c r="M16" s="502">
        <f t="shared" si="4"/>
        <v>1087984.8</v>
      </c>
      <c r="N16" s="505"/>
      <c r="O16" s="505"/>
      <c r="P16" s="486"/>
      <c r="Q16" s="486"/>
      <c r="R16" s="486"/>
      <c r="S16" s="486"/>
      <c r="T16" s="486"/>
      <c r="U16" s="486"/>
      <c r="V16" s="486"/>
      <c r="W16" s="486"/>
      <c r="X16" s="486"/>
      <c r="Y16" s="486"/>
      <c r="Z16" s="486"/>
    </row>
    <row r="17" spans="1:26" ht="33" customHeight="1">
      <c r="A17" s="482"/>
      <c r="B17" s="943"/>
      <c r="C17" s="508" t="str">
        <f>'1-ABA-DE-CARREGAMENTO'!F33</f>
        <v>6220-10_JARDINEIRO_hs</v>
      </c>
      <c r="D17" s="506">
        <f>'1-ABA-DE-CARREGAMENTO'!F52</f>
        <v>220</v>
      </c>
      <c r="E17" s="501">
        <f>'1-ABA-DE-CARREGAMENTO'!F92</f>
        <v>0</v>
      </c>
      <c r="F17" s="509">
        <f>'1-ABA-DE-CARREGAMENTO'!F93</f>
        <v>1</v>
      </c>
      <c r="G17" s="507">
        <f>'2020-10_JARDINEIRO_hs-'!J195/F17</f>
        <v>4436.3</v>
      </c>
      <c r="H17" s="503">
        <f t="shared" si="0"/>
        <v>4436.3</v>
      </c>
      <c r="I17" s="502">
        <f t="shared" si="1"/>
        <v>0</v>
      </c>
      <c r="J17" s="501">
        <f>'1-ABA-DE-CARREGAMENTO'!F94</f>
        <v>30</v>
      </c>
      <c r="K17" s="504">
        <f t="shared" si="2"/>
        <v>0</v>
      </c>
      <c r="L17" s="502">
        <f t="shared" si="3"/>
        <v>0</v>
      </c>
      <c r="M17" s="502">
        <f t="shared" si="4"/>
        <v>0</v>
      </c>
      <c r="N17" s="505"/>
      <c r="O17" s="505"/>
      <c r="P17" s="486"/>
      <c r="Q17" s="486"/>
      <c r="R17" s="486"/>
      <c r="S17" s="486"/>
      <c r="T17" s="486"/>
      <c r="U17" s="486"/>
      <c r="V17" s="486"/>
      <c r="W17" s="486"/>
      <c r="X17" s="486"/>
      <c r="Y17" s="486"/>
      <c r="Z17" s="486"/>
    </row>
    <row r="18" spans="1:26" ht="33" hidden="1" customHeight="1">
      <c r="A18" s="482"/>
      <c r="B18" s="943"/>
      <c r="C18" s="508" t="str">
        <f>'1-ABA-DE-CARREGAMENTO'!G33</f>
        <v>A NÃO TEM MAIS POSTOS-22</v>
      </c>
      <c r="D18" s="510">
        <f>'1-ABA-DE-CARREGAMENTO'!G52</f>
        <v>220</v>
      </c>
      <c r="E18" s="501">
        <f>'1-ABA-DE-CARREGAMENTO'!G92</f>
        <v>0</v>
      </c>
      <c r="F18" s="509">
        <f>'1-ABA-DE-CARREGAMENTO'!G93</f>
        <v>1</v>
      </c>
      <c r="G18" s="507" t="e">
        <f>'A NÃO TEM MAIS POSTOS-11'!J195/F18</f>
        <v>#REF!</v>
      </c>
      <c r="H18" s="503" t="e">
        <f t="shared" si="0"/>
        <v>#REF!</v>
      </c>
      <c r="I18" s="502" t="e">
        <f t="shared" si="1"/>
        <v>#REF!</v>
      </c>
      <c r="J18" s="501">
        <f>'1-ABA-DE-CARREGAMENTO'!G94</f>
        <v>30</v>
      </c>
      <c r="K18" s="504">
        <f t="shared" si="2"/>
        <v>0</v>
      </c>
      <c r="L18" s="502" t="e">
        <f t="shared" si="3"/>
        <v>#REF!</v>
      </c>
      <c r="M18" s="502" t="e">
        <f t="shared" si="4"/>
        <v>#REF!</v>
      </c>
      <c r="N18" s="505"/>
      <c r="O18" s="505"/>
      <c r="P18" s="486"/>
      <c r="Q18" s="486"/>
      <c r="R18" s="486"/>
      <c r="S18" s="486"/>
      <c r="T18" s="486"/>
      <c r="U18" s="486"/>
      <c r="V18" s="486"/>
      <c r="W18" s="486"/>
      <c r="X18" s="486"/>
      <c r="Y18" s="486"/>
      <c r="Z18" s="486"/>
    </row>
    <row r="19" spans="1:26" ht="33" hidden="1" customHeight="1">
      <c r="A19" s="482"/>
      <c r="B19" s="943"/>
      <c r="C19" s="508" t="str">
        <f>'1-ABA-DE-CARREGAMENTO'!H33</f>
        <v>A NÃO TEM MAIS POSTOS-33</v>
      </c>
      <c r="D19" s="510">
        <f>'1-ABA-DE-CARREGAMENTO'!H52</f>
        <v>220</v>
      </c>
      <c r="E19" s="501">
        <f>'1-ABA-DE-CARREGAMENTO'!H92</f>
        <v>0</v>
      </c>
      <c r="F19" s="509">
        <f>'1-ABA-DE-CARREGAMENTO'!H93</f>
        <v>1</v>
      </c>
      <c r="G19" s="507" t="e">
        <f>'A NÃO TEM MAIS POSTOS-33'!J195/F19</f>
        <v>#REF!</v>
      </c>
      <c r="H19" s="503" t="e">
        <f t="shared" si="0"/>
        <v>#REF!</v>
      </c>
      <c r="I19" s="502" t="e">
        <f t="shared" si="1"/>
        <v>#REF!</v>
      </c>
      <c r="J19" s="501">
        <f>'1-ABA-DE-CARREGAMENTO'!H94</f>
        <v>30</v>
      </c>
      <c r="K19" s="504">
        <f t="shared" si="2"/>
        <v>0</v>
      </c>
      <c r="L19" s="502" t="e">
        <f t="shared" si="3"/>
        <v>#REF!</v>
      </c>
      <c r="M19" s="502" t="e">
        <f t="shared" si="4"/>
        <v>#REF!</v>
      </c>
      <c r="N19" s="505"/>
      <c r="O19" s="505"/>
      <c r="P19" s="486"/>
      <c r="Q19" s="486"/>
      <c r="R19" s="486"/>
      <c r="S19" s="486"/>
      <c r="T19" s="486"/>
      <c r="U19" s="486"/>
      <c r="V19" s="486"/>
      <c r="W19" s="486"/>
      <c r="X19" s="486"/>
      <c r="Y19" s="486"/>
      <c r="Z19" s="486"/>
    </row>
    <row r="20" spans="1:26" ht="33" hidden="1" customHeight="1">
      <c r="A20" s="482" t="s">
        <v>318</v>
      </c>
      <c r="B20" s="943"/>
      <c r="C20" s="508" t="str">
        <f>'1-ABA-DE-CARREGAMENTO'!I33</f>
        <v>A NÃO TEM MAIS POSTOS-44</v>
      </c>
      <c r="D20" s="510">
        <f>'1-ABA-DE-CARREGAMENTO'!I52</f>
        <v>220</v>
      </c>
      <c r="E20" s="501">
        <f>'1-ABA-DE-CARREGAMENTO'!I92</f>
        <v>0</v>
      </c>
      <c r="F20" s="509">
        <f>'1-ABA-DE-CARREGAMENTO'!I93</f>
        <v>1</v>
      </c>
      <c r="G20" s="507" t="e">
        <f>'A NÃO TEM MAIS POSTOS-44'!J195/F20</f>
        <v>#REF!</v>
      </c>
      <c r="H20" s="503" t="e">
        <f t="shared" si="0"/>
        <v>#REF!</v>
      </c>
      <c r="I20" s="502" t="e">
        <f t="shared" si="1"/>
        <v>#REF!</v>
      </c>
      <c r="J20" s="501">
        <f>'1-ABA-DE-CARREGAMENTO'!I94</f>
        <v>30</v>
      </c>
      <c r="K20" s="504">
        <f t="shared" si="2"/>
        <v>0</v>
      </c>
      <c r="L20" s="502" t="e">
        <f t="shared" si="3"/>
        <v>#REF!</v>
      </c>
      <c r="M20" s="502" t="e">
        <f t="shared" si="4"/>
        <v>#REF!</v>
      </c>
      <c r="N20" s="505"/>
      <c r="O20" s="505"/>
      <c r="P20" s="486"/>
      <c r="Q20" s="486"/>
      <c r="R20" s="486"/>
      <c r="S20" s="486"/>
      <c r="T20" s="486"/>
      <c r="U20" s="486"/>
      <c r="V20" s="486"/>
      <c r="W20" s="486"/>
      <c r="X20" s="486"/>
      <c r="Y20" s="486"/>
      <c r="Z20" s="486"/>
    </row>
    <row r="21" spans="1:26" ht="33" hidden="1" customHeight="1">
      <c r="A21" s="482" t="s">
        <v>318</v>
      </c>
      <c r="B21" s="943"/>
      <c r="C21" s="508" t="str">
        <f>'1-ABA-DE-CARREGAMENTO'!J33</f>
        <v>A NÃO TEM MAIS POSTOS-55</v>
      </c>
      <c r="D21" s="510">
        <f>'1-ABA-DE-CARREGAMENTO'!J52</f>
        <v>220</v>
      </c>
      <c r="E21" s="501">
        <f>'1-ABA-DE-CARREGAMENTO'!J92</f>
        <v>0</v>
      </c>
      <c r="F21" s="509">
        <f>'1-ABA-DE-CARREGAMENTO'!J93</f>
        <v>1</v>
      </c>
      <c r="G21" s="507">
        <f>'A NAO TEM MAIS POSTO 55'!J195/F21</f>
        <v>9213.86</v>
      </c>
      <c r="H21" s="503">
        <f t="shared" si="0"/>
        <v>9213.86</v>
      </c>
      <c r="I21" s="502">
        <f t="shared" si="1"/>
        <v>0</v>
      </c>
      <c r="J21" s="501">
        <f>'1-ABA-DE-CARREGAMENTO'!J94</f>
        <v>30</v>
      </c>
      <c r="K21" s="504">
        <f t="shared" si="2"/>
        <v>0</v>
      </c>
      <c r="L21" s="502">
        <f t="shared" si="3"/>
        <v>0</v>
      </c>
      <c r="M21" s="502">
        <f t="shared" si="4"/>
        <v>0</v>
      </c>
      <c r="N21" s="486"/>
      <c r="O21" s="486"/>
      <c r="P21" s="486"/>
      <c r="Q21" s="486"/>
      <c r="R21" s="486"/>
      <c r="S21" s="486"/>
      <c r="T21" s="486"/>
      <c r="U21" s="486"/>
      <c r="V21" s="486"/>
      <c r="W21" s="486"/>
      <c r="X21" s="486"/>
      <c r="Y21" s="486"/>
      <c r="Z21" s="486"/>
    </row>
    <row r="22" spans="1:26" ht="33" hidden="1" customHeight="1">
      <c r="A22" s="482"/>
      <c r="B22" s="943"/>
      <c r="C22" s="508" t="str">
        <f>'1-ABA-DE-CARREGAMENTO'!K33</f>
        <v>A NÃO TEM MAIS POSTOS-66</v>
      </c>
      <c r="D22" s="510">
        <f>'1-ABA-DE-CARREGAMENTO'!K52</f>
        <v>220</v>
      </c>
      <c r="E22" s="501">
        <f>'1-ABA-DE-CARREGAMENTO'!K92</f>
        <v>0</v>
      </c>
      <c r="F22" s="509">
        <f>'1-ABA-DE-CARREGAMENTO'!K93</f>
        <v>1</v>
      </c>
      <c r="G22" s="507">
        <f>'A NAO TEM MAIS POSTO 66'!J195/F22</f>
        <v>9213.86</v>
      </c>
      <c r="H22" s="503">
        <f t="shared" si="0"/>
        <v>9213.86</v>
      </c>
      <c r="I22" s="502">
        <f t="shared" si="1"/>
        <v>0</v>
      </c>
      <c r="J22" s="501">
        <f>'1-ABA-DE-CARREGAMENTO'!K94</f>
        <v>30</v>
      </c>
      <c r="K22" s="504">
        <f t="shared" si="2"/>
        <v>0</v>
      </c>
      <c r="L22" s="502">
        <f t="shared" si="3"/>
        <v>0</v>
      </c>
      <c r="M22" s="502">
        <f t="shared" si="4"/>
        <v>0</v>
      </c>
      <c r="N22" s="505"/>
      <c r="O22" s="505"/>
      <c r="P22" s="486"/>
      <c r="Q22" s="486"/>
      <c r="R22" s="486"/>
      <c r="S22" s="486"/>
      <c r="T22" s="486"/>
      <c r="U22" s="486"/>
      <c r="V22" s="486"/>
      <c r="W22" s="486"/>
      <c r="X22" s="486"/>
      <c r="Y22" s="486"/>
      <c r="Z22" s="486"/>
    </row>
    <row r="23" spans="1:26" ht="33" hidden="1" customHeight="1">
      <c r="A23" s="482"/>
      <c r="B23" s="943"/>
      <c r="C23" s="508" t="str">
        <f>'1-ABA-DE-CARREGAMENTO'!L33</f>
        <v>A NÃO TEM MAIS POSTOS-77</v>
      </c>
      <c r="D23" s="510">
        <f>'1-ABA-DE-CARREGAMENTO'!L52</f>
        <v>220</v>
      </c>
      <c r="E23" s="501">
        <f>'1-ABA-DE-CARREGAMENTO'!L92</f>
        <v>0</v>
      </c>
      <c r="F23" s="509">
        <f>'1-ABA-DE-CARREGAMENTO'!L93</f>
        <v>1</v>
      </c>
      <c r="G23" s="507">
        <f>'A NAO TEM MAIS POSTO 77'!J195/F23</f>
        <v>4923.2800000000007</v>
      </c>
      <c r="H23" s="503">
        <f t="shared" si="0"/>
        <v>4923.2800000000007</v>
      </c>
      <c r="I23" s="502">
        <f t="shared" si="1"/>
        <v>0</v>
      </c>
      <c r="J23" s="501">
        <f>'1-ABA-DE-CARREGAMENTO'!L94</f>
        <v>30</v>
      </c>
      <c r="K23" s="504">
        <f t="shared" si="2"/>
        <v>0</v>
      </c>
      <c r="L23" s="502">
        <f t="shared" si="3"/>
        <v>0</v>
      </c>
      <c r="M23" s="502">
        <f t="shared" si="4"/>
        <v>0</v>
      </c>
      <c r="N23" s="505"/>
      <c r="O23" s="505"/>
      <c r="P23" s="486"/>
      <c r="Q23" s="486"/>
      <c r="R23" s="486"/>
      <c r="S23" s="486"/>
      <c r="T23" s="486"/>
      <c r="U23" s="486"/>
      <c r="V23" s="486"/>
      <c r="W23" s="486"/>
      <c r="X23" s="486"/>
      <c r="Y23" s="486"/>
      <c r="Z23" s="486"/>
    </row>
    <row r="24" spans="1:26" ht="33" hidden="1" customHeight="1">
      <c r="A24" s="482" t="s">
        <v>318</v>
      </c>
      <c r="B24" s="943"/>
      <c r="C24" s="508" t="str">
        <f>'1-ABA-DE-CARREGAMENTO'!M33</f>
        <v>A NÃO TEM MAIS POSTOS-88</v>
      </c>
      <c r="D24" s="510">
        <f>'1-ABA-DE-CARREGAMENTO'!M52</f>
        <v>220</v>
      </c>
      <c r="E24" s="501">
        <f>'1-ABA-DE-CARREGAMENTO'!M92</f>
        <v>0</v>
      </c>
      <c r="F24" s="509">
        <f>'1-ABA-DE-CARREGAMENTO'!M93</f>
        <v>1</v>
      </c>
      <c r="G24" s="507">
        <f>'A NÃO TEM MAIS POSTOS-88'!J195/F24</f>
        <v>0.22999999999999998</v>
      </c>
      <c r="H24" s="503">
        <f t="shared" si="0"/>
        <v>0.22999999999999998</v>
      </c>
      <c r="I24" s="502">
        <f t="shared" si="1"/>
        <v>0</v>
      </c>
      <c r="J24" s="501">
        <f>'1-ABA-DE-CARREGAMENTO'!M94</f>
        <v>30</v>
      </c>
      <c r="K24" s="504">
        <f t="shared" si="2"/>
        <v>0</v>
      </c>
      <c r="L24" s="502">
        <f t="shared" si="3"/>
        <v>0</v>
      </c>
      <c r="M24" s="502">
        <f t="shared" si="4"/>
        <v>0</v>
      </c>
      <c r="N24" s="505"/>
      <c r="O24" s="505"/>
      <c r="P24" s="486"/>
      <c r="Q24" s="486"/>
      <c r="R24" s="486"/>
      <c r="S24" s="486"/>
      <c r="T24" s="486"/>
      <c r="U24" s="486"/>
      <c r="V24" s="486"/>
      <c r="W24" s="486"/>
      <c r="X24" s="486"/>
      <c r="Y24" s="486"/>
      <c r="Z24" s="486"/>
    </row>
    <row r="25" spans="1:26" ht="33" hidden="1" customHeight="1">
      <c r="A25" s="482" t="s">
        <v>318</v>
      </c>
      <c r="B25" s="943"/>
      <c r="C25" s="508" t="str">
        <f>'1-ABA-DE-CARREGAMENTO'!N33</f>
        <v>A NÃO TEM MAIS POSTOS-99</v>
      </c>
      <c r="D25" s="510">
        <f>'1-ABA-DE-CARREGAMENTO'!N52</f>
        <v>220</v>
      </c>
      <c r="E25" s="501">
        <f>'1-ABA-DE-CARREGAMENTO'!N92</f>
        <v>0</v>
      </c>
      <c r="F25" s="509">
        <f>'1-ABA-DE-CARREGAMENTO'!N93</f>
        <v>1</v>
      </c>
      <c r="G25" s="507">
        <f>'A NÃO TEM MAIS POSTOS-99'!J195/F25</f>
        <v>0.22999999999999998</v>
      </c>
      <c r="H25" s="503">
        <f t="shared" si="0"/>
        <v>0.22999999999999998</v>
      </c>
      <c r="I25" s="502">
        <f t="shared" si="1"/>
        <v>0</v>
      </c>
      <c r="J25" s="501">
        <f>'1-ABA-DE-CARREGAMENTO'!N94</f>
        <v>30</v>
      </c>
      <c r="K25" s="502">
        <f t="shared" si="2"/>
        <v>0</v>
      </c>
      <c r="L25" s="502">
        <f t="shared" si="3"/>
        <v>0</v>
      </c>
      <c r="M25" s="502">
        <f t="shared" si="4"/>
        <v>0</v>
      </c>
      <c r="N25" s="505"/>
      <c r="O25" s="505"/>
      <c r="P25" s="486"/>
      <c r="Q25" s="486"/>
      <c r="R25" s="486"/>
      <c r="S25" s="486"/>
      <c r="T25" s="486"/>
      <c r="U25" s="486"/>
      <c r="V25" s="486"/>
      <c r="W25" s="486"/>
      <c r="X25" s="486"/>
      <c r="Y25" s="486"/>
      <c r="Z25" s="486"/>
    </row>
    <row r="26" spans="1:26" ht="34.5" customHeight="1">
      <c r="A26" s="482" t="s">
        <v>318</v>
      </c>
      <c r="B26" s="1044"/>
      <c r="C26" s="511" t="s">
        <v>340</v>
      </c>
      <c r="D26" s="511"/>
      <c r="E26" s="512">
        <f>SUM(E14:E25)</f>
        <v>12</v>
      </c>
      <c r="F26" s="513"/>
      <c r="G26" s="514"/>
      <c r="H26" s="514"/>
      <c r="I26" s="515">
        <f>SUBTOTAL(9,I14:I17)</f>
        <v>55696.630000000005</v>
      </c>
      <c r="J26" s="516"/>
      <c r="K26" s="517"/>
      <c r="L26" s="515">
        <f t="shared" ref="L26:M26" si="5">SUBTOTAL(9,L14:L17)</f>
        <v>668359.56000000006</v>
      </c>
      <c r="M26" s="515">
        <f t="shared" si="5"/>
        <v>1670898.9000000001</v>
      </c>
      <c r="N26" s="518"/>
      <c r="O26" s="518"/>
      <c r="P26" s="486"/>
      <c r="Q26" s="486"/>
      <c r="R26" s="486"/>
      <c r="S26" s="486"/>
      <c r="T26" s="486"/>
      <c r="U26" s="486"/>
      <c r="V26" s="486"/>
      <c r="W26" s="486"/>
      <c r="X26" s="486"/>
      <c r="Y26" s="486"/>
      <c r="Z26" s="486"/>
    </row>
    <row r="27" spans="1:26" ht="27.75" customHeight="1">
      <c r="A27" s="482" t="s">
        <v>318</v>
      </c>
      <c r="B27" s="487"/>
      <c r="C27" s="519"/>
      <c r="D27" s="519"/>
      <c r="E27" s="520"/>
      <c r="F27" s="520"/>
      <c r="G27" s="519"/>
      <c r="H27" s="519"/>
      <c r="I27" s="521"/>
      <c r="J27" s="521"/>
      <c r="K27" s="521"/>
      <c r="L27" s="521"/>
      <c r="M27" s="485"/>
      <c r="N27" s="485"/>
      <c r="O27" s="485"/>
      <c r="P27" s="486"/>
      <c r="Q27" s="486"/>
      <c r="R27" s="486"/>
      <c r="S27" s="486"/>
      <c r="T27" s="486"/>
      <c r="U27" s="486"/>
      <c r="V27" s="486"/>
      <c r="W27" s="486"/>
      <c r="X27" s="486"/>
      <c r="Y27" s="486"/>
      <c r="Z27" s="486"/>
    </row>
    <row r="28" spans="1:26" ht="15.75" customHeight="1">
      <c r="A28" s="482"/>
      <c r="B28" s="486"/>
      <c r="C28" s="485"/>
      <c r="D28" s="485"/>
      <c r="E28" s="485"/>
      <c r="F28" s="485"/>
      <c r="G28" s="485"/>
      <c r="H28" s="485"/>
      <c r="I28" s="485"/>
      <c r="J28" s="485"/>
      <c r="K28" s="485"/>
      <c r="L28" s="485"/>
      <c r="M28" s="485"/>
      <c r="N28" s="485"/>
      <c r="O28" s="485"/>
      <c r="P28" s="486"/>
      <c r="Q28" s="486"/>
      <c r="R28" s="486"/>
      <c r="S28" s="486"/>
      <c r="T28" s="486"/>
      <c r="U28" s="486"/>
      <c r="V28" s="486"/>
      <c r="W28" s="486"/>
      <c r="X28" s="486"/>
      <c r="Y28" s="486"/>
      <c r="Z28" s="486"/>
    </row>
    <row r="29" spans="1:26" ht="15.75" customHeight="1">
      <c r="A29" s="482"/>
      <c r="B29" s="486"/>
      <c r="C29" s="485"/>
      <c r="D29" s="485"/>
      <c r="E29" s="485"/>
      <c r="F29" s="485"/>
      <c r="G29" s="485"/>
      <c r="H29" s="485"/>
      <c r="I29" s="485"/>
      <c r="J29" s="485"/>
      <c r="K29" s="485"/>
      <c r="L29" s="485"/>
      <c r="M29" s="485"/>
      <c r="N29" s="485"/>
      <c r="O29" s="485"/>
      <c r="P29" s="486"/>
      <c r="Q29" s="486"/>
      <c r="R29" s="486"/>
      <c r="S29" s="486"/>
      <c r="T29" s="486"/>
      <c r="U29" s="486"/>
      <c r="V29" s="486"/>
      <c r="W29" s="486"/>
      <c r="X29" s="486"/>
      <c r="Y29" s="486"/>
      <c r="Z29" s="486"/>
    </row>
    <row r="30" spans="1:26" ht="15.75" customHeight="1">
      <c r="A30" s="482"/>
      <c r="B30" s="486"/>
      <c r="C30" s="485"/>
      <c r="D30" s="485"/>
      <c r="E30" s="485"/>
      <c r="F30" s="485"/>
      <c r="G30" s="485"/>
      <c r="H30" s="485"/>
      <c r="I30" s="485"/>
      <c r="J30" s="485"/>
      <c r="K30" s="485"/>
      <c r="L30" s="485"/>
      <c r="M30" s="485"/>
      <c r="N30" s="485"/>
      <c r="O30" s="485"/>
      <c r="P30" s="486"/>
      <c r="Q30" s="486"/>
      <c r="R30" s="486"/>
      <c r="S30" s="486"/>
      <c r="T30" s="486"/>
      <c r="U30" s="486"/>
      <c r="V30" s="486"/>
      <c r="W30" s="486"/>
      <c r="X30" s="486"/>
      <c r="Y30" s="486"/>
      <c r="Z30" s="486"/>
    </row>
    <row r="31" spans="1:26" ht="15.75" customHeight="1">
      <c r="A31" s="482"/>
      <c r="B31" s="486"/>
      <c r="C31" s="485"/>
      <c r="D31" s="485"/>
      <c r="E31" s="485"/>
      <c r="F31" s="485"/>
      <c r="G31" s="485"/>
      <c r="H31" s="485"/>
      <c r="I31" s="485"/>
      <c r="J31" s="485"/>
      <c r="K31" s="485"/>
      <c r="L31" s="485"/>
      <c r="M31" s="485"/>
      <c r="N31" s="485"/>
      <c r="O31" s="485"/>
      <c r="P31" s="486"/>
      <c r="Q31" s="486"/>
      <c r="R31" s="486"/>
      <c r="S31" s="486"/>
      <c r="T31" s="486"/>
      <c r="U31" s="486"/>
      <c r="V31" s="486"/>
      <c r="W31" s="486"/>
      <c r="X31" s="486"/>
      <c r="Y31" s="486"/>
      <c r="Z31" s="486"/>
    </row>
    <row r="32" spans="1:26" ht="15.75" customHeight="1">
      <c r="A32" s="482"/>
      <c r="B32" s="486"/>
      <c r="C32" s="485"/>
      <c r="D32" s="485"/>
      <c r="E32" s="485"/>
      <c r="F32" s="485"/>
      <c r="G32" s="485"/>
      <c r="H32" s="485"/>
      <c r="I32" s="485"/>
      <c r="J32" s="485"/>
      <c r="K32" s="485"/>
      <c r="L32" s="485"/>
      <c r="M32" s="485"/>
      <c r="N32" s="485"/>
      <c r="O32" s="485"/>
      <c r="P32" s="486"/>
      <c r="Q32" s="486"/>
      <c r="R32" s="486"/>
      <c r="S32" s="486"/>
      <c r="T32" s="486"/>
      <c r="U32" s="486"/>
      <c r="V32" s="486"/>
      <c r="W32" s="486"/>
      <c r="X32" s="486"/>
      <c r="Y32" s="486"/>
      <c r="Z32" s="486"/>
    </row>
    <row r="33" spans="1:26" ht="15.75" customHeight="1">
      <c r="A33" s="482"/>
      <c r="B33" s="486"/>
      <c r="C33" s="485"/>
      <c r="D33" s="485"/>
      <c r="E33" s="485"/>
      <c r="F33" s="485"/>
      <c r="G33" s="485"/>
      <c r="H33" s="485"/>
      <c r="I33" s="485"/>
      <c r="J33" s="485"/>
      <c r="K33" s="485"/>
      <c r="L33" s="485"/>
      <c r="M33" s="485"/>
      <c r="N33" s="485"/>
      <c r="O33" s="485"/>
      <c r="P33" s="486"/>
      <c r="Q33" s="486"/>
      <c r="R33" s="486"/>
      <c r="S33" s="486"/>
      <c r="T33" s="486"/>
      <c r="U33" s="486"/>
      <c r="V33" s="486"/>
      <c r="W33" s="486"/>
      <c r="X33" s="486"/>
      <c r="Y33" s="486"/>
      <c r="Z33" s="486"/>
    </row>
    <row r="34" spans="1:26" ht="15.75" customHeight="1">
      <c r="A34" s="482"/>
      <c r="B34" s="486"/>
      <c r="C34" s="485"/>
      <c r="D34" s="485"/>
      <c r="E34" s="485"/>
      <c r="F34" s="485"/>
      <c r="G34" s="485"/>
      <c r="H34" s="485"/>
      <c r="I34" s="485"/>
      <c r="J34" s="485"/>
      <c r="K34" s="485"/>
      <c r="L34" s="485"/>
      <c r="M34" s="485"/>
      <c r="N34" s="485"/>
      <c r="O34" s="485"/>
      <c r="P34" s="486"/>
      <c r="Q34" s="486"/>
      <c r="R34" s="486"/>
      <c r="S34" s="486"/>
      <c r="T34" s="486"/>
      <c r="U34" s="486"/>
      <c r="V34" s="486"/>
      <c r="W34" s="486"/>
      <c r="X34" s="486"/>
      <c r="Y34" s="486"/>
      <c r="Z34" s="486"/>
    </row>
    <row r="35" spans="1:26" ht="15.75" customHeight="1">
      <c r="A35" s="482"/>
      <c r="B35" s="486"/>
      <c r="C35" s="485"/>
      <c r="D35" s="485"/>
      <c r="E35" s="485"/>
      <c r="F35" s="485"/>
      <c r="G35" s="485"/>
      <c r="H35" s="485"/>
      <c r="I35" s="485"/>
      <c r="J35" s="485"/>
      <c r="K35" s="485"/>
      <c r="L35" s="485"/>
      <c r="M35" s="485"/>
      <c r="N35" s="485"/>
      <c r="O35" s="485"/>
      <c r="P35" s="486"/>
      <c r="Q35" s="486"/>
      <c r="R35" s="486"/>
      <c r="S35" s="486"/>
      <c r="T35" s="486"/>
      <c r="U35" s="486"/>
      <c r="V35" s="486"/>
      <c r="W35" s="486"/>
      <c r="X35" s="486"/>
      <c r="Y35" s="486"/>
      <c r="Z35" s="486"/>
    </row>
    <row r="36" spans="1:26" ht="15.75" customHeight="1">
      <c r="A36" s="482"/>
      <c r="B36" s="486"/>
      <c r="C36" s="485"/>
      <c r="D36" s="485"/>
      <c r="E36" s="485"/>
      <c r="F36" s="485"/>
      <c r="G36" s="485"/>
      <c r="H36" s="485"/>
      <c r="I36" s="485"/>
      <c r="J36" s="485"/>
      <c r="K36" s="485"/>
      <c r="L36" s="485"/>
      <c r="M36" s="485"/>
      <c r="N36" s="485"/>
      <c r="O36" s="485"/>
      <c r="P36" s="486"/>
      <c r="Q36" s="486"/>
      <c r="R36" s="486"/>
      <c r="S36" s="486"/>
      <c r="T36" s="486"/>
      <c r="U36" s="486"/>
      <c r="V36" s="486"/>
      <c r="W36" s="486"/>
      <c r="X36" s="486"/>
      <c r="Y36" s="486"/>
      <c r="Z36" s="486"/>
    </row>
    <row r="37" spans="1:26" ht="15.75" customHeight="1">
      <c r="A37" s="482"/>
      <c r="B37" s="486"/>
      <c r="C37" s="485"/>
      <c r="D37" s="485"/>
      <c r="E37" s="485"/>
      <c r="F37" s="485"/>
      <c r="G37" s="485"/>
      <c r="H37" s="485"/>
      <c r="I37" s="485"/>
      <c r="J37" s="485"/>
      <c r="K37" s="485"/>
      <c r="L37" s="485"/>
      <c r="M37" s="485"/>
      <c r="N37" s="485"/>
      <c r="O37" s="485"/>
      <c r="P37" s="486"/>
      <c r="Q37" s="486"/>
      <c r="R37" s="486"/>
      <c r="S37" s="486"/>
      <c r="T37" s="486"/>
      <c r="U37" s="486"/>
      <c r="V37" s="486"/>
      <c r="W37" s="486"/>
      <c r="X37" s="486"/>
      <c r="Y37" s="486"/>
      <c r="Z37" s="486"/>
    </row>
    <row r="38" spans="1:26" ht="15.75" customHeight="1">
      <c r="A38" s="482"/>
      <c r="B38" s="486"/>
      <c r="C38" s="485"/>
      <c r="D38" s="485"/>
      <c r="E38" s="485"/>
      <c r="F38" s="485"/>
      <c r="G38" s="485"/>
      <c r="H38" s="485"/>
      <c r="I38" s="485"/>
      <c r="J38" s="485"/>
      <c r="K38" s="485"/>
      <c r="L38" s="485"/>
      <c r="M38" s="485"/>
      <c r="N38" s="485"/>
      <c r="O38" s="485"/>
      <c r="P38" s="486"/>
      <c r="Q38" s="486"/>
      <c r="R38" s="486"/>
      <c r="S38" s="486"/>
      <c r="T38" s="486"/>
      <c r="U38" s="486"/>
      <c r="V38" s="486"/>
      <c r="W38" s="486"/>
      <c r="X38" s="486"/>
      <c r="Y38" s="486"/>
      <c r="Z38" s="486"/>
    </row>
    <row r="39" spans="1:26" ht="15.75" customHeight="1">
      <c r="A39" s="482"/>
      <c r="B39" s="486"/>
      <c r="C39" s="485"/>
      <c r="D39" s="485"/>
      <c r="E39" s="485"/>
      <c r="F39" s="485"/>
      <c r="G39" s="485"/>
      <c r="H39" s="485"/>
      <c r="I39" s="485"/>
      <c r="J39" s="485"/>
      <c r="K39" s="485"/>
      <c r="L39" s="485"/>
      <c r="M39" s="485"/>
      <c r="N39" s="485"/>
      <c r="O39" s="485"/>
      <c r="P39" s="486"/>
      <c r="Q39" s="486"/>
      <c r="R39" s="486"/>
      <c r="S39" s="486"/>
      <c r="T39" s="486"/>
      <c r="U39" s="486"/>
      <c r="V39" s="486"/>
      <c r="W39" s="486"/>
      <c r="X39" s="486"/>
      <c r="Y39" s="486"/>
      <c r="Z39" s="486"/>
    </row>
    <row r="40" spans="1:26" ht="15.75" customHeight="1">
      <c r="A40" s="482"/>
      <c r="B40" s="486"/>
      <c r="C40" s="485"/>
      <c r="D40" s="485"/>
      <c r="E40" s="485"/>
      <c r="F40" s="485"/>
      <c r="G40" s="485"/>
      <c r="H40" s="485"/>
      <c r="I40" s="485"/>
      <c r="J40" s="485"/>
      <c r="K40" s="485"/>
      <c r="L40" s="485"/>
      <c r="M40" s="485"/>
      <c r="N40" s="485"/>
      <c r="O40" s="485"/>
      <c r="P40" s="486"/>
      <c r="Q40" s="486"/>
      <c r="R40" s="486"/>
      <c r="S40" s="486"/>
      <c r="T40" s="486"/>
      <c r="U40" s="486"/>
      <c r="V40" s="486"/>
      <c r="W40" s="486"/>
      <c r="X40" s="486"/>
      <c r="Y40" s="486"/>
      <c r="Z40" s="486"/>
    </row>
    <row r="41" spans="1:26" ht="15.75" customHeight="1">
      <c r="A41" s="482"/>
      <c r="B41" s="486"/>
      <c r="C41" s="485"/>
      <c r="D41" s="485"/>
      <c r="E41" s="485"/>
      <c r="F41" s="485"/>
      <c r="G41" s="485"/>
      <c r="H41" s="485"/>
      <c r="I41" s="485"/>
      <c r="J41" s="485"/>
      <c r="K41" s="485"/>
      <c r="L41" s="485"/>
      <c r="M41" s="485"/>
      <c r="N41" s="485"/>
      <c r="O41" s="485"/>
      <c r="P41" s="486"/>
      <c r="Q41" s="486"/>
      <c r="R41" s="486"/>
      <c r="S41" s="486"/>
      <c r="T41" s="486"/>
      <c r="U41" s="486"/>
      <c r="V41" s="486"/>
      <c r="W41" s="486"/>
      <c r="X41" s="486"/>
      <c r="Y41" s="486"/>
      <c r="Z41" s="486"/>
    </row>
    <row r="42" spans="1:26" ht="15.75" customHeight="1">
      <c r="A42" s="482"/>
      <c r="B42" s="486"/>
      <c r="C42" s="485"/>
      <c r="D42" s="485"/>
      <c r="E42" s="485"/>
      <c r="F42" s="485"/>
      <c r="G42" s="485"/>
      <c r="H42" s="485"/>
      <c r="I42" s="485"/>
      <c r="J42" s="485"/>
      <c r="K42" s="485"/>
      <c r="L42" s="485"/>
      <c r="M42" s="485"/>
      <c r="N42" s="485"/>
      <c r="O42" s="485"/>
      <c r="P42" s="486"/>
      <c r="Q42" s="486"/>
      <c r="R42" s="486"/>
      <c r="S42" s="486"/>
      <c r="T42" s="486"/>
      <c r="U42" s="486"/>
      <c r="V42" s="486"/>
      <c r="W42" s="486"/>
      <c r="X42" s="486"/>
      <c r="Y42" s="486"/>
      <c r="Z42" s="486"/>
    </row>
    <row r="43" spans="1:26" ht="15.75" customHeight="1">
      <c r="A43" s="482"/>
      <c r="B43" s="486"/>
      <c r="C43" s="485"/>
      <c r="D43" s="485"/>
      <c r="E43" s="485"/>
      <c r="F43" s="485"/>
      <c r="G43" s="485"/>
      <c r="H43" s="485"/>
      <c r="I43" s="485"/>
      <c r="J43" s="485"/>
      <c r="K43" s="485"/>
      <c r="L43" s="485"/>
      <c r="M43" s="485"/>
      <c r="N43" s="485"/>
      <c r="O43" s="485"/>
      <c r="P43" s="486"/>
      <c r="Q43" s="486"/>
      <c r="R43" s="486"/>
      <c r="S43" s="486"/>
      <c r="T43" s="486"/>
      <c r="U43" s="486"/>
      <c r="V43" s="486"/>
      <c r="W43" s="486"/>
      <c r="X43" s="486"/>
      <c r="Y43" s="486"/>
      <c r="Z43" s="486"/>
    </row>
    <row r="44" spans="1:26" ht="15.75" customHeight="1">
      <c r="A44" s="482"/>
      <c r="B44" s="486"/>
      <c r="C44" s="485"/>
      <c r="D44" s="485"/>
      <c r="E44" s="485"/>
      <c r="F44" s="485"/>
      <c r="G44" s="485"/>
      <c r="H44" s="485"/>
      <c r="I44" s="485"/>
      <c r="J44" s="485"/>
      <c r="K44" s="485"/>
      <c r="L44" s="485"/>
      <c r="M44" s="485"/>
      <c r="N44" s="485"/>
      <c r="O44" s="485"/>
      <c r="P44" s="486"/>
      <c r="Q44" s="486"/>
      <c r="R44" s="486"/>
      <c r="S44" s="486"/>
      <c r="T44" s="486"/>
      <c r="U44" s="486"/>
      <c r="V44" s="486"/>
      <c r="W44" s="486"/>
      <c r="X44" s="486"/>
      <c r="Y44" s="486"/>
      <c r="Z44" s="486"/>
    </row>
    <row r="45" spans="1:26" ht="15.75" customHeight="1">
      <c r="A45" s="482"/>
      <c r="B45" s="486"/>
      <c r="C45" s="485"/>
      <c r="D45" s="485"/>
      <c r="E45" s="485"/>
      <c r="F45" s="485"/>
      <c r="G45" s="485"/>
      <c r="H45" s="485"/>
      <c r="I45" s="485"/>
      <c r="J45" s="485"/>
      <c r="K45" s="485"/>
      <c r="L45" s="485"/>
      <c r="M45" s="485"/>
      <c r="N45" s="485"/>
      <c r="O45" s="485"/>
      <c r="P45" s="486"/>
      <c r="Q45" s="486"/>
      <c r="R45" s="486"/>
      <c r="S45" s="486"/>
      <c r="T45" s="486"/>
      <c r="U45" s="486"/>
      <c r="V45" s="486"/>
      <c r="W45" s="486"/>
      <c r="X45" s="486"/>
      <c r="Y45" s="486"/>
      <c r="Z45" s="486"/>
    </row>
    <row r="46" spans="1:26" ht="15.75" customHeight="1">
      <c r="A46" s="482"/>
      <c r="B46" s="486"/>
      <c r="C46" s="485"/>
      <c r="D46" s="485"/>
      <c r="E46" s="485"/>
      <c r="F46" s="485"/>
      <c r="G46" s="485"/>
      <c r="H46" s="485"/>
      <c r="I46" s="485"/>
      <c r="J46" s="485"/>
      <c r="K46" s="485"/>
      <c r="L46" s="485"/>
      <c r="M46" s="485"/>
      <c r="N46" s="485"/>
      <c r="O46" s="485"/>
      <c r="P46" s="486"/>
      <c r="Q46" s="486"/>
      <c r="R46" s="486"/>
      <c r="S46" s="486"/>
      <c r="T46" s="486"/>
      <c r="U46" s="486"/>
      <c r="V46" s="486"/>
      <c r="W46" s="486"/>
      <c r="X46" s="486"/>
      <c r="Y46" s="486"/>
      <c r="Z46" s="486"/>
    </row>
    <row r="47" spans="1:26" ht="15.75" customHeight="1">
      <c r="A47" s="482"/>
      <c r="B47" s="486"/>
      <c r="C47" s="485"/>
      <c r="D47" s="485"/>
      <c r="E47" s="485"/>
      <c r="F47" s="485"/>
      <c r="G47" s="485"/>
      <c r="H47" s="485"/>
      <c r="I47" s="485"/>
      <c r="J47" s="485"/>
      <c r="K47" s="485"/>
      <c r="L47" s="485"/>
      <c r="M47" s="485"/>
      <c r="N47" s="485"/>
      <c r="O47" s="485"/>
      <c r="P47" s="486"/>
      <c r="Q47" s="486"/>
      <c r="R47" s="486"/>
      <c r="S47" s="486"/>
      <c r="T47" s="486"/>
      <c r="U47" s="486"/>
      <c r="V47" s="486"/>
      <c r="W47" s="486"/>
      <c r="X47" s="486"/>
      <c r="Y47" s="486"/>
      <c r="Z47" s="486"/>
    </row>
    <row r="48" spans="1:26" ht="15.75" customHeight="1">
      <c r="A48" s="482"/>
      <c r="B48" s="486"/>
      <c r="C48" s="485"/>
      <c r="D48" s="485"/>
      <c r="E48" s="485"/>
      <c r="F48" s="485"/>
      <c r="G48" s="485"/>
      <c r="H48" s="485"/>
      <c r="I48" s="485"/>
      <c r="J48" s="485"/>
      <c r="K48" s="485"/>
      <c r="L48" s="485"/>
      <c r="M48" s="485"/>
      <c r="N48" s="485"/>
      <c r="O48" s="485"/>
      <c r="P48" s="486"/>
      <c r="Q48" s="486"/>
      <c r="R48" s="486"/>
      <c r="S48" s="486"/>
      <c r="T48" s="486"/>
      <c r="U48" s="486"/>
      <c r="V48" s="486"/>
      <c r="W48" s="486"/>
      <c r="X48" s="486"/>
      <c r="Y48" s="486"/>
      <c r="Z48" s="486"/>
    </row>
    <row r="49" spans="1:26" ht="15.75" customHeight="1">
      <c r="A49" s="482"/>
      <c r="B49" s="486"/>
      <c r="C49" s="485"/>
      <c r="D49" s="485"/>
      <c r="E49" s="485"/>
      <c r="F49" s="485"/>
      <c r="G49" s="485"/>
      <c r="H49" s="485"/>
      <c r="I49" s="485"/>
      <c r="J49" s="485"/>
      <c r="K49" s="485"/>
      <c r="L49" s="485"/>
      <c r="M49" s="485"/>
      <c r="N49" s="485"/>
      <c r="O49" s="485"/>
      <c r="P49" s="486"/>
      <c r="Q49" s="486"/>
      <c r="R49" s="486"/>
      <c r="S49" s="486"/>
      <c r="T49" s="486"/>
      <c r="U49" s="486"/>
      <c r="V49" s="486"/>
      <c r="W49" s="486"/>
      <c r="X49" s="486"/>
      <c r="Y49" s="486"/>
      <c r="Z49" s="486"/>
    </row>
    <row r="50" spans="1:26" ht="15.75" customHeight="1">
      <c r="A50" s="482"/>
      <c r="B50" s="486"/>
      <c r="C50" s="485"/>
      <c r="D50" s="485"/>
      <c r="E50" s="485"/>
      <c r="F50" s="485"/>
      <c r="G50" s="485"/>
      <c r="H50" s="485"/>
      <c r="I50" s="485"/>
      <c r="J50" s="485"/>
      <c r="K50" s="485"/>
      <c r="L50" s="485"/>
      <c r="M50" s="485"/>
      <c r="N50" s="485"/>
      <c r="O50" s="485"/>
      <c r="P50" s="486"/>
      <c r="Q50" s="486"/>
      <c r="R50" s="486"/>
      <c r="S50" s="486"/>
      <c r="T50" s="486"/>
      <c r="U50" s="486"/>
      <c r="V50" s="486"/>
      <c r="W50" s="486"/>
      <c r="X50" s="486"/>
      <c r="Y50" s="486"/>
      <c r="Z50" s="486"/>
    </row>
    <row r="51" spans="1:26" ht="15.75" customHeight="1">
      <c r="A51" s="482"/>
      <c r="B51" s="486"/>
      <c r="C51" s="485"/>
      <c r="D51" s="485"/>
      <c r="E51" s="485"/>
      <c r="F51" s="485"/>
      <c r="G51" s="485"/>
      <c r="H51" s="485"/>
      <c r="I51" s="485"/>
      <c r="J51" s="485"/>
      <c r="K51" s="485"/>
      <c r="L51" s="485"/>
      <c r="M51" s="485"/>
      <c r="N51" s="485"/>
      <c r="O51" s="485"/>
      <c r="P51" s="486"/>
      <c r="Q51" s="486"/>
      <c r="R51" s="486"/>
      <c r="S51" s="486"/>
      <c r="T51" s="486"/>
      <c r="U51" s="486"/>
      <c r="V51" s="486"/>
      <c r="W51" s="486"/>
      <c r="X51" s="486"/>
      <c r="Y51" s="486"/>
      <c r="Z51" s="486"/>
    </row>
    <row r="52" spans="1:26" ht="15.75" customHeight="1">
      <c r="A52" s="482"/>
      <c r="B52" s="486"/>
      <c r="C52" s="485"/>
      <c r="D52" s="485"/>
      <c r="E52" s="485"/>
      <c r="F52" s="485"/>
      <c r="G52" s="485"/>
      <c r="H52" s="485"/>
      <c r="I52" s="485"/>
      <c r="J52" s="485"/>
      <c r="K52" s="485"/>
      <c r="L52" s="485"/>
      <c r="M52" s="485"/>
      <c r="N52" s="485"/>
      <c r="O52" s="485"/>
      <c r="P52" s="486"/>
      <c r="Q52" s="486"/>
      <c r="R52" s="486"/>
      <c r="S52" s="486"/>
      <c r="T52" s="486"/>
      <c r="U52" s="486"/>
      <c r="V52" s="486"/>
      <c r="W52" s="486"/>
      <c r="X52" s="486"/>
      <c r="Y52" s="486"/>
      <c r="Z52" s="486"/>
    </row>
    <row r="53" spans="1:26" ht="15.75" customHeight="1">
      <c r="A53" s="482"/>
      <c r="B53" s="486"/>
      <c r="C53" s="485"/>
      <c r="D53" s="485"/>
      <c r="E53" s="485"/>
      <c r="F53" s="485"/>
      <c r="G53" s="485"/>
      <c r="H53" s="485"/>
      <c r="I53" s="485"/>
      <c r="J53" s="485"/>
      <c r="K53" s="485"/>
      <c r="L53" s="485"/>
      <c r="M53" s="485"/>
      <c r="N53" s="485"/>
      <c r="O53" s="485"/>
      <c r="P53" s="486"/>
      <c r="Q53" s="486"/>
      <c r="R53" s="486"/>
      <c r="S53" s="486"/>
      <c r="T53" s="486"/>
      <c r="U53" s="486"/>
      <c r="V53" s="486"/>
      <c r="W53" s="486"/>
      <c r="X53" s="486"/>
      <c r="Y53" s="486"/>
      <c r="Z53" s="486"/>
    </row>
    <row r="54" spans="1:26" ht="15.75" customHeight="1">
      <c r="A54" s="482"/>
      <c r="B54" s="486"/>
      <c r="C54" s="485"/>
      <c r="D54" s="485"/>
      <c r="E54" s="485"/>
      <c r="F54" s="485"/>
      <c r="G54" s="485"/>
      <c r="H54" s="485"/>
      <c r="I54" s="485"/>
      <c r="J54" s="485"/>
      <c r="K54" s="485"/>
      <c r="L54" s="485"/>
      <c r="M54" s="485"/>
      <c r="N54" s="485"/>
      <c r="O54" s="485"/>
      <c r="P54" s="486"/>
      <c r="Q54" s="486"/>
      <c r="R54" s="486"/>
      <c r="S54" s="486"/>
      <c r="T54" s="486"/>
      <c r="U54" s="486"/>
      <c r="V54" s="486"/>
      <c r="W54" s="486"/>
      <c r="X54" s="486"/>
      <c r="Y54" s="486"/>
      <c r="Z54" s="486"/>
    </row>
    <row r="55" spans="1:26" ht="15.75" customHeight="1">
      <c r="A55" s="482"/>
      <c r="B55" s="486"/>
      <c r="C55" s="485"/>
      <c r="D55" s="485"/>
      <c r="E55" s="485"/>
      <c r="F55" s="485"/>
      <c r="G55" s="485"/>
      <c r="H55" s="485"/>
      <c r="I55" s="485"/>
      <c r="J55" s="485"/>
      <c r="K55" s="485"/>
      <c r="L55" s="485"/>
      <c r="M55" s="485"/>
      <c r="N55" s="485"/>
      <c r="O55" s="485"/>
      <c r="P55" s="486"/>
      <c r="Q55" s="486"/>
      <c r="R55" s="486"/>
      <c r="S55" s="486"/>
      <c r="T55" s="486"/>
      <c r="U55" s="486"/>
      <c r="V55" s="486"/>
      <c r="W55" s="486"/>
      <c r="X55" s="486"/>
      <c r="Y55" s="486"/>
      <c r="Z55" s="486"/>
    </row>
    <row r="56" spans="1:26" ht="15.75" customHeight="1">
      <c r="A56" s="482"/>
      <c r="B56" s="486"/>
      <c r="C56" s="485"/>
      <c r="D56" s="485"/>
      <c r="E56" s="485"/>
      <c r="F56" s="485"/>
      <c r="G56" s="485"/>
      <c r="H56" s="485"/>
      <c r="I56" s="485"/>
      <c r="J56" s="485"/>
      <c r="K56" s="485"/>
      <c r="L56" s="485"/>
      <c r="M56" s="485"/>
      <c r="N56" s="485"/>
      <c r="O56" s="485"/>
      <c r="P56" s="486"/>
      <c r="Q56" s="486"/>
      <c r="R56" s="486"/>
      <c r="S56" s="486"/>
      <c r="T56" s="486"/>
      <c r="U56" s="486"/>
      <c r="V56" s="486"/>
      <c r="W56" s="486"/>
      <c r="X56" s="486"/>
      <c r="Y56" s="486"/>
      <c r="Z56" s="486"/>
    </row>
    <row r="57" spans="1:26" ht="15.75" customHeight="1">
      <c r="A57" s="482"/>
      <c r="B57" s="486"/>
      <c r="C57" s="485"/>
      <c r="D57" s="485"/>
      <c r="E57" s="485"/>
      <c r="F57" s="485"/>
      <c r="G57" s="485"/>
      <c r="H57" s="485"/>
      <c r="I57" s="485"/>
      <c r="J57" s="485"/>
      <c r="K57" s="485"/>
      <c r="L57" s="485"/>
      <c r="M57" s="485"/>
      <c r="N57" s="485"/>
      <c r="O57" s="485"/>
      <c r="P57" s="486"/>
      <c r="Q57" s="486"/>
      <c r="R57" s="486"/>
      <c r="S57" s="486"/>
      <c r="T57" s="486"/>
      <c r="U57" s="486"/>
      <c r="V57" s="486"/>
      <c r="W57" s="486"/>
      <c r="X57" s="486"/>
      <c r="Y57" s="486"/>
      <c r="Z57" s="486"/>
    </row>
    <row r="58" spans="1:26" ht="15.75" customHeight="1">
      <c r="A58" s="482"/>
      <c r="B58" s="486"/>
      <c r="C58" s="485"/>
      <c r="D58" s="485"/>
      <c r="E58" s="485"/>
      <c r="F58" s="485"/>
      <c r="G58" s="485"/>
      <c r="H58" s="485"/>
      <c r="I58" s="485"/>
      <c r="J58" s="485"/>
      <c r="K58" s="485"/>
      <c r="L58" s="485"/>
      <c r="M58" s="485"/>
      <c r="N58" s="485"/>
      <c r="O58" s="485"/>
      <c r="P58" s="486"/>
      <c r="Q58" s="486"/>
      <c r="R58" s="486"/>
      <c r="S58" s="486"/>
      <c r="T58" s="486"/>
      <c r="U58" s="486"/>
      <c r="V58" s="486"/>
      <c r="W58" s="486"/>
      <c r="X58" s="486"/>
      <c r="Y58" s="486"/>
      <c r="Z58" s="486"/>
    </row>
    <row r="59" spans="1:26" ht="15.75" customHeight="1">
      <c r="A59" s="482"/>
      <c r="B59" s="486"/>
      <c r="C59" s="485"/>
      <c r="D59" s="485"/>
      <c r="E59" s="485"/>
      <c r="F59" s="485"/>
      <c r="G59" s="485"/>
      <c r="H59" s="485"/>
      <c r="I59" s="485"/>
      <c r="J59" s="485"/>
      <c r="K59" s="485"/>
      <c r="L59" s="485"/>
      <c r="M59" s="485"/>
      <c r="N59" s="485"/>
      <c r="O59" s="485"/>
      <c r="P59" s="486"/>
      <c r="Q59" s="486"/>
      <c r="R59" s="486"/>
      <c r="S59" s="486"/>
      <c r="T59" s="486"/>
      <c r="U59" s="486"/>
      <c r="V59" s="486"/>
      <c r="W59" s="486"/>
      <c r="X59" s="486"/>
      <c r="Y59" s="486"/>
      <c r="Z59" s="486"/>
    </row>
    <row r="60" spans="1:26" ht="15.75" customHeight="1">
      <c r="A60" s="482"/>
      <c r="B60" s="486"/>
      <c r="C60" s="485"/>
      <c r="D60" s="485"/>
      <c r="E60" s="485"/>
      <c r="F60" s="485"/>
      <c r="G60" s="485"/>
      <c r="H60" s="485"/>
      <c r="I60" s="485"/>
      <c r="J60" s="485"/>
      <c r="K60" s="485"/>
      <c r="L60" s="485"/>
      <c r="M60" s="485"/>
      <c r="N60" s="485"/>
      <c r="O60" s="485"/>
      <c r="P60" s="486"/>
      <c r="Q60" s="486"/>
      <c r="R60" s="486"/>
      <c r="S60" s="486"/>
      <c r="T60" s="486"/>
      <c r="U60" s="486"/>
      <c r="V60" s="486"/>
      <c r="W60" s="486"/>
      <c r="X60" s="486"/>
      <c r="Y60" s="486"/>
      <c r="Z60" s="486"/>
    </row>
    <row r="61" spans="1:26" ht="15.75" customHeight="1">
      <c r="A61" s="482"/>
      <c r="B61" s="486"/>
      <c r="C61" s="485"/>
      <c r="D61" s="485"/>
      <c r="E61" s="485"/>
      <c r="F61" s="485"/>
      <c r="G61" s="485"/>
      <c r="H61" s="485"/>
      <c r="I61" s="485"/>
      <c r="J61" s="485"/>
      <c r="K61" s="485"/>
      <c r="L61" s="485"/>
      <c r="M61" s="485"/>
      <c r="N61" s="485"/>
      <c r="O61" s="485"/>
      <c r="P61" s="486"/>
      <c r="Q61" s="486"/>
      <c r="R61" s="486"/>
      <c r="S61" s="486"/>
      <c r="T61" s="486"/>
      <c r="U61" s="486"/>
      <c r="V61" s="486"/>
      <c r="W61" s="486"/>
      <c r="X61" s="486"/>
      <c r="Y61" s="486"/>
      <c r="Z61" s="486"/>
    </row>
    <row r="62" spans="1:26" ht="15.75" customHeight="1">
      <c r="A62" s="482"/>
      <c r="B62" s="486"/>
      <c r="C62" s="485"/>
      <c r="D62" s="485"/>
      <c r="E62" s="485"/>
      <c r="F62" s="485"/>
      <c r="G62" s="485"/>
      <c r="H62" s="485"/>
      <c r="I62" s="485"/>
      <c r="J62" s="485"/>
      <c r="K62" s="485"/>
      <c r="L62" s="485"/>
      <c r="M62" s="485"/>
      <c r="N62" s="485"/>
      <c r="O62" s="485"/>
      <c r="P62" s="486"/>
      <c r="Q62" s="486"/>
      <c r="R62" s="486"/>
      <c r="S62" s="486"/>
      <c r="T62" s="486"/>
      <c r="U62" s="486"/>
      <c r="V62" s="486"/>
      <c r="W62" s="486"/>
      <c r="X62" s="486"/>
      <c r="Y62" s="486"/>
      <c r="Z62" s="486"/>
    </row>
    <row r="63" spans="1:26" ht="15.75" customHeight="1">
      <c r="A63" s="482"/>
      <c r="B63" s="486"/>
      <c r="C63" s="485"/>
      <c r="D63" s="485"/>
      <c r="E63" s="485"/>
      <c r="F63" s="485"/>
      <c r="G63" s="485"/>
      <c r="H63" s="485"/>
      <c r="I63" s="485"/>
      <c r="J63" s="485"/>
      <c r="K63" s="485"/>
      <c r="L63" s="485"/>
      <c r="M63" s="485"/>
      <c r="N63" s="485"/>
      <c r="O63" s="485"/>
      <c r="P63" s="486"/>
      <c r="Q63" s="486"/>
      <c r="R63" s="486"/>
      <c r="S63" s="486"/>
      <c r="T63" s="486"/>
      <c r="U63" s="486"/>
      <c r="V63" s="486"/>
      <c r="W63" s="486"/>
      <c r="X63" s="486"/>
      <c r="Y63" s="486"/>
      <c r="Z63" s="486"/>
    </row>
    <row r="64" spans="1:26" ht="15.75" customHeight="1">
      <c r="A64" s="482"/>
      <c r="B64" s="486"/>
      <c r="C64" s="485"/>
      <c r="D64" s="485"/>
      <c r="E64" s="485"/>
      <c r="F64" s="485"/>
      <c r="G64" s="485"/>
      <c r="H64" s="485"/>
      <c r="I64" s="485"/>
      <c r="J64" s="485"/>
      <c r="K64" s="485"/>
      <c r="L64" s="485"/>
      <c r="M64" s="485"/>
      <c r="N64" s="485"/>
      <c r="O64" s="485"/>
      <c r="P64" s="486"/>
      <c r="Q64" s="486"/>
      <c r="R64" s="486"/>
      <c r="S64" s="486"/>
      <c r="T64" s="486"/>
      <c r="U64" s="486"/>
      <c r="V64" s="486"/>
      <c r="W64" s="486"/>
      <c r="X64" s="486"/>
      <c r="Y64" s="486"/>
      <c r="Z64" s="486"/>
    </row>
    <row r="65" spans="1:26" ht="15.75" customHeight="1">
      <c r="A65" s="482"/>
      <c r="B65" s="486"/>
      <c r="C65" s="485"/>
      <c r="D65" s="485"/>
      <c r="E65" s="485"/>
      <c r="F65" s="485"/>
      <c r="G65" s="485"/>
      <c r="H65" s="485"/>
      <c r="I65" s="485"/>
      <c r="J65" s="485"/>
      <c r="K65" s="485"/>
      <c r="L65" s="485"/>
      <c r="M65" s="485"/>
      <c r="N65" s="485"/>
      <c r="O65" s="485"/>
      <c r="P65" s="486"/>
      <c r="Q65" s="486"/>
      <c r="R65" s="486"/>
      <c r="S65" s="486"/>
      <c r="T65" s="486"/>
      <c r="U65" s="486"/>
      <c r="V65" s="486"/>
      <c r="W65" s="486"/>
      <c r="X65" s="486"/>
      <c r="Y65" s="486"/>
      <c r="Z65" s="486"/>
    </row>
    <row r="66" spans="1:26" ht="15.75" customHeight="1">
      <c r="A66" s="482"/>
      <c r="B66" s="486"/>
      <c r="C66" s="485"/>
      <c r="D66" s="485"/>
      <c r="E66" s="485"/>
      <c r="F66" s="485"/>
      <c r="G66" s="485"/>
      <c r="H66" s="485"/>
      <c r="I66" s="485"/>
      <c r="J66" s="485"/>
      <c r="K66" s="485"/>
      <c r="L66" s="485"/>
      <c r="M66" s="485"/>
      <c r="N66" s="485"/>
      <c r="O66" s="485"/>
      <c r="P66" s="486"/>
      <c r="Q66" s="486"/>
      <c r="R66" s="486"/>
      <c r="S66" s="486"/>
      <c r="T66" s="486"/>
      <c r="U66" s="486"/>
      <c r="V66" s="486"/>
      <c r="W66" s="486"/>
      <c r="X66" s="486"/>
      <c r="Y66" s="486"/>
      <c r="Z66" s="486"/>
    </row>
    <row r="67" spans="1:26" ht="15.75" customHeight="1">
      <c r="A67" s="482"/>
      <c r="B67" s="486"/>
      <c r="C67" s="485"/>
      <c r="D67" s="485"/>
      <c r="E67" s="485"/>
      <c r="F67" s="485"/>
      <c r="G67" s="485"/>
      <c r="H67" s="485"/>
      <c r="I67" s="485"/>
      <c r="J67" s="485"/>
      <c r="K67" s="485"/>
      <c r="L67" s="485"/>
      <c r="M67" s="485"/>
      <c r="N67" s="485"/>
      <c r="O67" s="485"/>
      <c r="P67" s="486"/>
      <c r="Q67" s="486"/>
      <c r="R67" s="486"/>
      <c r="S67" s="486"/>
      <c r="T67" s="486"/>
      <c r="U67" s="486"/>
      <c r="V67" s="486"/>
      <c r="W67" s="486"/>
      <c r="X67" s="486"/>
      <c r="Y67" s="486"/>
      <c r="Z67" s="486"/>
    </row>
    <row r="68" spans="1:26" ht="15.75" customHeight="1">
      <c r="A68" s="482"/>
      <c r="B68" s="486"/>
      <c r="C68" s="485"/>
      <c r="D68" s="485"/>
      <c r="E68" s="485"/>
      <c r="F68" s="485"/>
      <c r="G68" s="485"/>
      <c r="H68" s="485"/>
      <c r="I68" s="485"/>
      <c r="J68" s="485"/>
      <c r="K68" s="485"/>
      <c r="L68" s="485"/>
      <c r="M68" s="485"/>
      <c r="N68" s="485"/>
      <c r="O68" s="485"/>
      <c r="P68" s="486"/>
      <c r="Q68" s="486"/>
      <c r="R68" s="486"/>
      <c r="S68" s="486"/>
      <c r="T68" s="486"/>
      <c r="U68" s="486"/>
      <c r="V68" s="486"/>
      <c r="W68" s="486"/>
      <c r="X68" s="486"/>
      <c r="Y68" s="486"/>
      <c r="Z68" s="486"/>
    </row>
    <row r="69" spans="1:26" ht="15.75" customHeight="1">
      <c r="A69" s="482"/>
      <c r="B69" s="486"/>
      <c r="C69" s="485"/>
      <c r="D69" s="485"/>
      <c r="E69" s="485"/>
      <c r="F69" s="485"/>
      <c r="G69" s="485"/>
      <c r="H69" s="485"/>
      <c r="I69" s="485"/>
      <c r="J69" s="485"/>
      <c r="K69" s="485"/>
      <c r="L69" s="485"/>
      <c r="M69" s="485"/>
      <c r="N69" s="485"/>
      <c r="O69" s="485"/>
      <c r="P69" s="486"/>
      <c r="Q69" s="486"/>
      <c r="R69" s="486"/>
      <c r="S69" s="486"/>
      <c r="T69" s="486"/>
      <c r="U69" s="486"/>
      <c r="V69" s="486"/>
      <c r="W69" s="486"/>
      <c r="X69" s="486"/>
      <c r="Y69" s="486"/>
      <c r="Z69" s="486"/>
    </row>
    <row r="70" spans="1:26" ht="15.75" customHeight="1">
      <c r="A70" s="482"/>
      <c r="B70" s="486"/>
      <c r="C70" s="485"/>
      <c r="D70" s="485"/>
      <c r="E70" s="485"/>
      <c r="F70" s="485"/>
      <c r="G70" s="485"/>
      <c r="H70" s="485"/>
      <c r="I70" s="485"/>
      <c r="J70" s="485"/>
      <c r="K70" s="485"/>
      <c r="L70" s="485"/>
      <c r="M70" s="485"/>
      <c r="N70" s="485"/>
      <c r="O70" s="485"/>
      <c r="P70" s="486"/>
      <c r="Q70" s="486"/>
      <c r="R70" s="486"/>
      <c r="S70" s="486"/>
      <c r="T70" s="486"/>
      <c r="U70" s="486"/>
      <c r="V70" s="486"/>
      <c r="W70" s="486"/>
      <c r="X70" s="486"/>
      <c r="Y70" s="486"/>
      <c r="Z70" s="486"/>
    </row>
    <row r="71" spans="1:26" ht="15.75" customHeight="1">
      <c r="A71" s="482"/>
      <c r="B71" s="486"/>
      <c r="C71" s="485"/>
      <c r="D71" s="485"/>
      <c r="E71" s="485"/>
      <c r="F71" s="485"/>
      <c r="G71" s="485"/>
      <c r="H71" s="485"/>
      <c r="I71" s="485"/>
      <c r="J71" s="485"/>
      <c r="K71" s="485"/>
      <c r="L71" s="485"/>
      <c r="M71" s="485"/>
      <c r="N71" s="485"/>
      <c r="O71" s="485"/>
      <c r="P71" s="486"/>
      <c r="Q71" s="486"/>
      <c r="R71" s="486"/>
      <c r="S71" s="486"/>
      <c r="T71" s="486"/>
      <c r="U71" s="486"/>
      <c r="V71" s="486"/>
      <c r="W71" s="486"/>
      <c r="X71" s="486"/>
      <c r="Y71" s="486"/>
      <c r="Z71" s="486"/>
    </row>
    <row r="72" spans="1:26" ht="15.75" customHeight="1">
      <c r="A72" s="482"/>
      <c r="B72" s="486"/>
      <c r="C72" s="485"/>
      <c r="D72" s="485"/>
      <c r="E72" s="485"/>
      <c r="F72" s="485"/>
      <c r="G72" s="485"/>
      <c r="H72" s="485"/>
      <c r="I72" s="485"/>
      <c r="J72" s="485"/>
      <c r="K72" s="485"/>
      <c r="L72" s="485"/>
      <c r="M72" s="485"/>
      <c r="N72" s="485"/>
      <c r="O72" s="485"/>
      <c r="P72" s="486"/>
      <c r="Q72" s="486"/>
      <c r="R72" s="486"/>
      <c r="S72" s="486"/>
      <c r="T72" s="486"/>
      <c r="U72" s="486"/>
      <c r="V72" s="486"/>
      <c r="W72" s="486"/>
      <c r="X72" s="486"/>
      <c r="Y72" s="486"/>
      <c r="Z72" s="486"/>
    </row>
    <row r="73" spans="1:26" ht="15.75" customHeight="1">
      <c r="A73" s="482"/>
      <c r="B73" s="486"/>
      <c r="C73" s="485"/>
      <c r="D73" s="485"/>
      <c r="E73" s="485"/>
      <c r="F73" s="485"/>
      <c r="G73" s="485"/>
      <c r="H73" s="485"/>
      <c r="I73" s="485"/>
      <c r="J73" s="485"/>
      <c r="K73" s="485"/>
      <c r="L73" s="485"/>
      <c r="M73" s="485"/>
      <c r="N73" s="485"/>
      <c r="O73" s="485"/>
      <c r="P73" s="486"/>
      <c r="Q73" s="486"/>
      <c r="R73" s="486"/>
      <c r="S73" s="486"/>
      <c r="T73" s="486"/>
      <c r="U73" s="486"/>
      <c r="V73" s="486"/>
      <c r="W73" s="486"/>
      <c r="X73" s="486"/>
      <c r="Y73" s="486"/>
      <c r="Z73" s="486"/>
    </row>
    <row r="74" spans="1:26" ht="15.75" customHeight="1">
      <c r="A74" s="482"/>
      <c r="B74" s="486"/>
      <c r="C74" s="485"/>
      <c r="D74" s="485"/>
      <c r="E74" s="485"/>
      <c r="F74" s="485"/>
      <c r="G74" s="485"/>
      <c r="H74" s="485"/>
      <c r="I74" s="485"/>
      <c r="J74" s="485"/>
      <c r="K74" s="485"/>
      <c r="L74" s="485"/>
      <c r="M74" s="485"/>
      <c r="N74" s="485"/>
      <c r="O74" s="485"/>
      <c r="P74" s="486"/>
      <c r="Q74" s="486"/>
      <c r="R74" s="486"/>
      <c r="S74" s="486"/>
      <c r="T74" s="486"/>
      <c r="U74" s="486"/>
      <c r="V74" s="486"/>
      <c r="W74" s="486"/>
      <c r="X74" s="486"/>
      <c r="Y74" s="486"/>
      <c r="Z74" s="486"/>
    </row>
    <row r="75" spans="1:26" ht="15.75" customHeight="1">
      <c r="A75" s="482"/>
      <c r="B75" s="486"/>
      <c r="C75" s="485"/>
      <c r="D75" s="485"/>
      <c r="E75" s="485"/>
      <c r="F75" s="485"/>
      <c r="G75" s="485"/>
      <c r="H75" s="485"/>
      <c r="I75" s="485"/>
      <c r="J75" s="485"/>
      <c r="K75" s="485"/>
      <c r="L75" s="485"/>
      <c r="M75" s="485"/>
      <c r="N75" s="485"/>
      <c r="O75" s="485"/>
      <c r="P75" s="486"/>
      <c r="Q75" s="486"/>
      <c r="R75" s="486"/>
      <c r="S75" s="486"/>
      <c r="T75" s="486"/>
      <c r="U75" s="486"/>
      <c r="V75" s="486"/>
      <c r="W75" s="486"/>
      <c r="X75" s="486"/>
      <c r="Y75" s="486"/>
      <c r="Z75" s="486"/>
    </row>
    <row r="76" spans="1:26" ht="15.75" customHeight="1">
      <c r="A76" s="482"/>
      <c r="B76" s="486"/>
      <c r="C76" s="485"/>
      <c r="D76" s="485"/>
      <c r="E76" s="485"/>
      <c r="F76" s="485"/>
      <c r="G76" s="485"/>
      <c r="H76" s="485"/>
      <c r="I76" s="485"/>
      <c r="J76" s="485"/>
      <c r="K76" s="485"/>
      <c r="L76" s="485"/>
      <c r="M76" s="485"/>
      <c r="N76" s="485"/>
      <c r="O76" s="485"/>
      <c r="P76" s="486"/>
      <c r="Q76" s="486"/>
      <c r="R76" s="486"/>
      <c r="S76" s="486"/>
      <c r="T76" s="486"/>
      <c r="U76" s="486"/>
      <c r="V76" s="486"/>
      <c r="W76" s="486"/>
      <c r="X76" s="486"/>
      <c r="Y76" s="486"/>
      <c r="Z76" s="486"/>
    </row>
    <row r="77" spans="1:26" ht="15.75" customHeight="1">
      <c r="A77" s="482"/>
      <c r="B77" s="486"/>
      <c r="C77" s="485"/>
      <c r="D77" s="485"/>
      <c r="E77" s="485"/>
      <c r="F77" s="485"/>
      <c r="G77" s="485"/>
      <c r="H77" s="485"/>
      <c r="I77" s="485"/>
      <c r="J77" s="485"/>
      <c r="K77" s="485"/>
      <c r="L77" s="485"/>
      <c r="M77" s="485"/>
      <c r="N77" s="485"/>
      <c r="O77" s="485"/>
      <c r="P77" s="486"/>
      <c r="Q77" s="486"/>
      <c r="R77" s="486"/>
      <c r="S77" s="486"/>
      <c r="T77" s="486"/>
      <c r="U77" s="486"/>
      <c r="V77" s="486"/>
      <c r="W77" s="486"/>
      <c r="X77" s="486"/>
      <c r="Y77" s="486"/>
      <c r="Z77" s="486"/>
    </row>
    <row r="78" spans="1:26" ht="15.75" customHeight="1">
      <c r="A78" s="482"/>
      <c r="B78" s="486"/>
      <c r="C78" s="485"/>
      <c r="D78" s="485"/>
      <c r="E78" s="485"/>
      <c r="F78" s="485"/>
      <c r="G78" s="485"/>
      <c r="H78" s="485"/>
      <c r="I78" s="485"/>
      <c r="J78" s="485"/>
      <c r="K78" s="485"/>
      <c r="L78" s="485"/>
      <c r="M78" s="485"/>
      <c r="N78" s="485"/>
      <c r="O78" s="485"/>
      <c r="P78" s="486"/>
      <c r="Q78" s="486"/>
      <c r="R78" s="486"/>
      <c r="S78" s="486"/>
      <c r="T78" s="486"/>
      <c r="U78" s="486"/>
      <c r="V78" s="486"/>
      <c r="W78" s="486"/>
      <c r="X78" s="486"/>
      <c r="Y78" s="486"/>
      <c r="Z78" s="486"/>
    </row>
    <row r="79" spans="1:26" ht="15.75" customHeight="1">
      <c r="A79" s="482"/>
      <c r="B79" s="486"/>
      <c r="C79" s="485"/>
      <c r="D79" s="485"/>
      <c r="E79" s="485"/>
      <c r="F79" s="485"/>
      <c r="G79" s="485"/>
      <c r="H79" s="485"/>
      <c r="I79" s="485"/>
      <c r="J79" s="485"/>
      <c r="K79" s="485"/>
      <c r="L79" s="485"/>
      <c r="M79" s="485"/>
      <c r="N79" s="485"/>
      <c r="O79" s="485"/>
      <c r="P79" s="486"/>
      <c r="Q79" s="486"/>
      <c r="R79" s="486"/>
      <c r="S79" s="486"/>
      <c r="T79" s="486"/>
      <c r="U79" s="486"/>
      <c r="V79" s="486"/>
      <c r="W79" s="486"/>
      <c r="X79" s="486"/>
      <c r="Y79" s="486"/>
      <c r="Z79" s="486"/>
    </row>
    <row r="80" spans="1:26" ht="15.75" customHeight="1">
      <c r="A80" s="482"/>
      <c r="B80" s="486"/>
      <c r="C80" s="485"/>
      <c r="D80" s="485"/>
      <c r="E80" s="485"/>
      <c r="F80" s="485"/>
      <c r="G80" s="485"/>
      <c r="H80" s="485"/>
      <c r="I80" s="485"/>
      <c r="J80" s="485"/>
      <c r="K80" s="485"/>
      <c r="L80" s="485"/>
      <c r="M80" s="485"/>
      <c r="N80" s="485"/>
      <c r="O80" s="485"/>
      <c r="P80" s="486"/>
      <c r="Q80" s="486"/>
      <c r="R80" s="486"/>
      <c r="S80" s="486"/>
      <c r="T80" s="486"/>
      <c r="U80" s="486"/>
      <c r="V80" s="486"/>
      <c r="W80" s="486"/>
      <c r="X80" s="486"/>
      <c r="Y80" s="486"/>
      <c r="Z80" s="486"/>
    </row>
    <row r="81" spans="1:26" ht="15.75" customHeight="1">
      <c r="A81" s="482"/>
      <c r="B81" s="486"/>
      <c r="C81" s="485"/>
      <c r="D81" s="485"/>
      <c r="E81" s="485"/>
      <c r="F81" s="485"/>
      <c r="G81" s="485"/>
      <c r="H81" s="485"/>
      <c r="I81" s="485"/>
      <c r="J81" s="485"/>
      <c r="K81" s="485"/>
      <c r="L81" s="485"/>
      <c r="M81" s="485"/>
      <c r="N81" s="485"/>
      <c r="O81" s="485"/>
      <c r="P81" s="486"/>
      <c r="Q81" s="486"/>
      <c r="R81" s="486"/>
      <c r="S81" s="486"/>
      <c r="T81" s="486"/>
      <c r="U81" s="486"/>
      <c r="V81" s="486"/>
      <c r="W81" s="486"/>
      <c r="X81" s="486"/>
      <c r="Y81" s="486"/>
      <c r="Z81" s="486"/>
    </row>
    <row r="82" spans="1:26" ht="15.75" customHeight="1">
      <c r="A82" s="482"/>
      <c r="B82" s="486"/>
      <c r="C82" s="485"/>
      <c r="D82" s="485"/>
      <c r="E82" s="485"/>
      <c r="F82" s="485"/>
      <c r="G82" s="485"/>
      <c r="H82" s="485"/>
      <c r="I82" s="485"/>
      <c r="J82" s="485"/>
      <c r="K82" s="485"/>
      <c r="L82" s="485"/>
      <c r="M82" s="485"/>
      <c r="N82" s="485"/>
      <c r="O82" s="485"/>
      <c r="P82" s="486"/>
      <c r="Q82" s="486"/>
      <c r="R82" s="486"/>
      <c r="S82" s="486"/>
      <c r="T82" s="486"/>
      <c r="U82" s="486"/>
      <c r="V82" s="486"/>
      <c r="W82" s="486"/>
      <c r="X82" s="486"/>
      <c r="Y82" s="486"/>
      <c r="Z82" s="486"/>
    </row>
    <row r="83" spans="1:26" ht="15.75" customHeight="1">
      <c r="A83" s="482"/>
      <c r="B83" s="486"/>
      <c r="C83" s="485"/>
      <c r="D83" s="485"/>
      <c r="E83" s="485"/>
      <c r="F83" s="485"/>
      <c r="G83" s="485"/>
      <c r="H83" s="485"/>
      <c r="I83" s="485"/>
      <c r="J83" s="485"/>
      <c r="K83" s="485"/>
      <c r="L83" s="485"/>
      <c r="M83" s="485"/>
      <c r="N83" s="485"/>
      <c r="O83" s="485"/>
      <c r="P83" s="486"/>
      <c r="Q83" s="486"/>
      <c r="R83" s="486"/>
      <c r="S83" s="486"/>
      <c r="T83" s="486"/>
      <c r="U83" s="486"/>
      <c r="V83" s="486"/>
      <c r="W83" s="486"/>
      <c r="X83" s="486"/>
      <c r="Y83" s="486"/>
      <c r="Z83" s="486"/>
    </row>
    <row r="84" spans="1:26" ht="15.75" customHeight="1">
      <c r="A84" s="482"/>
      <c r="B84" s="486"/>
      <c r="C84" s="485"/>
      <c r="D84" s="485"/>
      <c r="E84" s="485"/>
      <c r="F84" s="485"/>
      <c r="G84" s="485"/>
      <c r="H84" s="485"/>
      <c r="I84" s="485"/>
      <c r="J84" s="485"/>
      <c r="K84" s="485"/>
      <c r="L84" s="485"/>
      <c r="M84" s="485"/>
      <c r="N84" s="485"/>
      <c r="O84" s="485"/>
      <c r="P84" s="486"/>
      <c r="Q84" s="486"/>
      <c r="R84" s="486"/>
      <c r="S84" s="486"/>
      <c r="T84" s="486"/>
      <c r="U84" s="486"/>
      <c r="V84" s="486"/>
      <c r="W84" s="486"/>
      <c r="X84" s="486"/>
      <c r="Y84" s="486"/>
      <c r="Z84" s="486"/>
    </row>
    <row r="85" spans="1:26" ht="15.75" customHeight="1">
      <c r="A85" s="482"/>
      <c r="B85" s="486"/>
      <c r="C85" s="485"/>
      <c r="D85" s="485"/>
      <c r="E85" s="485"/>
      <c r="F85" s="485"/>
      <c r="G85" s="485"/>
      <c r="H85" s="485"/>
      <c r="I85" s="485"/>
      <c r="J85" s="485"/>
      <c r="K85" s="485"/>
      <c r="L85" s="485"/>
      <c r="M85" s="485"/>
      <c r="N85" s="485"/>
      <c r="O85" s="485"/>
      <c r="P85" s="486"/>
      <c r="Q85" s="486"/>
      <c r="R85" s="486"/>
      <c r="S85" s="486"/>
      <c r="T85" s="486"/>
      <c r="U85" s="486"/>
      <c r="V85" s="486"/>
      <c r="W85" s="486"/>
      <c r="X85" s="486"/>
      <c r="Y85" s="486"/>
      <c r="Z85" s="486"/>
    </row>
    <row r="86" spans="1:26" ht="15.75" customHeight="1">
      <c r="A86" s="482"/>
      <c r="B86" s="486"/>
      <c r="C86" s="485"/>
      <c r="D86" s="485"/>
      <c r="E86" s="485"/>
      <c r="F86" s="485"/>
      <c r="G86" s="485"/>
      <c r="H86" s="485"/>
      <c r="I86" s="485"/>
      <c r="J86" s="485"/>
      <c r="K86" s="485"/>
      <c r="L86" s="485"/>
      <c r="M86" s="485"/>
      <c r="N86" s="485"/>
      <c r="O86" s="485"/>
      <c r="P86" s="486"/>
      <c r="Q86" s="486"/>
      <c r="R86" s="486"/>
      <c r="S86" s="486"/>
      <c r="T86" s="486"/>
      <c r="U86" s="486"/>
      <c r="V86" s="486"/>
      <c r="W86" s="486"/>
      <c r="X86" s="486"/>
      <c r="Y86" s="486"/>
      <c r="Z86" s="486"/>
    </row>
    <row r="87" spans="1:26" ht="15.75" customHeight="1">
      <c r="A87" s="482"/>
      <c r="B87" s="486"/>
      <c r="C87" s="485"/>
      <c r="D87" s="485"/>
      <c r="E87" s="485"/>
      <c r="F87" s="485"/>
      <c r="G87" s="485"/>
      <c r="H87" s="485"/>
      <c r="I87" s="485"/>
      <c r="J87" s="485"/>
      <c r="K87" s="485"/>
      <c r="L87" s="485"/>
      <c r="M87" s="485"/>
      <c r="N87" s="485"/>
      <c r="O87" s="485"/>
      <c r="P87" s="486"/>
      <c r="Q87" s="486"/>
      <c r="R87" s="486"/>
      <c r="S87" s="486"/>
      <c r="T87" s="486"/>
      <c r="U87" s="486"/>
      <c r="V87" s="486"/>
      <c r="W87" s="486"/>
      <c r="X87" s="486"/>
      <c r="Y87" s="486"/>
      <c r="Z87" s="486"/>
    </row>
    <row r="88" spans="1:26" ht="15.75" customHeight="1">
      <c r="A88" s="482"/>
      <c r="B88" s="486"/>
      <c r="C88" s="485"/>
      <c r="D88" s="485"/>
      <c r="E88" s="485"/>
      <c r="F88" s="485"/>
      <c r="G88" s="485"/>
      <c r="H88" s="485"/>
      <c r="I88" s="485"/>
      <c r="J88" s="485"/>
      <c r="K88" s="485"/>
      <c r="L88" s="485"/>
      <c r="M88" s="485"/>
      <c r="N88" s="485"/>
      <c r="O88" s="485"/>
      <c r="P88" s="486"/>
      <c r="Q88" s="486"/>
      <c r="R88" s="486"/>
      <c r="S88" s="486"/>
      <c r="T88" s="486"/>
      <c r="U88" s="486"/>
      <c r="V88" s="486"/>
      <c r="W88" s="486"/>
      <c r="X88" s="486"/>
      <c r="Y88" s="486"/>
      <c r="Z88" s="486"/>
    </row>
    <row r="89" spans="1:26" ht="15.75" customHeight="1">
      <c r="A89" s="482"/>
      <c r="B89" s="486"/>
      <c r="C89" s="485"/>
      <c r="D89" s="485"/>
      <c r="E89" s="485"/>
      <c r="F89" s="485"/>
      <c r="G89" s="485"/>
      <c r="H89" s="485"/>
      <c r="I89" s="485"/>
      <c r="J89" s="485"/>
      <c r="K89" s="485"/>
      <c r="L89" s="485"/>
      <c r="M89" s="485"/>
      <c r="N89" s="485"/>
      <c r="O89" s="485"/>
      <c r="P89" s="486"/>
      <c r="Q89" s="486"/>
      <c r="R89" s="486"/>
      <c r="S89" s="486"/>
      <c r="T89" s="486"/>
      <c r="U89" s="486"/>
      <c r="V89" s="486"/>
      <c r="W89" s="486"/>
      <c r="X89" s="486"/>
      <c r="Y89" s="486"/>
      <c r="Z89" s="486"/>
    </row>
    <row r="90" spans="1:26" ht="15.75" customHeight="1">
      <c r="A90" s="482"/>
      <c r="B90" s="486"/>
      <c r="C90" s="485"/>
      <c r="D90" s="485"/>
      <c r="E90" s="485"/>
      <c r="F90" s="485"/>
      <c r="G90" s="485"/>
      <c r="H90" s="485"/>
      <c r="I90" s="485"/>
      <c r="J90" s="485"/>
      <c r="K90" s="485"/>
      <c r="L90" s="485"/>
      <c r="M90" s="485"/>
      <c r="N90" s="485"/>
      <c r="O90" s="485"/>
      <c r="P90" s="486"/>
      <c r="Q90" s="486"/>
      <c r="R90" s="486"/>
      <c r="S90" s="486"/>
      <c r="T90" s="486"/>
      <c r="U90" s="486"/>
      <c r="V90" s="486"/>
      <c r="W90" s="486"/>
      <c r="X90" s="486"/>
      <c r="Y90" s="486"/>
      <c r="Z90" s="486"/>
    </row>
    <row r="91" spans="1:26" ht="15.75" customHeight="1">
      <c r="A91" s="482"/>
      <c r="B91" s="486"/>
      <c r="C91" s="485"/>
      <c r="D91" s="485"/>
      <c r="E91" s="485"/>
      <c r="F91" s="485"/>
      <c r="G91" s="485"/>
      <c r="H91" s="485"/>
      <c r="I91" s="485"/>
      <c r="J91" s="485"/>
      <c r="K91" s="485"/>
      <c r="L91" s="485"/>
      <c r="M91" s="485"/>
      <c r="N91" s="485"/>
      <c r="O91" s="485"/>
      <c r="P91" s="486"/>
      <c r="Q91" s="486"/>
      <c r="R91" s="486"/>
      <c r="S91" s="486"/>
      <c r="T91" s="486"/>
      <c r="U91" s="486"/>
      <c r="V91" s="486"/>
      <c r="W91" s="486"/>
      <c r="X91" s="486"/>
      <c r="Y91" s="486"/>
      <c r="Z91" s="486"/>
    </row>
    <row r="92" spans="1:26" ht="15.75" customHeight="1">
      <c r="A92" s="482"/>
      <c r="B92" s="486"/>
      <c r="C92" s="485"/>
      <c r="D92" s="485"/>
      <c r="E92" s="485"/>
      <c r="F92" s="485"/>
      <c r="G92" s="485"/>
      <c r="H92" s="485"/>
      <c r="I92" s="485"/>
      <c r="J92" s="485"/>
      <c r="K92" s="485"/>
      <c r="L92" s="485"/>
      <c r="M92" s="485"/>
      <c r="N92" s="485"/>
      <c r="O92" s="485"/>
      <c r="P92" s="486"/>
      <c r="Q92" s="486"/>
      <c r="R92" s="486"/>
      <c r="S92" s="486"/>
      <c r="T92" s="486"/>
      <c r="U92" s="486"/>
      <c r="V92" s="486"/>
      <c r="W92" s="486"/>
      <c r="X92" s="486"/>
      <c r="Y92" s="486"/>
      <c r="Z92" s="486"/>
    </row>
    <row r="93" spans="1:26" ht="15.75" customHeight="1">
      <c r="A93" s="482"/>
      <c r="B93" s="486"/>
      <c r="C93" s="485"/>
      <c r="D93" s="485"/>
      <c r="E93" s="485"/>
      <c r="F93" s="485"/>
      <c r="G93" s="485"/>
      <c r="H93" s="485"/>
      <c r="I93" s="485"/>
      <c r="J93" s="485"/>
      <c r="K93" s="485"/>
      <c r="L93" s="485"/>
      <c r="M93" s="485"/>
      <c r="N93" s="485"/>
      <c r="O93" s="485"/>
      <c r="P93" s="486"/>
      <c r="Q93" s="486"/>
      <c r="R93" s="486"/>
      <c r="S93" s="486"/>
      <c r="T93" s="486"/>
      <c r="U93" s="486"/>
      <c r="V93" s="486"/>
      <c r="W93" s="486"/>
      <c r="X93" s="486"/>
      <c r="Y93" s="486"/>
      <c r="Z93" s="486"/>
    </row>
    <row r="94" spans="1:26" ht="15.75" customHeight="1">
      <c r="A94" s="482"/>
      <c r="B94" s="486"/>
      <c r="C94" s="485"/>
      <c r="D94" s="485"/>
      <c r="E94" s="485"/>
      <c r="F94" s="485"/>
      <c r="G94" s="485"/>
      <c r="H94" s="485"/>
      <c r="I94" s="485"/>
      <c r="J94" s="485"/>
      <c r="K94" s="485"/>
      <c r="L94" s="485"/>
      <c r="M94" s="485"/>
      <c r="N94" s="485"/>
      <c r="O94" s="485"/>
      <c r="P94" s="486"/>
      <c r="Q94" s="486"/>
      <c r="R94" s="486"/>
      <c r="S94" s="486"/>
      <c r="T94" s="486"/>
      <c r="U94" s="486"/>
      <c r="V94" s="486"/>
      <c r="W94" s="486"/>
      <c r="X94" s="486"/>
      <c r="Y94" s="486"/>
      <c r="Z94" s="486"/>
    </row>
    <row r="95" spans="1:26" ht="15.75" customHeight="1">
      <c r="A95" s="482"/>
      <c r="B95" s="486"/>
      <c r="C95" s="485"/>
      <c r="D95" s="485"/>
      <c r="E95" s="485"/>
      <c r="F95" s="485"/>
      <c r="G95" s="485"/>
      <c r="H95" s="485"/>
      <c r="I95" s="485"/>
      <c r="J95" s="485"/>
      <c r="K95" s="485"/>
      <c r="L95" s="485"/>
      <c r="M95" s="485"/>
      <c r="N95" s="485"/>
      <c r="O95" s="485"/>
      <c r="P95" s="486"/>
      <c r="Q95" s="486"/>
      <c r="R95" s="486"/>
      <c r="S95" s="486"/>
      <c r="T95" s="486"/>
      <c r="U95" s="486"/>
      <c r="V95" s="486"/>
      <c r="W95" s="486"/>
      <c r="X95" s="486"/>
      <c r="Y95" s="486"/>
      <c r="Z95" s="486"/>
    </row>
    <row r="96" spans="1:26" ht="15.75" customHeight="1">
      <c r="A96" s="482"/>
      <c r="B96" s="486"/>
      <c r="C96" s="485"/>
      <c r="D96" s="485"/>
      <c r="E96" s="485"/>
      <c r="F96" s="485"/>
      <c r="G96" s="485"/>
      <c r="H96" s="485"/>
      <c r="I96" s="485"/>
      <c r="J96" s="485"/>
      <c r="K96" s="485"/>
      <c r="L96" s="485"/>
      <c r="M96" s="485"/>
      <c r="N96" s="485"/>
      <c r="O96" s="485"/>
      <c r="P96" s="486"/>
      <c r="Q96" s="486"/>
      <c r="R96" s="486"/>
      <c r="S96" s="486"/>
      <c r="T96" s="486"/>
      <c r="U96" s="486"/>
      <c r="V96" s="486"/>
      <c r="W96" s="486"/>
      <c r="X96" s="486"/>
      <c r="Y96" s="486"/>
      <c r="Z96" s="486"/>
    </row>
    <row r="97" spans="1:26" ht="15.75" customHeight="1">
      <c r="A97" s="482"/>
      <c r="B97" s="486"/>
      <c r="C97" s="485"/>
      <c r="D97" s="485"/>
      <c r="E97" s="485"/>
      <c r="F97" s="485"/>
      <c r="G97" s="485"/>
      <c r="H97" s="485"/>
      <c r="I97" s="485"/>
      <c r="J97" s="485"/>
      <c r="K97" s="485"/>
      <c r="L97" s="485"/>
      <c r="M97" s="485"/>
      <c r="N97" s="485"/>
      <c r="O97" s="485"/>
      <c r="P97" s="486"/>
      <c r="Q97" s="486"/>
      <c r="R97" s="486"/>
      <c r="S97" s="486"/>
      <c r="T97" s="486"/>
      <c r="U97" s="486"/>
      <c r="V97" s="486"/>
      <c r="W97" s="486"/>
      <c r="X97" s="486"/>
      <c r="Y97" s="486"/>
      <c r="Z97" s="486"/>
    </row>
    <row r="98" spans="1:26" ht="15.75" customHeight="1">
      <c r="A98" s="482"/>
      <c r="B98" s="486"/>
      <c r="C98" s="485"/>
      <c r="D98" s="485"/>
      <c r="E98" s="485"/>
      <c r="F98" s="485"/>
      <c r="G98" s="485"/>
      <c r="H98" s="485"/>
      <c r="I98" s="485"/>
      <c r="J98" s="485"/>
      <c r="K98" s="485"/>
      <c r="L98" s="485"/>
      <c r="M98" s="485"/>
      <c r="N98" s="485"/>
      <c r="O98" s="485"/>
      <c r="P98" s="486"/>
      <c r="Q98" s="486"/>
      <c r="R98" s="486"/>
      <c r="S98" s="486"/>
      <c r="T98" s="486"/>
      <c r="U98" s="486"/>
      <c r="V98" s="486"/>
      <c r="W98" s="486"/>
      <c r="X98" s="486"/>
      <c r="Y98" s="486"/>
      <c r="Z98" s="486"/>
    </row>
    <row r="99" spans="1:26" ht="15.75" customHeight="1">
      <c r="A99" s="482"/>
      <c r="B99" s="486"/>
      <c r="C99" s="485"/>
      <c r="D99" s="485"/>
      <c r="E99" s="485"/>
      <c r="F99" s="485"/>
      <c r="G99" s="485"/>
      <c r="H99" s="485"/>
      <c r="I99" s="485"/>
      <c r="J99" s="485"/>
      <c r="K99" s="485"/>
      <c r="L99" s="485"/>
      <c r="M99" s="485"/>
      <c r="N99" s="485"/>
      <c r="O99" s="485"/>
      <c r="P99" s="486"/>
      <c r="Q99" s="486"/>
      <c r="R99" s="486"/>
      <c r="S99" s="486"/>
      <c r="T99" s="486"/>
      <c r="U99" s="486"/>
      <c r="V99" s="486"/>
      <c r="W99" s="486"/>
      <c r="X99" s="486"/>
      <c r="Y99" s="486"/>
      <c r="Z99" s="486"/>
    </row>
    <row r="100" spans="1:26" ht="15.75" customHeight="1">
      <c r="A100" s="482"/>
      <c r="B100" s="486"/>
      <c r="C100" s="485"/>
      <c r="D100" s="485"/>
      <c r="E100" s="485"/>
      <c r="F100" s="485"/>
      <c r="G100" s="485"/>
      <c r="H100" s="485"/>
      <c r="I100" s="485"/>
      <c r="J100" s="485"/>
      <c r="K100" s="485"/>
      <c r="L100" s="485"/>
      <c r="M100" s="485"/>
      <c r="N100" s="485"/>
      <c r="O100" s="485"/>
      <c r="P100" s="486"/>
      <c r="Q100" s="486"/>
      <c r="R100" s="486"/>
      <c r="S100" s="486"/>
      <c r="T100" s="486"/>
      <c r="U100" s="486"/>
      <c r="V100" s="486"/>
      <c r="W100" s="486"/>
      <c r="X100" s="486"/>
      <c r="Y100" s="486"/>
      <c r="Z100" s="486"/>
    </row>
    <row r="101" spans="1:26" ht="15.75" customHeight="1">
      <c r="A101" s="482"/>
      <c r="B101" s="486"/>
      <c r="C101" s="485"/>
      <c r="D101" s="485"/>
      <c r="E101" s="485"/>
      <c r="F101" s="485"/>
      <c r="G101" s="485"/>
      <c r="H101" s="485"/>
      <c r="I101" s="485"/>
      <c r="J101" s="485"/>
      <c r="K101" s="485"/>
      <c r="L101" s="485"/>
      <c r="M101" s="485"/>
      <c r="N101" s="485"/>
      <c r="O101" s="485"/>
      <c r="P101" s="486"/>
      <c r="Q101" s="486"/>
      <c r="R101" s="486"/>
      <c r="S101" s="486"/>
      <c r="T101" s="486"/>
      <c r="U101" s="486"/>
      <c r="V101" s="486"/>
      <c r="W101" s="486"/>
      <c r="X101" s="486"/>
      <c r="Y101" s="486"/>
      <c r="Z101" s="486"/>
    </row>
    <row r="102" spans="1:26" ht="15.75" customHeight="1">
      <c r="A102" s="482"/>
      <c r="B102" s="486"/>
      <c r="C102" s="485"/>
      <c r="D102" s="485"/>
      <c r="E102" s="485"/>
      <c r="F102" s="485"/>
      <c r="G102" s="485"/>
      <c r="H102" s="485"/>
      <c r="I102" s="485"/>
      <c r="J102" s="485"/>
      <c r="K102" s="485"/>
      <c r="L102" s="485"/>
      <c r="M102" s="485"/>
      <c r="N102" s="485"/>
      <c r="O102" s="485"/>
      <c r="P102" s="486"/>
      <c r="Q102" s="486"/>
      <c r="R102" s="486"/>
      <c r="S102" s="486"/>
      <c r="T102" s="486"/>
      <c r="U102" s="486"/>
      <c r="V102" s="486"/>
      <c r="W102" s="486"/>
      <c r="X102" s="486"/>
      <c r="Y102" s="486"/>
      <c r="Z102" s="486"/>
    </row>
    <row r="103" spans="1:26" ht="15.75" customHeight="1">
      <c r="A103" s="482"/>
      <c r="B103" s="486"/>
      <c r="C103" s="485"/>
      <c r="D103" s="485"/>
      <c r="E103" s="485"/>
      <c r="F103" s="485"/>
      <c r="G103" s="485"/>
      <c r="H103" s="485"/>
      <c r="I103" s="485"/>
      <c r="J103" s="485"/>
      <c r="K103" s="485"/>
      <c r="L103" s="485"/>
      <c r="M103" s="485"/>
      <c r="N103" s="485"/>
      <c r="O103" s="485"/>
      <c r="P103" s="486"/>
      <c r="Q103" s="486"/>
      <c r="R103" s="486"/>
      <c r="S103" s="486"/>
      <c r="T103" s="486"/>
      <c r="U103" s="486"/>
      <c r="V103" s="486"/>
      <c r="W103" s="486"/>
      <c r="X103" s="486"/>
      <c r="Y103" s="486"/>
      <c r="Z103" s="486"/>
    </row>
    <row r="104" spans="1:26" ht="15.75" customHeight="1">
      <c r="A104" s="482"/>
      <c r="B104" s="486"/>
      <c r="C104" s="485"/>
      <c r="D104" s="485"/>
      <c r="E104" s="485"/>
      <c r="F104" s="485"/>
      <c r="G104" s="485"/>
      <c r="H104" s="485"/>
      <c r="I104" s="485"/>
      <c r="J104" s="485"/>
      <c r="K104" s="485"/>
      <c r="L104" s="485"/>
      <c r="M104" s="485"/>
      <c r="N104" s="485"/>
      <c r="O104" s="485"/>
      <c r="P104" s="486"/>
      <c r="Q104" s="486"/>
      <c r="R104" s="486"/>
      <c r="S104" s="486"/>
      <c r="T104" s="486"/>
      <c r="U104" s="486"/>
      <c r="V104" s="486"/>
      <c r="W104" s="486"/>
      <c r="X104" s="486"/>
      <c r="Y104" s="486"/>
      <c r="Z104" s="486"/>
    </row>
    <row r="105" spans="1:26" ht="15.75" customHeight="1">
      <c r="A105" s="482"/>
      <c r="B105" s="486"/>
      <c r="C105" s="485"/>
      <c r="D105" s="485"/>
      <c r="E105" s="485"/>
      <c r="F105" s="485"/>
      <c r="G105" s="485"/>
      <c r="H105" s="485"/>
      <c r="I105" s="485"/>
      <c r="J105" s="485"/>
      <c r="K105" s="485"/>
      <c r="L105" s="485"/>
      <c r="M105" s="485"/>
      <c r="N105" s="485"/>
      <c r="O105" s="485"/>
      <c r="P105" s="486"/>
      <c r="Q105" s="486"/>
      <c r="R105" s="486"/>
      <c r="S105" s="486"/>
      <c r="T105" s="486"/>
      <c r="U105" s="486"/>
      <c r="V105" s="486"/>
      <c r="W105" s="486"/>
      <c r="X105" s="486"/>
      <c r="Y105" s="486"/>
      <c r="Z105" s="486"/>
    </row>
    <row r="106" spans="1:26" ht="15.75" customHeight="1">
      <c r="A106" s="482"/>
      <c r="B106" s="486"/>
      <c r="C106" s="485"/>
      <c r="D106" s="485"/>
      <c r="E106" s="485"/>
      <c r="F106" s="485"/>
      <c r="G106" s="485"/>
      <c r="H106" s="485"/>
      <c r="I106" s="485"/>
      <c r="J106" s="485"/>
      <c r="K106" s="485"/>
      <c r="L106" s="485"/>
      <c r="M106" s="485"/>
      <c r="N106" s="485"/>
      <c r="O106" s="485"/>
      <c r="P106" s="486"/>
      <c r="Q106" s="486"/>
      <c r="R106" s="486"/>
      <c r="S106" s="486"/>
      <c r="T106" s="486"/>
      <c r="U106" s="486"/>
      <c r="V106" s="486"/>
      <c r="W106" s="486"/>
      <c r="X106" s="486"/>
      <c r="Y106" s="486"/>
      <c r="Z106" s="486"/>
    </row>
    <row r="107" spans="1:26" ht="15.75" customHeight="1">
      <c r="A107" s="482"/>
      <c r="B107" s="486"/>
      <c r="C107" s="485"/>
      <c r="D107" s="485"/>
      <c r="E107" s="485"/>
      <c r="F107" s="485"/>
      <c r="G107" s="485"/>
      <c r="H107" s="485"/>
      <c r="I107" s="485"/>
      <c r="J107" s="485"/>
      <c r="K107" s="485"/>
      <c r="L107" s="485"/>
      <c r="M107" s="485"/>
      <c r="N107" s="485"/>
      <c r="O107" s="485"/>
      <c r="P107" s="486"/>
      <c r="Q107" s="486"/>
      <c r="R107" s="486"/>
      <c r="S107" s="486"/>
      <c r="T107" s="486"/>
      <c r="U107" s="486"/>
      <c r="V107" s="486"/>
      <c r="W107" s="486"/>
      <c r="X107" s="486"/>
      <c r="Y107" s="486"/>
      <c r="Z107" s="486"/>
    </row>
    <row r="108" spans="1:26" ht="15.75" customHeight="1">
      <c r="A108" s="482"/>
      <c r="B108" s="486"/>
      <c r="C108" s="485"/>
      <c r="D108" s="485"/>
      <c r="E108" s="485"/>
      <c r="F108" s="485"/>
      <c r="G108" s="485"/>
      <c r="H108" s="485"/>
      <c r="I108" s="485"/>
      <c r="J108" s="485"/>
      <c r="K108" s="485"/>
      <c r="L108" s="485"/>
      <c r="M108" s="485"/>
      <c r="N108" s="485"/>
      <c r="O108" s="485"/>
      <c r="P108" s="486"/>
      <c r="Q108" s="486"/>
      <c r="R108" s="486"/>
      <c r="S108" s="486"/>
      <c r="T108" s="486"/>
      <c r="U108" s="486"/>
      <c r="V108" s="486"/>
      <c r="W108" s="486"/>
      <c r="X108" s="486"/>
      <c r="Y108" s="486"/>
      <c r="Z108" s="486"/>
    </row>
    <row r="109" spans="1:26" ht="15.75" customHeight="1">
      <c r="A109" s="482"/>
      <c r="B109" s="486"/>
      <c r="C109" s="485"/>
      <c r="D109" s="485"/>
      <c r="E109" s="485"/>
      <c r="F109" s="485"/>
      <c r="G109" s="485"/>
      <c r="H109" s="485"/>
      <c r="I109" s="485"/>
      <c r="J109" s="485"/>
      <c r="K109" s="485"/>
      <c r="L109" s="485"/>
      <c r="M109" s="485"/>
      <c r="N109" s="485"/>
      <c r="O109" s="485"/>
      <c r="P109" s="486"/>
      <c r="Q109" s="486"/>
      <c r="R109" s="486"/>
      <c r="S109" s="486"/>
      <c r="T109" s="486"/>
      <c r="U109" s="486"/>
      <c r="V109" s="486"/>
      <c r="W109" s="486"/>
      <c r="X109" s="486"/>
      <c r="Y109" s="486"/>
      <c r="Z109" s="486"/>
    </row>
    <row r="110" spans="1:26" ht="15.75" customHeight="1">
      <c r="A110" s="482"/>
      <c r="B110" s="486"/>
      <c r="C110" s="485"/>
      <c r="D110" s="485"/>
      <c r="E110" s="485"/>
      <c r="F110" s="485"/>
      <c r="G110" s="485"/>
      <c r="H110" s="485"/>
      <c r="I110" s="485"/>
      <c r="J110" s="485"/>
      <c r="K110" s="485"/>
      <c r="L110" s="485"/>
      <c r="M110" s="485"/>
      <c r="N110" s="485"/>
      <c r="O110" s="485"/>
      <c r="P110" s="486"/>
      <c r="Q110" s="486"/>
      <c r="R110" s="486"/>
      <c r="S110" s="486"/>
      <c r="T110" s="486"/>
      <c r="U110" s="486"/>
      <c r="V110" s="486"/>
      <c r="W110" s="486"/>
      <c r="X110" s="486"/>
      <c r="Y110" s="486"/>
      <c r="Z110" s="486"/>
    </row>
    <row r="111" spans="1:26" ht="15.75" customHeight="1">
      <c r="A111" s="482"/>
      <c r="B111" s="486"/>
      <c r="C111" s="485"/>
      <c r="D111" s="485"/>
      <c r="E111" s="485"/>
      <c r="F111" s="485"/>
      <c r="G111" s="485"/>
      <c r="H111" s="485"/>
      <c r="I111" s="485"/>
      <c r="J111" s="485"/>
      <c r="K111" s="485"/>
      <c r="L111" s="485"/>
      <c r="M111" s="485"/>
      <c r="N111" s="485"/>
      <c r="O111" s="485"/>
      <c r="P111" s="486"/>
      <c r="Q111" s="486"/>
      <c r="R111" s="486"/>
      <c r="S111" s="486"/>
      <c r="T111" s="486"/>
      <c r="U111" s="486"/>
      <c r="V111" s="486"/>
      <c r="W111" s="486"/>
      <c r="X111" s="486"/>
      <c r="Y111" s="486"/>
      <c r="Z111" s="486"/>
    </row>
    <row r="112" spans="1:26" ht="15.75" customHeight="1">
      <c r="A112" s="482"/>
      <c r="B112" s="486"/>
      <c r="C112" s="485"/>
      <c r="D112" s="485"/>
      <c r="E112" s="485"/>
      <c r="F112" s="485"/>
      <c r="G112" s="485"/>
      <c r="H112" s="485"/>
      <c r="I112" s="485"/>
      <c r="J112" s="485"/>
      <c r="K112" s="485"/>
      <c r="L112" s="485"/>
      <c r="M112" s="485"/>
      <c r="N112" s="485"/>
      <c r="O112" s="485"/>
      <c r="P112" s="486"/>
      <c r="Q112" s="486"/>
      <c r="R112" s="486"/>
      <c r="S112" s="486"/>
      <c r="T112" s="486"/>
      <c r="U112" s="486"/>
      <c r="V112" s="486"/>
      <c r="W112" s="486"/>
      <c r="X112" s="486"/>
      <c r="Y112" s="486"/>
      <c r="Z112" s="486"/>
    </row>
    <row r="113" spans="1:26" ht="15.75" customHeight="1">
      <c r="A113" s="482"/>
      <c r="B113" s="486"/>
      <c r="C113" s="485"/>
      <c r="D113" s="485"/>
      <c r="E113" s="485"/>
      <c r="F113" s="485"/>
      <c r="G113" s="485"/>
      <c r="H113" s="485"/>
      <c r="I113" s="485"/>
      <c r="J113" s="485"/>
      <c r="K113" s="485"/>
      <c r="L113" s="485"/>
      <c r="M113" s="485"/>
      <c r="N113" s="485"/>
      <c r="O113" s="485"/>
      <c r="P113" s="486"/>
      <c r="Q113" s="486"/>
      <c r="R113" s="486"/>
      <c r="S113" s="486"/>
      <c r="T113" s="486"/>
      <c r="U113" s="486"/>
      <c r="V113" s="486"/>
      <c r="W113" s="486"/>
      <c r="X113" s="486"/>
      <c r="Y113" s="486"/>
      <c r="Z113" s="486"/>
    </row>
    <row r="114" spans="1:26" ht="15.75" customHeight="1">
      <c r="A114" s="482"/>
      <c r="B114" s="486"/>
      <c r="C114" s="485"/>
      <c r="D114" s="485"/>
      <c r="E114" s="485"/>
      <c r="F114" s="485"/>
      <c r="G114" s="485"/>
      <c r="H114" s="485"/>
      <c r="I114" s="485"/>
      <c r="J114" s="485"/>
      <c r="K114" s="485"/>
      <c r="L114" s="485"/>
      <c r="M114" s="485"/>
      <c r="N114" s="485"/>
      <c r="O114" s="485"/>
      <c r="P114" s="486"/>
      <c r="Q114" s="486"/>
      <c r="R114" s="486"/>
      <c r="S114" s="486"/>
      <c r="T114" s="486"/>
      <c r="U114" s="486"/>
      <c r="V114" s="486"/>
      <c r="W114" s="486"/>
      <c r="X114" s="486"/>
      <c r="Y114" s="486"/>
      <c r="Z114" s="486"/>
    </row>
    <row r="115" spans="1:26" ht="15.75" customHeight="1">
      <c r="A115" s="482"/>
      <c r="B115" s="486"/>
      <c r="C115" s="485"/>
      <c r="D115" s="485"/>
      <c r="E115" s="485"/>
      <c r="F115" s="485"/>
      <c r="G115" s="485"/>
      <c r="H115" s="485"/>
      <c r="I115" s="485"/>
      <c r="J115" s="485"/>
      <c r="K115" s="485"/>
      <c r="L115" s="485"/>
      <c r="M115" s="485"/>
      <c r="N115" s="485"/>
      <c r="O115" s="485"/>
      <c r="P115" s="486"/>
      <c r="Q115" s="486"/>
      <c r="R115" s="486"/>
      <c r="S115" s="486"/>
      <c r="T115" s="486"/>
      <c r="U115" s="486"/>
      <c r="V115" s="486"/>
      <c r="W115" s="486"/>
      <c r="X115" s="486"/>
      <c r="Y115" s="486"/>
      <c r="Z115" s="486"/>
    </row>
    <row r="116" spans="1:26" ht="15.75" customHeight="1">
      <c r="A116" s="482"/>
      <c r="B116" s="486"/>
      <c r="C116" s="485"/>
      <c r="D116" s="485"/>
      <c r="E116" s="485"/>
      <c r="F116" s="485"/>
      <c r="G116" s="485"/>
      <c r="H116" s="485"/>
      <c r="I116" s="485"/>
      <c r="J116" s="485"/>
      <c r="K116" s="485"/>
      <c r="L116" s="485"/>
      <c r="M116" s="485"/>
      <c r="N116" s="485"/>
      <c r="O116" s="485"/>
      <c r="P116" s="486"/>
      <c r="Q116" s="486"/>
      <c r="R116" s="486"/>
      <c r="S116" s="486"/>
      <c r="T116" s="486"/>
      <c r="U116" s="486"/>
      <c r="V116" s="486"/>
      <c r="W116" s="486"/>
      <c r="X116" s="486"/>
      <c r="Y116" s="486"/>
      <c r="Z116" s="486"/>
    </row>
    <row r="117" spans="1:26" ht="15.75" customHeight="1">
      <c r="A117" s="482"/>
      <c r="B117" s="486"/>
      <c r="C117" s="485"/>
      <c r="D117" s="485"/>
      <c r="E117" s="485"/>
      <c r="F117" s="485"/>
      <c r="G117" s="485"/>
      <c r="H117" s="485"/>
      <c r="I117" s="485"/>
      <c r="J117" s="485"/>
      <c r="K117" s="485"/>
      <c r="L117" s="485"/>
      <c r="M117" s="485"/>
      <c r="N117" s="485"/>
      <c r="O117" s="485"/>
      <c r="P117" s="486"/>
      <c r="Q117" s="486"/>
      <c r="R117" s="486"/>
      <c r="S117" s="486"/>
      <c r="T117" s="486"/>
      <c r="U117" s="486"/>
      <c r="V117" s="486"/>
      <c r="W117" s="486"/>
      <c r="X117" s="486"/>
      <c r="Y117" s="486"/>
      <c r="Z117" s="486"/>
    </row>
    <row r="118" spans="1:26" ht="15.75" customHeight="1">
      <c r="A118" s="482"/>
      <c r="B118" s="486"/>
      <c r="C118" s="485"/>
      <c r="D118" s="485"/>
      <c r="E118" s="485"/>
      <c r="F118" s="485"/>
      <c r="G118" s="485"/>
      <c r="H118" s="485"/>
      <c r="I118" s="485"/>
      <c r="J118" s="485"/>
      <c r="K118" s="485"/>
      <c r="L118" s="485"/>
      <c r="M118" s="485"/>
      <c r="N118" s="485"/>
      <c r="O118" s="485"/>
      <c r="P118" s="486"/>
      <c r="Q118" s="486"/>
      <c r="R118" s="486"/>
      <c r="S118" s="486"/>
      <c r="T118" s="486"/>
      <c r="U118" s="486"/>
      <c r="V118" s="486"/>
      <c r="W118" s="486"/>
      <c r="X118" s="486"/>
      <c r="Y118" s="486"/>
      <c r="Z118" s="486"/>
    </row>
    <row r="119" spans="1:26" ht="15.75" customHeight="1">
      <c r="A119" s="482"/>
      <c r="B119" s="486"/>
      <c r="C119" s="485"/>
      <c r="D119" s="485"/>
      <c r="E119" s="485"/>
      <c r="F119" s="485"/>
      <c r="G119" s="485"/>
      <c r="H119" s="485"/>
      <c r="I119" s="485"/>
      <c r="J119" s="485"/>
      <c r="K119" s="485"/>
      <c r="L119" s="485"/>
      <c r="M119" s="485"/>
      <c r="N119" s="485"/>
      <c r="O119" s="485"/>
      <c r="P119" s="486"/>
      <c r="Q119" s="486"/>
      <c r="R119" s="486"/>
      <c r="S119" s="486"/>
      <c r="T119" s="486"/>
      <c r="U119" s="486"/>
      <c r="V119" s="486"/>
      <c r="W119" s="486"/>
      <c r="X119" s="486"/>
      <c r="Y119" s="486"/>
      <c r="Z119" s="486"/>
    </row>
    <row r="120" spans="1:26" ht="15.75" customHeight="1">
      <c r="A120" s="482"/>
      <c r="B120" s="486"/>
      <c r="C120" s="485"/>
      <c r="D120" s="485"/>
      <c r="E120" s="485"/>
      <c r="F120" s="485"/>
      <c r="G120" s="485"/>
      <c r="H120" s="485"/>
      <c r="I120" s="485"/>
      <c r="J120" s="485"/>
      <c r="K120" s="485"/>
      <c r="L120" s="485"/>
      <c r="M120" s="485"/>
      <c r="N120" s="485"/>
      <c r="O120" s="485"/>
      <c r="P120" s="486"/>
      <c r="Q120" s="486"/>
      <c r="R120" s="486"/>
      <c r="S120" s="486"/>
      <c r="T120" s="486"/>
      <c r="U120" s="486"/>
      <c r="V120" s="486"/>
      <c r="W120" s="486"/>
      <c r="X120" s="486"/>
      <c r="Y120" s="486"/>
      <c r="Z120" s="486"/>
    </row>
    <row r="121" spans="1:26" ht="15.75" customHeight="1">
      <c r="A121" s="482"/>
      <c r="B121" s="486"/>
      <c r="C121" s="485"/>
      <c r="D121" s="485"/>
      <c r="E121" s="485"/>
      <c r="F121" s="485"/>
      <c r="G121" s="485"/>
      <c r="H121" s="485"/>
      <c r="I121" s="485"/>
      <c r="J121" s="485"/>
      <c r="K121" s="485"/>
      <c r="L121" s="485"/>
      <c r="M121" s="485"/>
      <c r="N121" s="485"/>
      <c r="O121" s="485"/>
      <c r="P121" s="486"/>
      <c r="Q121" s="486"/>
      <c r="R121" s="486"/>
      <c r="S121" s="486"/>
      <c r="T121" s="486"/>
      <c r="U121" s="486"/>
      <c r="V121" s="486"/>
      <c r="W121" s="486"/>
      <c r="X121" s="486"/>
      <c r="Y121" s="486"/>
      <c r="Z121" s="486"/>
    </row>
    <row r="122" spans="1:26" ht="15.75" customHeight="1">
      <c r="A122" s="482"/>
      <c r="B122" s="486"/>
      <c r="C122" s="485"/>
      <c r="D122" s="485"/>
      <c r="E122" s="485"/>
      <c r="F122" s="485"/>
      <c r="G122" s="485"/>
      <c r="H122" s="485"/>
      <c r="I122" s="485"/>
      <c r="J122" s="485"/>
      <c r="K122" s="485"/>
      <c r="L122" s="485"/>
      <c r="M122" s="485"/>
      <c r="N122" s="485"/>
      <c r="O122" s="485"/>
      <c r="P122" s="486"/>
      <c r="Q122" s="486"/>
      <c r="R122" s="486"/>
      <c r="S122" s="486"/>
      <c r="T122" s="486"/>
      <c r="U122" s="486"/>
      <c r="V122" s="486"/>
      <c r="W122" s="486"/>
      <c r="X122" s="486"/>
      <c r="Y122" s="486"/>
      <c r="Z122" s="486"/>
    </row>
    <row r="123" spans="1:26" ht="15.75" customHeight="1">
      <c r="A123" s="482"/>
      <c r="B123" s="486"/>
      <c r="C123" s="485"/>
      <c r="D123" s="485"/>
      <c r="E123" s="485"/>
      <c r="F123" s="485"/>
      <c r="G123" s="485"/>
      <c r="H123" s="485"/>
      <c r="I123" s="485"/>
      <c r="J123" s="485"/>
      <c r="K123" s="485"/>
      <c r="L123" s="485"/>
      <c r="M123" s="485"/>
      <c r="N123" s="485"/>
      <c r="O123" s="485"/>
      <c r="P123" s="486"/>
      <c r="Q123" s="486"/>
      <c r="R123" s="486"/>
      <c r="S123" s="486"/>
      <c r="T123" s="486"/>
      <c r="U123" s="486"/>
      <c r="V123" s="486"/>
      <c r="W123" s="486"/>
      <c r="X123" s="486"/>
      <c r="Y123" s="486"/>
      <c r="Z123" s="486"/>
    </row>
    <row r="124" spans="1:26" ht="15.75" customHeight="1">
      <c r="A124" s="482"/>
      <c r="B124" s="486"/>
      <c r="C124" s="485"/>
      <c r="D124" s="485"/>
      <c r="E124" s="485"/>
      <c r="F124" s="485"/>
      <c r="G124" s="485"/>
      <c r="H124" s="485"/>
      <c r="I124" s="485"/>
      <c r="J124" s="485"/>
      <c r="K124" s="485"/>
      <c r="L124" s="485"/>
      <c r="M124" s="485"/>
      <c r="N124" s="485"/>
      <c r="O124" s="485"/>
      <c r="P124" s="486"/>
      <c r="Q124" s="486"/>
      <c r="R124" s="486"/>
      <c r="S124" s="486"/>
      <c r="T124" s="486"/>
      <c r="U124" s="486"/>
      <c r="V124" s="486"/>
      <c r="W124" s="486"/>
      <c r="X124" s="486"/>
      <c r="Y124" s="486"/>
      <c r="Z124" s="486"/>
    </row>
    <row r="125" spans="1:26" ht="15.75" customHeight="1">
      <c r="A125" s="482"/>
      <c r="B125" s="486"/>
      <c r="C125" s="485"/>
      <c r="D125" s="485"/>
      <c r="E125" s="485"/>
      <c r="F125" s="485"/>
      <c r="G125" s="485"/>
      <c r="H125" s="485"/>
      <c r="I125" s="485"/>
      <c r="J125" s="485"/>
      <c r="K125" s="485"/>
      <c r="L125" s="485"/>
      <c r="M125" s="485"/>
      <c r="N125" s="485"/>
      <c r="O125" s="485"/>
      <c r="P125" s="486"/>
      <c r="Q125" s="486"/>
      <c r="R125" s="486"/>
      <c r="S125" s="486"/>
      <c r="T125" s="486"/>
      <c r="U125" s="486"/>
      <c r="V125" s="486"/>
      <c r="W125" s="486"/>
      <c r="X125" s="486"/>
      <c r="Y125" s="486"/>
      <c r="Z125" s="486"/>
    </row>
    <row r="126" spans="1:26" ht="15.75" customHeight="1">
      <c r="A126" s="482"/>
      <c r="B126" s="486"/>
      <c r="C126" s="485"/>
      <c r="D126" s="485"/>
      <c r="E126" s="485"/>
      <c r="F126" s="485"/>
      <c r="G126" s="485"/>
      <c r="H126" s="485"/>
      <c r="I126" s="485"/>
      <c r="J126" s="485"/>
      <c r="K126" s="485"/>
      <c r="L126" s="485"/>
      <c r="M126" s="485"/>
      <c r="N126" s="485"/>
      <c r="O126" s="485"/>
      <c r="P126" s="486"/>
      <c r="Q126" s="486"/>
      <c r="R126" s="486"/>
      <c r="S126" s="486"/>
      <c r="T126" s="486"/>
      <c r="U126" s="486"/>
      <c r="V126" s="486"/>
      <c r="W126" s="486"/>
      <c r="X126" s="486"/>
      <c r="Y126" s="486"/>
      <c r="Z126" s="486"/>
    </row>
    <row r="127" spans="1:26" ht="15.75" customHeight="1">
      <c r="A127" s="482"/>
      <c r="B127" s="486"/>
      <c r="C127" s="485"/>
      <c r="D127" s="485"/>
      <c r="E127" s="485"/>
      <c r="F127" s="485"/>
      <c r="G127" s="485"/>
      <c r="H127" s="485"/>
      <c r="I127" s="485"/>
      <c r="J127" s="485"/>
      <c r="K127" s="485"/>
      <c r="L127" s="485"/>
      <c r="M127" s="485"/>
      <c r="N127" s="485"/>
      <c r="O127" s="485"/>
      <c r="P127" s="486"/>
      <c r="Q127" s="486"/>
      <c r="R127" s="486"/>
      <c r="S127" s="486"/>
      <c r="T127" s="486"/>
      <c r="U127" s="486"/>
      <c r="V127" s="486"/>
      <c r="W127" s="486"/>
      <c r="X127" s="486"/>
      <c r="Y127" s="486"/>
      <c r="Z127" s="486"/>
    </row>
    <row r="128" spans="1:26" ht="15.75" customHeight="1">
      <c r="A128" s="482"/>
      <c r="B128" s="486"/>
      <c r="C128" s="485"/>
      <c r="D128" s="485"/>
      <c r="E128" s="485"/>
      <c r="F128" s="485"/>
      <c r="G128" s="485"/>
      <c r="H128" s="485"/>
      <c r="I128" s="485"/>
      <c r="J128" s="485"/>
      <c r="K128" s="485"/>
      <c r="L128" s="485"/>
      <c r="M128" s="485"/>
      <c r="N128" s="485"/>
      <c r="O128" s="485"/>
      <c r="P128" s="486"/>
      <c r="Q128" s="486"/>
      <c r="R128" s="486"/>
      <c r="S128" s="486"/>
      <c r="T128" s="486"/>
      <c r="U128" s="486"/>
      <c r="V128" s="486"/>
      <c r="W128" s="486"/>
      <c r="X128" s="486"/>
      <c r="Y128" s="486"/>
      <c r="Z128" s="486"/>
    </row>
    <row r="129" spans="1:26" ht="15.75" customHeight="1">
      <c r="A129" s="482"/>
      <c r="B129" s="486"/>
      <c r="C129" s="485"/>
      <c r="D129" s="485"/>
      <c r="E129" s="485"/>
      <c r="F129" s="485"/>
      <c r="G129" s="485"/>
      <c r="H129" s="485"/>
      <c r="I129" s="485"/>
      <c r="J129" s="485"/>
      <c r="K129" s="485"/>
      <c r="L129" s="485"/>
      <c r="M129" s="485"/>
      <c r="N129" s="485"/>
      <c r="O129" s="485"/>
      <c r="P129" s="486"/>
      <c r="Q129" s="486"/>
      <c r="R129" s="486"/>
      <c r="S129" s="486"/>
      <c r="T129" s="486"/>
      <c r="U129" s="486"/>
      <c r="V129" s="486"/>
      <c r="W129" s="486"/>
      <c r="X129" s="486"/>
      <c r="Y129" s="486"/>
      <c r="Z129" s="486"/>
    </row>
    <row r="130" spans="1:26" ht="15.75" customHeight="1">
      <c r="A130" s="482"/>
      <c r="B130" s="486"/>
      <c r="C130" s="485"/>
      <c r="D130" s="485"/>
      <c r="E130" s="485"/>
      <c r="F130" s="485"/>
      <c r="G130" s="485"/>
      <c r="H130" s="485"/>
      <c r="I130" s="485"/>
      <c r="J130" s="485"/>
      <c r="K130" s="485"/>
      <c r="L130" s="485"/>
      <c r="M130" s="485"/>
      <c r="N130" s="485"/>
      <c r="O130" s="485"/>
      <c r="P130" s="486"/>
      <c r="Q130" s="486"/>
      <c r="R130" s="486"/>
      <c r="S130" s="486"/>
      <c r="T130" s="486"/>
      <c r="U130" s="486"/>
      <c r="V130" s="486"/>
      <c r="W130" s="486"/>
      <c r="X130" s="486"/>
      <c r="Y130" s="486"/>
      <c r="Z130" s="486"/>
    </row>
    <row r="131" spans="1:26" ht="15.75" customHeight="1">
      <c r="A131" s="482"/>
      <c r="B131" s="486"/>
      <c r="C131" s="485"/>
      <c r="D131" s="485"/>
      <c r="E131" s="485"/>
      <c r="F131" s="485"/>
      <c r="G131" s="485"/>
      <c r="H131" s="485"/>
      <c r="I131" s="485"/>
      <c r="J131" s="485"/>
      <c r="K131" s="485"/>
      <c r="L131" s="485"/>
      <c r="M131" s="485"/>
      <c r="N131" s="485"/>
      <c r="O131" s="485"/>
      <c r="P131" s="486"/>
      <c r="Q131" s="486"/>
      <c r="R131" s="486"/>
      <c r="S131" s="486"/>
      <c r="T131" s="486"/>
      <c r="U131" s="486"/>
      <c r="V131" s="486"/>
      <c r="W131" s="486"/>
      <c r="X131" s="486"/>
      <c r="Y131" s="486"/>
      <c r="Z131" s="486"/>
    </row>
    <row r="132" spans="1:26" ht="15.75" customHeight="1">
      <c r="A132" s="482"/>
      <c r="B132" s="486"/>
      <c r="C132" s="485"/>
      <c r="D132" s="485"/>
      <c r="E132" s="485"/>
      <c r="F132" s="485"/>
      <c r="G132" s="485"/>
      <c r="H132" s="485"/>
      <c r="I132" s="485"/>
      <c r="J132" s="485"/>
      <c r="K132" s="485"/>
      <c r="L132" s="485"/>
      <c r="M132" s="485"/>
      <c r="N132" s="485"/>
      <c r="O132" s="485"/>
      <c r="P132" s="486"/>
      <c r="Q132" s="486"/>
      <c r="R132" s="486"/>
      <c r="S132" s="486"/>
      <c r="T132" s="486"/>
      <c r="U132" s="486"/>
      <c r="V132" s="486"/>
      <c r="W132" s="486"/>
      <c r="X132" s="486"/>
      <c r="Y132" s="486"/>
      <c r="Z132" s="486"/>
    </row>
    <row r="133" spans="1:26" ht="15.75" customHeight="1">
      <c r="A133" s="482"/>
      <c r="B133" s="486"/>
      <c r="C133" s="485"/>
      <c r="D133" s="485"/>
      <c r="E133" s="485"/>
      <c r="F133" s="485"/>
      <c r="G133" s="485"/>
      <c r="H133" s="485"/>
      <c r="I133" s="485"/>
      <c r="J133" s="485"/>
      <c r="K133" s="485"/>
      <c r="L133" s="485"/>
      <c r="M133" s="485"/>
      <c r="N133" s="485"/>
      <c r="O133" s="485"/>
      <c r="P133" s="486"/>
      <c r="Q133" s="486"/>
      <c r="R133" s="486"/>
      <c r="S133" s="486"/>
      <c r="T133" s="486"/>
      <c r="U133" s="486"/>
      <c r="V133" s="486"/>
      <c r="W133" s="486"/>
      <c r="X133" s="486"/>
      <c r="Y133" s="486"/>
      <c r="Z133" s="486"/>
    </row>
    <row r="134" spans="1:26" ht="15.75" customHeight="1">
      <c r="A134" s="482"/>
      <c r="B134" s="486"/>
      <c r="C134" s="485"/>
      <c r="D134" s="485"/>
      <c r="E134" s="485"/>
      <c r="F134" s="485"/>
      <c r="G134" s="485"/>
      <c r="H134" s="485"/>
      <c r="I134" s="485"/>
      <c r="J134" s="485"/>
      <c r="K134" s="485"/>
      <c r="L134" s="485"/>
      <c r="M134" s="485"/>
      <c r="N134" s="485"/>
      <c r="O134" s="485"/>
      <c r="P134" s="486"/>
      <c r="Q134" s="486"/>
      <c r="R134" s="486"/>
      <c r="S134" s="486"/>
      <c r="T134" s="486"/>
      <c r="U134" s="486"/>
      <c r="V134" s="486"/>
      <c r="W134" s="486"/>
      <c r="X134" s="486"/>
      <c r="Y134" s="486"/>
      <c r="Z134" s="486"/>
    </row>
    <row r="135" spans="1:26" ht="15.75" customHeight="1">
      <c r="A135" s="482"/>
      <c r="B135" s="486"/>
      <c r="C135" s="485"/>
      <c r="D135" s="485"/>
      <c r="E135" s="485"/>
      <c r="F135" s="485"/>
      <c r="G135" s="485"/>
      <c r="H135" s="485"/>
      <c r="I135" s="485"/>
      <c r="J135" s="485"/>
      <c r="K135" s="485"/>
      <c r="L135" s="485"/>
      <c r="M135" s="485"/>
      <c r="N135" s="485"/>
      <c r="O135" s="485"/>
      <c r="P135" s="486"/>
      <c r="Q135" s="486"/>
      <c r="R135" s="486"/>
      <c r="S135" s="486"/>
      <c r="T135" s="486"/>
      <c r="U135" s="486"/>
      <c r="V135" s="486"/>
      <c r="W135" s="486"/>
      <c r="X135" s="486"/>
      <c r="Y135" s="486"/>
      <c r="Z135" s="486"/>
    </row>
    <row r="136" spans="1:26" ht="15.75" customHeight="1">
      <c r="A136" s="482"/>
      <c r="B136" s="486"/>
      <c r="C136" s="485"/>
      <c r="D136" s="485"/>
      <c r="E136" s="485"/>
      <c r="F136" s="485"/>
      <c r="G136" s="485"/>
      <c r="H136" s="485"/>
      <c r="I136" s="485"/>
      <c r="J136" s="485"/>
      <c r="K136" s="485"/>
      <c r="L136" s="485"/>
      <c r="M136" s="485"/>
      <c r="N136" s="485"/>
      <c r="O136" s="485"/>
      <c r="P136" s="486"/>
      <c r="Q136" s="486"/>
      <c r="R136" s="486"/>
      <c r="S136" s="486"/>
      <c r="T136" s="486"/>
      <c r="U136" s="486"/>
      <c r="V136" s="486"/>
      <c r="W136" s="486"/>
      <c r="X136" s="486"/>
      <c r="Y136" s="486"/>
      <c r="Z136" s="486"/>
    </row>
    <row r="137" spans="1:26" ht="15.75" customHeight="1">
      <c r="A137" s="482"/>
      <c r="B137" s="486"/>
      <c r="C137" s="485"/>
      <c r="D137" s="485"/>
      <c r="E137" s="485"/>
      <c r="F137" s="485"/>
      <c r="G137" s="485"/>
      <c r="H137" s="485"/>
      <c r="I137" s="485"/>
      <c r="J137" s="485"/>
      <c r="K137" s="485"/>
      <c r="L137" s="485"/>
      <c r="M137" s="485"/>
      <c r="N137" s="485"/>
      <c r="O137" s="485"/>
      <c r="P137" s="486"/>
      <c r="Q137" s="486"/>
      <c r="R137" s="486"/>
      <c r="S137" s="486"/>
      <c r="T137" s="486"/>
      <c r="U137" s="486"/>
      <c r="V137" s="486"/>
      <c r="W137" s="486"/>
      <c r="X137" s="486"/>
      <c r="Y137" s="486"/>
      <c r="Z137" s="486"/>
    </row>
    <row r="138" spans="1:26" ht="15.75" customHeight="1">
      <c r="A138" s="482"/>
      <c r="B138" s="486"/>
      <c r="C138" s="485"/>
      <c r="D138" s="485"/>
      <c r="E138" s="485"/>
      <c r="F138" s="485"/>
      <c r="G138" s="485"/>
      <c r="H138" s="485"/>
      <c r="I138" s="485"/>
      <c r="J138" s="485"/>
      <c r="K138" s="485"/>
      <c r="L138" s="485"/>
      <c r="M138" s="485"/>
      <c r="N138" s="485"/>
      <c r="O138" s="485"/>
      <c r="P138" s="486"/>
      <c r="Q138" s="486"/>
      <c r="R138" s="486"/>
      <c r="S138" s="486"/>
      <c r="T138" s="486"/>
      <c r="U138" s="486"/>
      <c r="V138" s="486"/>
      <c r="W138" s="486"/>
      <c r="X138" s="486"/>
      <c r="Y138" s="486"/>
      <c r="Z138" s="486"/>
    </row>
    <row r="139" spans="1:26" ht="15.75" customHeight="1">
      <c r="A139" s="482"/>
      <c r="B139" s="486"/>
      <c r="C139" s="485"/>
      <c r="D139" s="485"/>
      <c r="E139" s="485"/>
      <c r="F139" s="485"/>
      <c r="G139" s="485"/>
      <c r="H139" s="485"/>
      <c r="I139" s="485"/>
      <c r="J139" s="485"/>
      <c r="K139" s="485"/>
      <c r="L139" s="485"/>
      <c r="M139" s="485"/>
      <c r="N139" s="485"/>
      <c r="O139" s="485"/>
      <c r="P139" s="486"/>
      <c r="Q139" s="486"/>
      <c r="R139" s="486"/>
      <c r="S139" s="486"/>
      <c r="T139" s="486"/>
      <c r="U139" s="486"/>
      <c r="V139" s="486"/>
      <c r="W139" s="486"/>
      <c r="X139" s="486"/>
      <c r="Y139" s="486"/>
      <c r="Z139" s="486"/>
    </row>
    <row r="140" spans="1:26" ht="15.75" customHeight="1">
      <c r="A140" s="482"/>
      <c r="B140" s="486"/>
      <c r="C140" s="485"/>
      <c r="D140" s="485"/>
      <c r="E140" s="485"/>
      <c r="F140" s="485"/>
      <c r="G140" s="485"/>
      <c r="H140" s="485"/>
      <c r="I140" s="485"/>
      <c r="J140" s="485"/>
      <c r="K140" s="485"/>
      <c r="L140" s="485"/>
      <c r="M140" s="485"/>
      <c r="N140" s="485"/>
      <c r="O140" s="485"/>
      <c r="P140" s="486"/>
      <c r="Q140" s="486"/>
      <c r="R140" s="486"/>
      <c r="S140" s="486"/>
      <c r="T140" s="486"/>
      <c r="U140" s="486"/>
      <c r="V140" s="486"/>
      <c r="W140" s="486"/>
      <c r="X140" s="486"/>
      <c r="Y140" s="486"/>
      <c r="Z140" s="486"/>
    </row>
    <row r="141" spans="1:26" ht="15.75" customHeight="1">
      <c r="A141" s="482"/>
      <c r="B141" s="486"/>
      <c r="C141" s="485"/>
      <c r="D141" s="485"/>
      <c r="E141" s="485"/>
      <c r="F141" s="485"/>
      <c r="G141" s="485"/>
      <c r="H141" s="485"/>
      <c r="I141" s="485"/>
      <c r="J141" s="485"/>
      <c r="K141" s="485"/>
      <c r="L141" s="485"/>
      <c r="M141" s="485"/>
      <c r="N141" s="485"/>
      <c r="O141" s="485"/>
      <c r="P141" s="486"/>
      <c r="Q141" s="486"/>
      <c r="R141" s="486"/>
      <c r="S141" s="486"/>
      <c r="T141" s="486"/>
      <c r="U141" s="486"/>
      <c r="V141" s="486"/>
      <c r="W141" s="486"/>
      <c r="X141" s="486"/>
      <c r="Y141" s="486"/>
      <c r="Z141" s="486"/>
    </row>
    <row r="142" spans="1:26" ht="15.75" customHeight="1">
      <c r="A142" s="482"/>
      <c r="B142" s="486"/>
      <c r="C142" s="485"/>
      <c r="D142" s="485"/>
      <c r="E142" s="485"/>
      <c r="F142" s="485"/>
      <c r="G142" s="485"/>
      <c r="H142" s="485"/>
      <c r="I142" s="485"/>
      <c r="J142" s="485"/>
      <c r="K142" s="485"/>
      <c r="L142" s="485"/>
      <c r="M142" s="485"/>
      <c r="N142" s="485"/>
      <c r="O142" s="485"/>
      <c r="P142" s="486"/>
      <c r="Q142" s="486"/>
      <c r="R142" s="486"/>
      <c r="S142" s="486"/>
      <c r="T142" s="486"/>
      <c r="U142" s="486"/>
      <c r="V142" s="486"/>
      <c r="W142" s="486"/>
      <c r="X142" s="486"/>
      <c r="Y142" s="486"/>
      <c r="Z142" s="486"/>
    </row>
    <row r="143" spans="1:26" ht="15.75" customHeight="1">
      <c r="A143" s="482"/>
      <c r="B143" s="486"/>
      <c r="C143" s="485"/>
      <c r="D143" s="485"/>
      <c r="E143" s="485"/>
      <c r="F143" s="485"/>
      <c r="G143" s="485"/>
      <c r="H143" s="485"/>
      <c r="I143" s="485"/>
      <c r="J143" s="485"/>
      <c r="K143" s="485"/>
      <c r="L143" s="485"/>
      <c r="M143" s="485"/>
      <c r="N143" s="485"/>
      <c r="O143" s="485"/>
      <c r="P143" s="486"/>
      <c r="Q143" s="486"/>
      <c r="R143" s="486"/>
      <c r="S143" s="486"/>
      <c r="T143" s="486"/>
      <c r="U143" s="486"/>
      <c r="V143" s="486"/>
      <c r="W143" s="486"/>
      <c r="X143" s="486"/>
      <c r="Y143" s="486"/>
      <c r="Z143" s="486"/>
    </row>
    <row r="144" spans="1:26" ht="15.75" customHeight="1">
      <c r="A144" s="482"/>
      <c r="B144" s="486"/>
      <c r="C144" s="485"/>
      <c r="D144" s="485"/>
      <c r="E144" s="485"/>
      <c r="F144" s="485"/>
      <c r="G144" s="485"/>
      <c r="H144" s="485"/>
      <c r="I144" s="485"/>
      <c r="J144" s="485"/>
      <c r="K144" s="485"/>
      <c r="L144" s="485"/>
      <c r="M144" s="485"/>
      <c r="N144" s="485"/>
      <c r="O144" s="485"/>
      <c r="P144" s="486"/>
      <c r="Q144" s="486"/>
      <c r="R144" s="486"/>
      <c r="S144" s="486"/>
      <c r="T144" s="486"/>
      <c r="U144" s="486"/>
      <c r="V144" s="486"/>
      <c r="W144" s="486"/>
      <c r="X144" s="486"/>
      <c r="Y144" s="486"/>
      <c r="Z144" s="486"/>
    </row>
    <row r="145" spans="1:26" ht="15.75" customHeight="1">
      <c r="A145" s="482"/>
      <c r="B145" s="486"/>
      <c r="C145" s="485"/>
      <c r="D145" s="485"/>
      <c r="E145" s="485"/>
      <c r="F145" s="485"/>
      <c r="G145" s="485"/>
      <c r="H145" s="485"/>
      <c r="I145" s="485"/>
      <c r="J145" s="485"/>
      <c r="K145" s="485"/>
      <c r="L145" s="485"/>
      <c r="M145" s="485"/>
      <c r="N145" s="485"/>
      <c r="O145" s="485"/>
      <c r="P145" s="486"/>
      <c r="Q145" s="486"/>
      <c r="R145" s="486"/>
      <c r="S145" s="486"/>
      <c r="T145" s="486"/>
      <c r="U145" s="486"/>
      <c r="V145" s="486"/>
      <c r="W145" s="486"/>
      <c r="X145" s="486"/>
      <c r="Y145" s="486"/>
      <c r="Z145" s="486"/>
    </row>
    <row r="146" spans="1:26" ht="15.75" customHeight="1">
      <c r="A146" s="482"/>
      <c r="B146" s="486"/>
      <c r="C146" s="485"/>
      <c r="D146" s="485"/>
      <c r="E146" s="485"/>
      <c r="F146" s="485"/>
      <c r="G146" s="485"/>
      <c r="H146" s="485"/>
      <c r="I146" s="485"/>
      <c r="J146" s="485"/>
      <c r="K146" s="485"/>
      <c r="L146" s="485"/>
      <c r="M146" s="485"/>
      <c r="N146" s="485"/>
      <c r="O146" s="485"/>
      <c r="P146" s="486"/>
      <c r="Q146" s="486"/>
      <c r="R146" s="486"/>
      <c r="S146" s="486"/>
      <c r="T146" s="486"/>
      <c r="U146" s="486"/>
      <c r="V146" s="486"/>
      <c r="W146" s="486"/>
      <c r="X146" s="486"/>
      <c r="Y146" s="486"/>
      <c r="Z146" s="486"/>
    </row>
    <row r="147" spans="1:26" ht="15.75" customHeight="1">
      <c r="A147" s="482"/>
      <c r="B147" s="486"/>
      <c r="C147" s="485"/>
      <c r="D147" s="485"/>
      <c r="E147" s="485"/>
      <c r="F147" s="485"/>
      <c r="G147" s="485"/>
      <c r="H147" s="485"/>
      <c r="I147" s="485"/>
      <c r="J147" s="485"/>
      <c r="K147" s="485"/>
      <c r="L147" s="485"/>
      <c r="M147" s="485"/>
      <c r="N147" s="485"/>
      <c r="O147" s="485"/>
      <c r="P147" s="486"/>
      <c r="Q147" s="486"/>
      <c r="R147" s="486"/>
      <c r="S147" s="486"/>
      <c r="T147" s="486"/>
      <c r="U147" s="486"/>
      <c r="V147" s="486"/>
      <c r="W147" s="486"/>
      <c r="X147" s="486"/>
      <c r="Y147" s="486"/>
      <c r="Z147" s="486"/>
    </row>
    <row r="148" spans="1:26" ht="15.75" customHeight="1">
      <c r="A148" s="482"/>
      <c r="B148" s="486"/>
      <c r="C148" s="485"/>
      <c r="D148" s="485"/>
      <c r="E148" s="485"/>
      <c r="F148" s="485"/>
      <c r="G148" s="485"/>
      <c r="H148" s="485"/>
      <c r="I148" s="485"/>
      <c r="J148" s="485"/>
      <c r="K148" s="485"/>
      <c r="L148" s="485"/>
      <c r="M148" s="485"/>
      <c r="N148" s="485"/>
      <c r="O148" s="485"/>
      <c r="P148" s="486"/>
      <c r="Q148" s="486"/>
      <c r="R148" s="486"/>
      <c r="S148" s="486"/>
      <c r="T148" s="486"/>
      <c r="U148" s="486"/>
      <c r="V148" s="486"/>
      <c r="W148" s="486"/>
      <c r="X148" s="486"/>
      <c r="Y148" s="486"/>
      <c r="Z148" s="486"/>
    </row>
    <row r="149" spans="1:26" ht="15.75" customHeight="1">
      <c r="A149" s="482"/>
      <c r="B149" s="486"/>
      <c r="C149" s="485"/>
      <c r="D149" s="485"/>
      <c r="E149" s="485"/>
      <c r="F149" s="485"/>
      <c r="G149" s="485"/>
      <c r="H149" s="485"/>
      <c r="I149" s="485"/>
      <c r="J149" s="485"/>
      <c r="K149" s="485"/>
      <c r="L149" s="485"/>
      <c r="M149" s="485"/>
      <c r="N149" s="485"/>
      <c r="O149" s="485"/>
      <c r="P149" s="486"/>
      <c r="Q149" s="486"/>
      <c r="R149" s="486"/>
      <c r="S149" s="486"/>
      <c r="T149" s="486"/>
      <c r="U149" s="486"/>
      <c r="V149" s="486"/>
      <c r="W149" s="486"/>
      <c r="X149" s="486"/>
      <c r="Y149" s="486"/>
      <c r="Z149" s="486"/>
    </row>
    <row r="150" spans="1:26" ht="15.75" customHeight="1">
      <c r="A150" s="482"/>
      <c r="B150" s="486"/>
      <c r="C150" s="485"/>
      <c r="D150" s="485"/>
      <c r="E150" s="485"/>
      <c r="F150" s="485"/>
      <c r="G150" s="485"/>
      <c r="H150" s="485"/>
      <c r="I150" s="485"/>
      <c r="J150" s="485"/>
      <c r="K150" s="485"/>
      <c r="L150" s="485"/>
      <c r="M150" s="485"/>
      <c r="N150" s="485"/>
      <c r="O150" s="485"/>
      <c r="P150" s="486"/>
      <c r="Q150" s="486"/>
      <c r="R150" s="486"/>
      <c r="S150" s="486"/>
      <c r="T150" s="486"/>
      <c r="U150" s="486"/>
      <c r="V150" s="486"/>
      <c r="W150" s="486"/>
      <c r="X150" s="486"/>
      <c r="Y150" s="486"/>
      <c r="Z150" s="486"/>
    </row>
    <row r="151" spans="1:26" ht="15.75" customHeight="1">
      <c r="A151" s="482"/>
      <c r="B151" s="486"/>
      <c r="C151" s="485"/>
      <c r="D151" s="485"/>
      <c r="E151" s="485"/>
      <c r="F151" s="485"/>
      <c r="G151" s="485"/>
      <c r="H151" s="485"/>
      <c r="I151" s="485"/>
      <c r="J151" s="485"/>
      <c r="K151" s="485"/>
      <c r="L151" s="485"/>
      <c r="M151" s="485"/>
      <c r="N151" s="485"/>
      <c r="O151" s="485"/>
      <c r="P151" s="486"/>
      <c r="Q151" s="486"/>
      <c r="R151" s="486"/>
      <c r="S151" s="486"/>
      <c r="T151" s="486"/>
      <c r="U151" s="486"/>
      <c r="V151" s="486"/>
      <c r="W151" s="486"/>
      <c r="X151" s="486"/>
      <c r="Y151" s="486"/>
      <c r="Z151" s="486"/>
    </row>
    <row r="152" spans="1:26" ht="15.75" customHeight="1">
      <c r="A152" s="482"/>
      <c r="B152" s="486"/>
      <c r="C152" s="485"/>
      <c r="D152" s="485"/>
      <c r="E152" s="485"/>
      <c r="F152" s="485"/>
      <c r="G152" s="485"/>
      <c r="H152" s="485"/>
      <c r="I152" s="485"/>
      <c r="J152" s="485"/>
      <c r="K152" s="485"/>
      <c r="L152" s="485"/>
      <c r="M152" s="485"/>
      <c r="N152" s="485"/>
      <c r="O152" s="485"/>
      <c r="P152" s="486"/>
      <c r="Q152" s="486"/>
      <c r="R152" s="486"/>
      <c r="S152" s="486"/>
      <c r="T152" s="486"/>
      <c r="U152" s="486"/>
      <c r="V152" s="486"/>
      <c r="W152" s="486"/>
      <c r="X152" s="486"/>
      <c r="Y152" s="486"/>
      <c r="Z152" s="486"/>
    </row>
    <row r="153" spans="1:26" ht="15.75" customHeight="1">
      <c r="A153" s="482"/>
      <c r="B153" s="486"/>
      <c r="C153" s="485"/>
      <c r="D153" s="485"/>
      <c r="E153" s="485"/>
      <c r="F153" s="485"/>
      <c r="G153" s="485"/>
      <c r="H153" s="485"/>
      <c r="I153" s="485"/>
      <c r="J153" s="485"/>
      <c r="K153" s="485"/>
      <c r="L153" s="485"/>
      <c r="M153" s="485"/>
      <c r="N153" s="485"/>
      <c r="O153" s="485"/>
      <c r="P153" s="486"/>
      <c r="Q153" s="486"/>
      <c r="R153" s="486"/>
      <c r="S153" s="486"/>
      <c r="T153" s="486"/>
      <c r="U153" s="486"/>
      <c r="V153" s="486"/>
      <c r="W153" s="486"/>
      <c r="X153" s="486"/>
      <c r="Y153" s="486"/>
      <c r="Z153" s="486"/>
    </row>
    <row r="154" spans="1:26" ht="15.75" customHeight="1">
      <c r="A154" s="482"/>
      <c r="B154" s="486"/>
      <c r="C154" s="485"/>
      <c r="D154" s="485"/>
      <c r="E154" s="485"/>
      <c r="F154" s="485"/>
      <c r="G154" s="485"/>
      <c r="H154" s="485"/>
      <c r="I154" s="485"/>
      <c r="J154" s="485"/>
      <c r="K154" s="485"/>
      <c r="L154" s="485"/>
      <c r="M154" s="485"/>
      <c r="N154" s="485"/>
      <c r="O154" s="485"/>
      <c r="P154" s="486"/>
      <c r="Q154" s="486"/>
      <c r="R154" s="486"/>
      <c r="S154" s="486"/>
      <c r="T154" s="486"/>
      <c r="U154" s="486"/>
      <c r="V154" s="486"/>
      <c r="W154" s="486"/>
      <c r="X154" s="486"/>
      <c r="Y154" s="486"/>
      <c r="Z154" s="486"/>
    </row>
    <row r="155" spans="1:26" ht="15.75" customHeight="1">
      <c r="A155" s="482"/>
      <c r="B155" s="486"/>
      <c r="C155" s="485"/>
      <c r="D155" s="485"/>
      <c r="E155" s="485"/>
      <c r="F155" s="485"/>
      <c r="G155" s="485"/>
      <c r="H155" s="485"/>
      <c r="I155" s="485"/>
      <c r="J155" s="485"/>
      <c r="K155" s="485"/>
      <c r="L155" s="485"/>
      <c r="M155" s="485"/>
      <c r="N155" s="485"/>
      <c r="O155" s="485"/>
      <c r="P155" s="486"/>
      <c r="Q155" s="486"/>
      <c r="R155" s="486"/>
      <c r="S155" s="486"/>
      <c r="T155" s="486"/>
      <c r="U155" s="486"/>
      <c r="V155" s="486"/>
      <c r="W155" s="486"/>
      <c r="X155" s="486"/>
      <c r="Y155" s="486"/>
      <c r="Z155" s="486"/>
    </row>
    <row r="156" spans="1:26" ht="15.75" customHeight="1">
      <c r="A156" s="482"/>
      <c r="B156" s="486"/>
      <c r="C156" s="485"/>
      <c r="D156" s="485"/>
      <c r="E156" s="485"/>
      <c r="F156" s="485"/>
      <c r="G156" s="485"/>
      <c r="H156" s="485"/>
      <c r="I156" s="485"/>
      <c r="J156" s="485"/>
      <c r="K156" s="485"/>
      <c r="L156" s="485"/>
      <c r="M156" s="485"/>
      <c r="N156" s="485"/>
      <c r="O156" s="485"/>
      <c r="P156" s="486"/>
      <c r="Q156" s="486"/>
      <c r="R156" s="486"/>
      <c r="S156" s="486"/>
      <c r="T156" s="486"/>
      <c r="U156" s="486"/>
      <c r="V156" s="486"/>
      <c r="W156" s="486"/>
      <c r="X156" s="486"/>
      <c r="Y156" s="486"/>
      <c r="Z156" s="486"/>
    </row>
    <row r="157" spans="1:26" ht="15.75" customHeight="1">
      <c r="A157" s="482"/>
      <c r="B157" s="486"/>
      <c r="C157" s="485"/>
      <c r="D157" s="485"/>
      <c r="E157" s="485"/>
      <c r="F157" s="485"/>
      <c r="G157" s="485"/>
      <c r="H157" s="485"/>
      <c r="I157" s="485"/>
      <c r="J157" s="485"/>
      <c r="K157" s="485"/>
      <c r="L157" s="485"/>
      <c r="M157" s="485"/>
      <c r="N157" s="485"/>
      <c r="O157" s="485"/>
      <c r="P157" s="486"/>
      <c r="Q157" s="486"/>
      <c r="R157" s="486"/>
      <c r="S157" s="486"/>
      <c r="T157" s="486"/>
      <c r="U157" s="486"/>
      <c r="V157" s="486"/>
      <c r="W157" s="486"/>
      <c r="X157" s="486"/>
      <c r="Y157" s="486"/>
      <c r="Z157" s="486"/>
    </row>
    <row r="158" spans="1:26" ht="15.75" customHeight="1">
      <c r="A158" s="482"/>
      <c r="B158" s="486"/>
      <c r="C158" s="485"/>
      <c r="D158" s="485"/>
      <c r="E158" s="485"/>
      <c r="F158" s="485"/>
      <c r="G158" s="485"/>
      <c r="H158" s="485"/>
      <c r="I158" s="485"/>
      <c r="J158" s="485"/>
      <c r="K158" s="485"/>
      <c r="L158" s="485"/>
      <c r="M158" s="485"/>
      <c r="N158" s="485"/>
      <c r="O158" s="485"/>
      <c r="P158" s="486"/>
      <c r="Q158" s="486"/>
      <c r="R158" s="486"/>
      <c r="S158" s="486"/>
      <c r="T158" s="486"/>
      <c r="U158" s="486"/>
      <c r="V158" s="486"/>
      <c r="W158" s="486"/>
      <c r="X158" s="486"/>
      <c r="Y158" s="486"/>
      <c r="Z158" s="486"/>
    </row>
    <row r="159" spans="1:26" ht="15.75" customHeight="1">
      <c r="A159" s="482"/>
      <c r="B159" s="486"/>
      <c r="C159" s="485"/>
      <c r="D159" s="485"/>
      <c r="E159" s="485"/>
      <c r="F159" s="485"/>
      <c r="G159" s="485"/>
      <c r="H159" s="485"/>
      <c r="I159" s="485"/>
      <c r="J159" s="485"/>
      <c r="K159" s="485"/>
      <c r="L159" s="485"/>
      <c r="M159" s="485"/>
      <c r="N159" s="485"/>
      <c r="O159" s="485"/>
      <c r="P159" s="486"/>
      <c r="Q159" s="486"/>
      <c r="R159" s="486"/>
      <c r="S159" s="486"/>
      <c r="T159" s="486"/>
      <c r="U159" s="486"/>
      <c r="V159" s="486"/>
      <c r="W159" s="486"/>
      <c r="X159" s="486"/>
      <c r="Y159" s="486"/>
      <c r="Z159" s="486"/>
    </row>
    <row r="160" spans="1:26" ht="15.75" customHeight="1">
      <c r="A160" s="482"/>
      <c r="B160" s="486"/>
      <c r="C160" s="485"/>
      <c r="D160" s="485"/>
      <c r="E160" s="485"/>
      <c r="F160" s="485"/>
      <c r="G160" s="485"/>
      <c r="H160" s="485"/>
      <c r="I160" s="485"/>
      <c r="J160" s="485"/>
      <c r="K160" s="485"/>
      <c r="L160" s="485"/>
      <c r="M160" s="485"/>
      <c r="N160" s="485"/>
      <c r="O160" s="485"/>
      <c r="P160" s="486"/>
      <c r="Q160" s="486"/>
      <c r="R160" s="486"/>
      <c r="S160" s="486"/>
      <c r="T160" s="486"/>
      <c r="U160" s="486"/>
      <c r="V160" s="486"/>
      <c r="W160" s="486"/>
      <c r="X160" s="486"/>
      <c r="Y160" s="486"/>
      <c r="Z160" s="486"/>
    </row>
    <row r="161" spans="1:26" ht="15.75" customHeight="1">
      <c r="A161" s="482"/>
      <c r="B161" s="486"/>
      <c r="C161" s="485"/>
      <c r="D161" s="485"/>
      <c r="E161" s="485"/>
      <c r="F161" s="485"/>
      <c r="G161" s="485"/>
      <c r="H161" s="485"/>
      <c r="I161" s="485"/>
      <c r="J161" s="485"/>
      <c r="K161" s="485"/>
      <c r="L161" s="485"/>
      <c r="M161" s="485"/>
      <c r="N161" s="485"/>
      <c r="O161" s="485"/>
      <c r="P161" s="486"/>
      <c r="Q161" s="486"/>
      <c r="R161" s="486"/>
      <c r="S161" s="486"/>
      <c r="T161" s="486"/>
      <c r="U161" s="486"/>
      <c r="V161" s="486"/>
      <c r="W161" s="486"/>
      <c r="X161" s="486"/>
      <c r="Y161" s="486"/>
      <c r="Z161" s="486"/>
    </row>
    <row r="162" spans="1:26" ht="15.75" customHeight="1">
      <c r="A162" s="482"/>
      <c r="B162" s="486"/>
      <c r="C162" s="485"/>
      <c r="D162" s="485"/>
      <c r="E162" s="485"/>
      <c r="F162" s="485"/>
      <c r="G162" s="485"/>
      <c r="H162" s="485"/>
      <c r="I162" s="485"/>
      <c r="J162" s="485"/>
      <c r="K162" s="485"/>
      <c r="L162" s="485"/>
      <c r="M162" s="485"/>
      <c r="N162" s="485"/>
      <c r="O162" s="485"/>
      <c r="P162" s="486"/>
      <c r="Q162" s="486"/>
      <c r="R162" s="486"/>
      <c r="S162" s="486"/>
      <c r="T162" s="486"/>
      <c r="U162" s="486"/>
      <c r="V162" s="486"/>
      <c r="W162" s="486"/>
      <c r="X162" s="486"/>
      <c r="Y162" s="486"/>
      <c r="Z162" s="486"/>
    </row>
    <row r="163" spans="1:26" ht="15.75" customHeight="1">
      <c r="A163" s="482"/>
      <c r="B163" s="486"/>
      <c r="C163" s="485"/>
      <c r="D163" s="485"/>
      <c r="E163" s="485"/>
      <c r="F163" s="485"/>
      <c r="G163" s="485"/>
      <c r="H163" s="485"/>
      <c r="I163" s="485"/>
      <c r="J163" s="485"/>
      <c r="K163" s="485"/>
      <c r="L163" s="485"/>
      <c r="M163" s="485"/>
      <c r="N163" s="485"/>
      <c r="O163" s="485"/>
      <c r="P163" s="486"/>
      <c r="Q163" s="486"/>
      <c r="R163" s="486"/>
      <c r="S163" s="486"/>
      <c r="T163" s="486"/>
      <c r="U163" s="486"/>
      <c r="V163" s="486"/>
      <c r="W163" s="486"/>
      <c r="X163" s="486"/>
      <c r="Y163" s="486"/>
      <c r="Z163" s="486"/>
    </row>
    <row r="164" spans="1:26" ht="15.75" customHeight="1">
      <c r="A164" s="482"/>
      <c r="B164" s="486"/>
      <c r="C164" s="485"/>
      <c r="D164" s="485"/>
      <c r="E164" s="485"/>
      <c r="F164" s="485"/>
      <c r="G164" s="485"/>
      <c r="H164" s="485"/>
      <c r="I164" s="485"/>
      <c r="J164" s="485"/>
      <c r="K164" s="485"/>
      <c r="L164" s="485"/>
      <c r="M164" s="485"/>
      <c r="N164" s="485"/>
      <c r="O164" s="485"/>
      <c r="P164" s="486"/>
      <c r="Q164" s="486"/>
      <c r="R164" s="486"/>
      <c r="S164" s="486"/>
      <c r="T164" s="486"/>
      <c r="U164" s="486"/>
      <c r="V164" s="486"/>
      <c r="W164" s="486"/>
      <c r="X164" s="486"/>
      <c r="Y164" s="486"/>
      <c r="Z164" s="486"/>
    </row>
    <row r="165" spans="1:26" ht="15.75" customHeight="1">
      <c r="A165" s="482"/>
      <c r="B165" s="486"/>
      <c r="C165" s="485"/>
      <c r="D165" s="485"/>
      <c r="E165" s="485"/>
      <c r="F165" s="485"/>
      <c r="G165" s="485"/>
      <c r="H165" s="485"/>
      <c r="I165" s="485"/>
      <c r="J165" s="485"/>
      <c r="K165" s="485"/>
      <c r="L165" s="485"/>
      <c r="M165" s="485"/>
      <c r="N165" s="485"/>
      <c r="O165" s="485"/>
      <c r="P165" s="486"/>
      <c r="Q165" s="486"/>
      <c r="R165" s="486"/>
      <c r="S165" s="486"/>
      <c r="T165" s="486"/>
      <c r="U165" s="486"/>
      <c r="V165" s="486"/>
      <c r="W165" s="486"/>
      <c r="X165" s="486"/>
      <c r="Y165" s="486"/>
      <c r="Z165" s="486"/>
    </row>
    <row r="166" spans="1:26" ht="15.75" customHeight="1">
      <c r="A166" s="482"/>
      <c r="B166" s="486"/>
      <c r="C166" s="485"/>
      <c r="D166" s="485"/>
      <c r="E166" s="485"/>
      <c r="F166" s="485"/>
      <c r="G166" s="485"/>
      <c r="H166" s="485"/>
      <c r="I166" s="485"/>
      <c r="J166" s="485"/>
      <c r="K166" s="485"/>
      <c r="L166" s="485"/>
      <c r="M166" s="485"/>
      <c r="N166" s="485"/>
      <c r="O166" s="485"/>
      <c r="P166" s="486"/>
      <c r="Q166" s="486"/>
      <c r="R166" s="486"/>
      <c r="S166" s="486"/>
      <c r="T166" s="486"/>
      <c r="U166" s="486"/>
      <c r="V166" s="486"/>
      <c r="W166" s="486"/>
      <c r="X166" s="486"/>
      <c r="Y166" s="486"/>
      <c r="Z166" s="486"/>
    </row>
    <row r="167" spans="1:26" ht="15.75" customHeight="1">
      <c r="A167" s="482"/>
      <c r="B167" s="486"/>
      <c r="C167" s="485"/>
      <c r="D167" s="485"/>
      <c r="E167" s="485"/>
      <c r="F167" s="485"/>
      <c r="G167" s="485"/>
      <c r="H167" s="485"/>
      <c r="I167" s="485"/>
      <c r="J167" s="485"/>
      <c r="K167" s="485"/>
      <c r="L167" s="485"/>
      <c r="M167" s="485"/>
      <c r="N167" s="485"/>
      <c r="O167" s="485"/>
      <c r="P167" s="486"/>
      <c r="Q167" s="486"/>
      <c r="R167" s="486"/>
      <c r="S167" s="486"/>
      <c r="T167" s="486"/>
      <c r="U167" s="486"/>
      <c r="V167" s="486"/>
      <c r="W167" s="486"/>
      <c r="X167" s="486"/>
      <c r="Y167" s="486"/>
      <c r="Z167" s="486"/>
    </row>
    <row r="168" spans="1:26" ht="15.75" customHeight="1">
      <c r="A168" s="482"/>
      <c r="B168" s="486"/>
      <c r="C168" s="485"/>
      <c r="D168" s="485"/>
      <c r="E168" s="485"/>
      <c r="F168" s="485"/>
      <c r="G168" s="485"/>
      <c r="H168" s="485"/>
      <c r="I168" s="485"/>
      <c r="J168" s="485"/>
      <c r="K168" s="485"/>
      <c r="L168" s="485"/>
      <c r="M168" s="485"/>
      <c r="N168" s="485"/>
      <c r="O168" s="485"/>
      <c r="P168" s="486"/>
      <c r="Q168" s="486"/>
      <c r="R168" s="486"/>
      <c r="S168" s="486"/>
      <c r="T168" s="486"/>
      <c r="U168" s="486"/>
      <c r="V168" s="486"/>
      <c r="W168" s="486"/>
      <c r="X168" s="486"/>
      <c r="Y168" s="486"/>
      <c r="Z168" s="486"/>
    </row>
    <row r="169" spans="1:26" ht="15.75" customHeight="1">
      <c r="A169" s="482"/>
      <c r="B169" s="486"/>
      <c r="C169" s="485"/>
      <c r="D169" s="485"/>
      <c r="E169" s="485"/>
      <c r="F169" s="485"/>
      <c r="G169" s="485"/>
      <c r="H169" s="485"/>
      <c r="I169" s="485"/>
      <c r="J169" s="485"/>
      <c r="K169" s="485"/>
      <c r="L169" s="485"/>
      <c r="M169" s="485"/>
      <c r="N169" s="485"/>
      <c r="O169" s="485"/>
      <c r="P169" s="486"/>
      <c r="Q169" s="486"/>
      <c r="R169" s="486"/>
      <c r="S169" s="486"/>
      <c r="T169" s="486"/>
      <c r="U169" s="486"/>
      <c r="V169" s="486"/>
      <c r="W169" s="486"/>
      <c r="X169" s="486"/>
      <c r="Y169" s="486"/>
      <c r="Z169" s="486"/>
    </row>
    <row r="170" spans="1:26" ht="15.75" customHeight="1">
      <c r="A170" s="482"/>
      <c r="B170" s="486"/>
      <c r="C170" s="485"/>
      <c r="D170" s="485"/>
      <c r="E170" s="485"/>
      <c r="F170" s="485"/>
      <c r="G170" s="485"/>
      <c r="H170" s="485"/>
      <c r="I170" s="485"/>
      <c r="J170" s="485"/>
      <c r="K170" s="485"/>
      <c r="L170" s="485"/>
      <c r="M170" s="485"/>
      <c r="N170" s="485"/>
      <c r="O170" s="485"/>
      <c r="P170" s="486"/>
      <c r="Q170" s="486"/>
      <c r="R170" s="486"/>
      <c r="S170" s="486"/>
      <c r="T170" s="486"/>
      <c r="U170" s="486"/>
      <c r="V170" s="486"/>
      <c r="W170" s="486"/>
      <c r="X170" s="486"/>
      <c r="Y170" s="486"/>
      <c r="Z170" s="486"/>
    </row>
    <row r="171" spans="1:26" ht="15.75" customHeight="1">
      <c r="A171" s="482"/>
      <c r="B171" s="486"/>
      <c r="C171" s="485"/>
      <c r="D171" s="485"/>
      <c r="E171" s="485"/>
      <c r="F171" s="485"/>
      <c r="G171" s="485"/>
      <c r="H171" s="485"/>
      <c r="I171" s="485"/>
      <c r="J171" s="485"/>
      <c r="K171" s="485"/>
      <c r="L171" s="485"/>
      <c r="M171" s="485"/>
      <c r="N171" s="485"/>
      <c r="O171" s="485"/>
      <c r="P171" s="486"/>
      <c r="Q171" s="486"/>
      <c r="R171" s="486"/>
      <c r="S171" s="486"/>
      <c r="T171" s="486"/>
      <c r="U171" s="486"/>
      <c r="V171" s="486"/>
      <c r="W171" s="486"/>
      <c r="X171" s="486"/>
      <c r="Y171" s="486"/>
      <c r="Z171" s="486"/>
    </row>
    <row r="172" spans="1:26" ht="15.75" customHeight="1">
      <c r="A172" s="482"/>
      <c r="B172" s="486"/>
      <c r="C172" s="485"/>
      <c r="D172" s="485"/>
      <c r="E172" s="485"/>
      <c r="F172" s="485"/>
      <c r="G172" s="485"/>
      <c r="H172" s="485"/>
      <c r="I172" s="485"/>
      <c r="J172" s="485"/>
      <c r="K172" s="485"/>
      <c r="L172" s="485"/>
      <c r="M172" s="485"/>
      <c r="N172" s="485"/>
      <c r="O172" s="485"/>
      <c r="P172" s="486"/>
      <c r="Q172" s="486"/>
      <c r="R172" s="486"/>
      <c r="S172" s="486"/>
      <c r="T172" s="486"/>
      <c r="U172" s="486"/>
      <c r="V172" s="486"/>
      <c r="W172" s="486"/>
      <c r="X172" s="486"/>
      <c r="Y172" s="486"/>
      <c r="Z172" s="486"/>
    </row>
    <row r="173" spans="1:26" ht="15.75" customHeight="1">
      <c r="A173" s="482"/>
      <c r="B173" s="486"/>
      <c r="C173" s="485"/>
      <c r="D173" s="485"/>
      <c r="E173" s="485"/>
      <c r="F173" s="485"/>
      <c r="G173" s="485"/>
      <c r="H173" s="485"/>
      <c r="I173" s="485"/>
      <c r="J173" s="485"/>
      <c r="K173" s="485"/>
      <c r="L173" s="485"/>
      <c r="M173" s="485"/>
      <c r="N173" s="485"/>
      <c r="O173" s="485"/>
      <c r="P173" s="486"/>
      <c r="Q173" s="486"/>
      <c r="R173" s="486"/>
      <c r="S173" s="486"/>
      <c r="T173" s="486"/>
      <c r="U173" s="486"/>
      <c r="V173" s="486"/>
      <c r="W173" s="486"/>
      <c r="X173" s="486"/>
      <c r="Y173" s="486"/>
      <c r="Z173" s="486"/>
    </row>
    <row r="174" spans="1:26" ht="15.75" customHeight="1">
      <c r="A174" s="482"/>
      <c r="B174" s="486"/>
      <c r="C174" s="485"/>
      <c r="D174" s="485"/>
      <c r="E174" s="485"/>
      <c r="F174" s="485"/>
      <c r="G174" s="485"/>
      <c r="H174" s="485"/>
      <c r="I174" s="485"/>
      <c r="J174" s="485"/>
      <c r="K174" s="485"/>
      <c r="L174" s="485"/>
      <c r="M174" s="485"/>
      <c r="N174" s="485"/>
      <c r="O174" s="485"/>
      <c r="P174" s="486"/>
      <c r="Q174" s="486"/>
      <c r="R174" s="486"/>
      <c r="S174" s="486"/>
      <c r="T174" s="486"/>
      <c r="U174" s="486"/>
      <c r="V174" s="486"/>
      <c r="W174" s="486"/>
      <c r="X174" s="486"/>
      <c r="Y174" s="486"/>
      <c r="Z174" s="486"/>
    </row>
    <row r="175" spans="1:26" ht="15.75" customHeight="1">
      <c r="A175" s="482"/>
      <c r="B175" s="486"/>
      <c r="C175" s="485"/>
      <c r="D175" s="485"/>
      <c r="E175" s="485"/>
      <c r="F175" s="485"/>
      <c r="G175" s="485"/>
      <c r="H175" s="485"/>
      <c r="I175" s="485"/>
      <c r="J175" s="485"/>
      <c r="K175" s="485"/>
      <c r="L175" s="485"/>
      <c r="M175" s="485"/>
      <c r="N175" s="485"/>
      <c r="O175" s="485"/>
      <c r="P175" s="486"/>
      <c r="Q175" s="486"/>
      <c r="R175" s="486"/>
      <c r="S175" s="486"/>
      <c r="T175" s="486"/>
      <c r="U175" s="486"/>
      <c r="V175" s="486"/>
      <c r="W175" s="486"/>
      <c r="X175" s="486"/>
      <c r="Y175" s="486"/>
      <c r="Z175" s="486"/>
    </row>
    <row r="176" spans="1:26" ht="15.75" customHeight="1">
      <c r="A176" s="482"/>
      <c r="B176" s="486"/>
      <c r="C176" s="485"/>
      <c r="D176" s="485"/>
      <c r="E176" s="485"/>
      <c r="F176" s="485"/>
      <c r="G176" s="485"/>
      <c r="H176" s="485"/>
      <c r="I176" s="485"/>
      <c r="J176" s="485"/>
      <c r="K176" s="485"/>
      <c r="L176" s="485"/>
      <c r="M176" s="485"/>
      <c r="N176" s="485"/>
      <c r="O176" s="485"/>
      <c r="P176" s="486"/>
      <c r="Q176" s="486"/>
      <c r="R176" s="486"/>
      <c r="S176" s="486"/>
      <c r="T176" s="486"/>
      <c r="U176" s="486"/>
      <c r="V176" s="486"/>
      <c r="W176" s="486"/>
      <c r="X176" s="486"/>
      <c r="Y176" s="486"/>
      <c r="Z176" s="486"/>
    </row>
    <row r="177" spans="1:26" ht="15.75" customHeight="1">
      <c r="A177" s="482"/>
      <c r="B177" s="486"/>
      <c r="C177" s="485"/>
      <c r="D177" s="485"/>
      <c r="E177" s="485"/>
      <c r="F177" s="485"/>
      <c r="G177" s="485"/>
      <c r="H177" s="485"/>
      <c r="I177" s="485"/>
      <c r="J177" s="485"/>
      <c r="K177" s="485"/>
      <c r="L177" s="485"/>
      <c r="M177" s="485"/>
      <c r="N177" s="485"/>
      <c r="O177" s="485"/>
      <c r="P177" s="486"/>
      <c r="Q177" s="486"/>
      <c r="R177" s="486"/>
      <c r="S177" s="486"/>
      <c r="T177" s="486"/>
      <c r="U177" s="486"/>
      <c r="V177" s="486"/>
      <c r="W177" s="486"/>
      <c r="X177" s="486"/>
      <c r="Y177" s="486"/>
      <c r="Z177" s="486"/>
    </row>
    <row r="178" spans="1:26" ht="15.75" customHeight="1">
      <c r="A178" s="482"/>
      <c r="B178" s="486"/>
      <c r="C178" s="485"/>
      <c r="D178" s="485"/>
      <c r="E178" s="485"/>
      <c r="F178" s="485"/>
      <c r="G178" s="485"/>
      <c r="H178" s="485"/>
      <c r="I178" s="485"/>
      <c r="J178" s="485"/>
      <c r="K178" s="485"/>
      <c r="L178" s="485"/>
      <c r="M178" s="485"/>
      <c r="N178" s="485"/>
      <c r="O178" s="485"/>
      <c r="P178" s="486"/>
      <c r="Q178" s="486"/>
      <c r="R178" s="486"/>
      <c r="S178" s="486"/>
      <c r="T178" s="486"/>
      <c r="U178" s="486"/>
      <c r="V178" s="486"/>
      <c r="W178" s="486"/>
      <c r="X178" s="486"/>
      <c r="Y178" s="486"/>
      <c r="Z178" s="486"/>
    </row>
    <row r="179" spans="1:26" ht="15.75" customHeight="1">
      <c r="A179" s="482"/>
      <c r="B179" s="486"/>
      <c r="C179" s="485"/>
      <c r="D179" s="485"/>
      <c r="E179" s="485"/>
      <c r="F179" s="485"/>
      <c r="G179" s="485"/>
      <c r="H179" s="485"/>
      <c r="I179" s="485"/>
      <c r="J179" s="485"/>
      <c r="K179" s="485"/>
      <c r="L179" s="485"/>
      <c r="M179" s="485"/>
      <c r="N179" s="485"/>
      <c r="O179" s="485"/>
      <c r="P179" s="486"/>
      <c r="Q179" s="486"/>
      <c r="R179" s="486"/>
      <c r="S179" s="486"/>
      <c r="T179" s="486"/>
      <c r="U179" s="486"/>
      <c r="V179" s="486"/>
      <c r="W179" s="486"/>
      <c r="X179" s="486"/>
      <c r="Y179" s="486"/>
      <c r="Z179" s="486"/>
    </row>
    <row r="180" spans="1:26" ht="15.75" customHeight="1">
      <c r="A180" s="482"/>
      <c r="B180" s="486"/>
      <c r="C180" s="485"/>
      <c r="D180" s="485"/>
      <c r="E180" s="485"/>
      <c r="F180" s="485"/>
      <c r="G180" s="485"/>
      <c r="H180" s="485"/>
      <c r="I180" s="485"/>
      <c r="J180" s="485"/>
      <c r="K180" s="485"/>
      <c r="L180" s="485"/>
      <c r="M180" s="485"/>
      <c r="N180" s="485"/>
      <c r="O180" s="485"/>
      <c r="P180" s="486"/>
      <c r="Q180" s="486"/>
      <c r="R180" s="486"/>
      <c r="S180" s="486"/>
      <c r="T180" s="486"/>
      <c r="U180" s="486"/>
      <c r="V180" s="486"/>
      <c r="W180" s="486"/>
      <c r="X180" s="486"/>
      <c r="Y180" s="486"/>
      <c r="Z180" s="486"/>
    </row>
    <row r="181" spans="1:26" ht="15.75" customHeight="1">
      <c r="A181" s="482"/>
      <c r="B181" s="486"/>
      <c r="C181" s="485"/>
      <c r="D181" s="485"/>
      <c r="E181" s="485"/>
      <c r="F181" s="485"/>
      <c r="G181" s="485"/>
      <c r="H181" s="485"/>
      <c r="I181" s="485"/>
      <c r="J181" s="485"/>
      <c r="K181" s="485"/>
      <c r="L181" s="485"/>
      <c r="M181" s="485"/>
      <c r="N181" s="485"/>
      <c r="O181" s="485"/>
      <c r="P181" s="486"/>
      <c r="Q181" s="486"/>
      <c r="R181" s="486"/>
      <c r="S181" s="486"/>
      <c r="T181" s="486"/>
      <c r="U181" s="486"/>
      <c r="V181" s="486"/>
      <c r="W181" s="486"/>
      <c r="X181" s="486"/>
      <c r="Y181" s="486"/>
      <c r="Z181" s="486"/>
    </row>
    <row r="182" spans="1:26" ht="15.75" customHeight="1">
      <c r="A182" s="482"/>
      <c r="B182" s="486"/>
      <c r="C182" s="485"/>
      <c r="D182" s="485"/>
      <c r="E182" s="485"/>
      <c r="F182" s="485"/>
      <c r="G182" s="485"/>
      <c r="H182" s="485"/>
      <c r="I182" s="485"/>
      <c r="J182" s="485"/>
      <c r="K182" s="485"/>
      <c r="L182" s="485"/>
      <c r="M182" s="485"/>
      <c r="N182" s="485"/>
      <c r="O182" s="485"/>
      <c r="P182" s="486"/>
      <c r="Q182" s="486"/>
      <c r="R182" s="486"/>
      <c r="S182" s="486"/>
      <c r="T182" s="486"/>
      <c r="U182" s="486"/>
      <c r="V182" s="486"/>
      <c r="W182" s="486"/>
      <c r="X182" s="486"/>
      <c r="Y182" s="486"/>
      <c r="Z182" s="486"/>
    </row>
    <row r="183" spans="1:26" ht="15.75" customHeight="1">
      <c r="A183" s="482"/>
      <c r="B183" s="486"/>
      <c r="C183" s="485"/>
      <c r="D183" s="485"/>
      <c r="E183" s="485"/>
      <c r="F183" s="485"/>
      <c r="G183" s="485"/>
      <c r="H183" s="485"/>
      <c r="I183" s="485"/>
      <c r="J183" s="485"/>
      <c r="K183" s="485"/>
      <c r="L183" s="485"/>
      <c r="M183" s="485"/>
      <c r="N183" s="485"/>
      <c r="O183" s="485"/>
      <c r="P183" s="486"/>
      <c r="Q183" s="486"/>
      <c r="R183" s="486"/>
      <c r="S183" s="486"/>
      <c r="T183" s="486"/>
      <c r="U183" s="486"/>
      <c r="V183" s="486"/>
      <c r="W183" s="486"/>
      <c r="X183" s="486"/>
      <c r="Y183" s="486"/>
      <c r="Z183" s="486"/>
    </row>
    <row r="184" spans="1:26" ht="15.75" customHeight="1">
      <c r="A184" s="482"/>
      <c r="B184" s="486"/>
      <c r="C184" s="485"/>
      <c r="D184" s="485"/>
      <c r="E184" s="485"/>
      <c r="F184" s="485"/>
      <c r="G184" s="485"/>
      <c r="H184" s="485"/>
      <c r="I184" s="485"/>
      <c r="J184" s="485"/>
      <c r="K184" s="485"/>
      <c r="L184" s="485"/>
      <c r="M184" s="485"/>
      <c r="N184" s="485"/>
      <c r="O184" s="485"/>
      <c r="P184" s="486"/>
      <c r="Q184" s="486"/>
      <c r="R184" s="486"/>
      <c r="S184" s="486"/>
      <c r="T184" s="486"/>
      <c r="U184" s="486"/>
      <c r="V184" s="486"/>
      <c r="W184" s="486"/>
      <c r="X184" s="486"/>
      <c r="Y184" s="486"/>
      <c r="Z184" s="486"/>
    </row>
    <row r="185" spans="1:26" ht="15.75" customHeight="1">
      <c r="A185" s="482"/>
      <c r="B185" s="486"/>
      <c r="C185" s="485"/>
      <c r="D185" s="485"/>
      <c r="E185" s="485"/>
      <c r="F185" s="485"/>
      <c r="G185" s="485"/>
      <c r="H185" s="485"/>
      <c r="I185" s="485"/>
      <c r="J185" s="485"/>
      <c r="K185" s="485"/>
      <c r="L185" s="485"/>
      <c r="M185" s="485"/>
      <c r="N185" s="485"/>
      <c r="O185" s="485"/>
      <c r="P185" s="486"/>
      <c r="Q185" s="486"/>
      <c r="R185" s="486"/>
      <c r="S185" s="486"/>
      <c r="T185" s="486"/>
      <c r="U185" s="486"/>
      <c r="V185" s="486"/>
      <c r="W185" s="486"/>
      <c r="X185" s="486"/>
      <c r="Y185" s="486"/>
      <c r="Z185" s="486"/>
    </row>
    <row r="186" spans="1:26" ht="15.75" customHeight="1">
      <c r="A186" s="482"/>
      <c r="B186" s="486"/>
      <c r="C186" s="485"/>
      <c r="D186" s="485"/>
      <c r="E186" s="485"/>
      <c r="F186" s="485"/>
      <c r="G186" s="485"/>
      <c r="H186" s="485"/>
      <c r="I186" s="485"/>
      <c r="J186" s="485"/>
      <c r="K186" s="485"/>
      <c r="L186" s="485"/>
      <c r="M186" s="485"/>
      <c r="N186" s="485"/>
      <c r="O186" s="485"/>
      <c r="P186" s="486"/>
      <c r="Q186" s="486"/>
      <c r="R186" s="486"/>
      <c r="S186" s="486"/>
      <c r="T186" s="486"/>
      <c r="U186" s="486"/>
      <c r="V186" s="486"/>
      <c r="W186" s="486"/>
      <c r="X186" s="486"/>
      <c r="Y186" s="486"/>
      <c r="Z186" s="486"/>
    </row>
    <row r="187" spans="1:26" ht="15.75" customHeight="1">
      <c r="A187" s="482"/>
      <c r="B187" s="486"/>
      <c r="C187" s="485"/>
      <c r="D187" s="485"/>
      <c r="E187" s="485"/>
      <c r="F187" s="485"/>
      <c r="G187" s="485"/>
      <c r="H187" s="485"/>
      <c r="I187" s="485"/>
      <c r="J187" s="485"/>
      <c r="K187" s="485"/>
      <c r="L187" s="485"/>
      <c r="M187" s="485"/>
      <c r="N187" s="485"/>
      <c r="O187" s="485"/>
      <c r="P187" s="486"/>
      <c r="Q187" s="486"/>
      <c r="R187" s="486"/>
      <c r="S187" s="486"/>
      <c r="T187" s="486"/>
      <c r="U187" s="486"/>
      <c r="V187" s="486"/>
      <c r="W187" s="486"/>
      <c r="X187" s="486"/>
      <c r="Y187" s="486"/>
      <c r="Z187" s="486"/>
    </row>
    <row r="188" spans="1:26" ht="15.75" customHeight="1">
      <c r="A188" s="482"/>
      <c r="B188" s="486"/>
      <c r="C188" s="485"/>
      <c r="D188" s="485"/>
      <c r="E188" s="485"/>
      <c r="F188" s="485"/>
      <c r="G188" s="485"/>
      <c r="H188" s="485"/>
      <c r="I188" s="485"/>
      <c r="J188" s="485"/>
      <c r="K188" s="485"/>
      <c r="L188" s="485"/>
      <c r="M188" s="485"/>
      <c r="N188" s="485"/>
      <c r="O188" s="485"/>
      <c r="P188" s="486"/>
      <c r="Q188" s="486"/>
      <c r="R188" s="486"/>
      <c r="S188" s="486"/>
      <c r="T188" s="486"/>
      <c r="U188" s="486"/>
      <c r="V188" s="486"/>
      <c r="W188" s="486"/>
      <c r="X188" s="486"/>
      <c r="Y188" s="486"/>
      <c r="Z188" s="486"/>
    </row>
    <row r="189" spans="1:26" ht="15.75" customHeight="1">
      <c r="A189" s="482"/>
      <c r="B189" s="486"/>
      <c r="C189" s="485"/>
      <c r="D189" s="485"/>
      <c r="E189" s="485"/>
      <c r="F189" s="485"/>
      <c r="G189" s="485"/>
      <c r="H189" s="485"/>
      <c r="I189" s="485"/>
      <c r="J189" s="485"/>
      <c r="K189" s="485"/>
      <c r="L189" s="485"/>
      <c r="M189" s="485"/>
      <c r="N189" s="485"/>
      <c r="O189" s="485"/>
      <c r="P189" s="486"/>
      <c r="Q189" s="486"/>
      <c r="R189" s="486"/>
      <c r="S189" s="486"/>
      <c r="T189" s="486"/>
      <c r="U189" s="486"/>
      <c r="V189" s="486"/>
      <c r="W189" s="486"/>
      <c r="X189" s="486"/>
      <c r="Y189" s="486"/>
      <c r="Z189" s="486"/>
    </row>
    <row r="190" spans="1:26" ht="15.75" customHeight="1">
      <c r="A190" s="482"/>
      <c r="B190" s="486"/>
      <c r="C190" s="485"/>
      <c r="D190" s="485"/>
      <c r="E190" s="485"/>
      <c r="F190" s="485"/>
      <c r="G190" s="485"/>
      <c r="H190" s="485"/>
      <c r="I190" s="485"/>
      <c r="J190" s="485"/>
      <c r="K190" s="485"/>
      <c r="L190" s="485"/>
      <c r="M190" s="485"/>
      <c r="N190" s="485"/>
      <c r="O190" s="485"/>
      <c r="P190" s="486"/>
      <c r="Q190" s="486"/>
      <c r="R190" s="486"/>
      <c r="S190" s="486"/>
      <c r="T190" s="486"/>
      <c r="U190" s="486"/>
      <c r="V190" s="486"/>
      <c r="W190" s="486"/>
      <c r="X190" s="486"/>
      <c r="Y190" s="486"/>
      <c r="Z190" s="486"/>
    </row>
    <row r="191" spans="1:26" ht="15.75" customHeight="1">
      <c r="A191" s="482"/>
      <c r="B191" s="486"/>
      <c r="C191" s="485"/>
      <c r="D191" s="485"/>
      <c r="E191" s="485"/>
      <c r="F191" s="485"/>
      <c r="G191" s="485"/>
      <c r="H191" s="485"/>
      <c r="I191" s="485"/>
      <c r="J191" s="485"/>
      <c r="K191" s="485"/>
      <c r="L191" s="485"/>
      <c r="M191" s="485"/>
      <c r="N191" s="485"/>
      <c r="O191" s="485"/>
      <c r="P191" s="486"/>
      <c r="Q191" s="486"/>
      <c r="R191" s="486"/>
      <c r="S191" s="486"/>
      <c r="T191" s="486"/>
      <c r="U191" s="486"/>
      <c r="V191" s="486"/>
      <c r="W191" s="486"/>
      <c r="X191" s="486"/>
      <c r="Y191" s="486"/>
      <c r="Z191" s="486"/>
    </row>
    <row r="192" spans="1:26" ht="15.75" customHeight="1">
      <c r="A192" s="482"/>
      <c r="B192" s="486"/>
      <c r="C192" s="485"/>
      <c r="D192" s="485"/>
      <c r="E192" s="485"/>
      <c r="F192" s="485"/>
      <c r="G192" s="485"/>
      <c r="H192" s="485"/>
      <c r="I192" s="485"/>
      <c r="J192" s="485"/>
      <c r="K192" s="485"/>
      <c r="L192" s="485"/>
      <c r="M192" s="485"/>
      <c r="N192" s="485"/>
      <c r="O192" s="485"/>
      <c r="P192" s="486"/>
      <c r="Q192" s="486"/>
      <c r="R192" s="486"/>
      <c r="S192" s="486"/>
      <c r="T192" s="486"/>
      <c r="U192" s="486"/>
      <c r="V192" s="486"/>
      <c r="W192" s="486"/>
      <c r="X192" s="486"/>
      <c r="Y192" s="486"/>
      <c r="Z192" s="486"/>
    </row>
    <row r="193" spans="1:26" ht="15.75" customHeight="1">
      <c r="A193" s="482"/>
      <c r="B193" s="486"/>
      <c r="C193" s="485"/>
      <c r="D193" s="485"/>
      <c r="E193" s="485"/>
      <c r="F193" s="485"/>
      <c r="G193" s="485"/>
      <c r="H193" s="485"/>
      <c r="I193" s="485"/>
      <c r="J193" s="485"/>
      <c r="K193" s="485"/>
      <c r="L193" s="485"/>
      <c r="M193" s="485"/>
      <c r="N193" s="485"/>
      <c r="O193" s="485"/>
      <c r="P193" s="486"/>
      <c r="Q193" s="486"/>
      <c r="R193" s="486"/>
      <c r="S193" s="486"/>
      <c r="T193" s="486"/>
      <c r="U193" s="486"/>
      <c r="V193" s="486"/>
      <c r="W193" s="486"/>
      <c r="X193" s="486"/>
      <c r="Y193" s="486"/>
      <c r="Z193" s="486"/>
    </row>
    <row r="194" spans="1:26" ht="15.75" customHeight="1">
      <c r="A194" s="482"/>
      <c r="B194" s="486"/>
      <c r="C194" s="485"/>
      <c r="D194" s="485"/>
      <c r="E194" s="485"/>
      <c r="F194" s="485"/>
      <c r="G194" s="485"/>
      <c r="H194" s="485"/>
      <c r="I194" s="485"/>
      <c r="J194" s="485"/>
      <c r="K194" s="485"/>
      <c r="L194" s="485"/>
      <c r="M194" s="485"/>
      <c r="N194" s="485"/>
      <c r="O194" s="485"/>
      <c r="P194" s="486"/>
      <c r="Q194" s="486"/>
      <c r="R194" s="486"/>
      <c r="S194" s="486"/>
      <c r="T194" s="486"/>
      <c r="U194" s="486"/>
      <c r="V194" s="486"/>
      <c r="W194" s="486"/>
      <c r="X194" s="486"/>
      <c r="Y194" s="486"/>
      <c r="Z194" s="486"/>
    </row>
    <row r="195" spans="1:26" ht="15.75" customHeight="1">
      <c r="A195" s="482"/>
      <c r="B195" s="486"/>
      <c r="C195" s="485"/>
      <c r="D195" s="485"/>
      <c r="E195" s="485"/>
      <c r="F195" s="485"/>
      <c r="G195" s="485"/>
      <c r="H195" s="485"/>
      <c r="I195" s="485"/>
      <c r="J195" s="485"/>
      <c r="K195" s="485"/>
      <c r="L195" s="485"/>
      <c r="M195" s="485"/>
      <c r="N195" s="485"/>
      <c r="O195" s="485"/>
      <c r="P195" s="486"/>
      <c r="Q195" s="486"/>
      <c r="R195" s="486"/>
      <c r="S195" s="486"/>
      <c r="T195" s="486"/>
      <c r="U195" s="486"/>
      <c r="V195" s="486"/>
      <c r="W195" s="486"/>
      <c r="X195" s="486"/>
      <c r="Y195" s="486"/>
      <c r="Z195" s="486"/>
    </row>
    <row r="196" spans="1:26" ht="15.75" customHeight="1">
      <c r="A196" s="482"/>
      <c r="B196" s="486"/>
      <c r="C196" s="485"/>
      <c r="D196" s="485"/>
      <c r="E196" s="485"/>
      <c r="F196" s="485"/>
      <c r="G196" s="485"/>
      <c r="H196" s="485"/>
      <c r="I196" s="485"/>
      <c r="J196" s="485"/>
      <c r="K196" s="485"/>
      <c r="L196" s="485"/>
      <c r="M196" s="485"/>
      <c r="N196" s="485"/>
      <c r="O196" s="485"/>
      <c r="P196" s="486"/>
      <c r="Q196" s="486"/>
      <c r="R196" s="486"/>
      <c r="S196" s="486"/>
      <c r="T196" s="486"/>
      <c r="U196" s="486"/>
      <c r="V196" s="486"/>
      <c r="W196" s="486"/>
      <c r="X196" s="486"/>
      <c r="Y196" s="486"/>
      <c r="Z196" s="486"/>
    </row>
    <row r="197" spans="1:26" ht="15.75" customHeight="1">
      <c r="A197" s="482"/>
      <c r="B197" s="486"/>
      <c r="C197" s="485"/>
      <c r="D197" s="485"/>
      <c r="E197" s="485"/>
      <c r="F197" s="485"/>
      <c r="G197" s="485"/>
      <c r="H197" s="485"/>
      <c r="I197" s="485"/>
      <c r="J197" s="485"/>
      <c r="K197" s="485"/>
      <c r="L197" s="485"/>
      <c r="M197" s="485"/>
      <c r="N197" s="485"/>
      <c r="O197" s="485"/>
      <c r="P197" s="486"/>
      <c r="Q197" s="486"/>
      <c r="R197" s="486"/>
      <c r="S197" s="486"/>
      <c r="T197" s="486"/>
      <c r="U197" s="486"/>
      <c r="V197" s="486"/>
      <c r="W197" s="486"/>
      <c r="X197" s="486"/>
      <c r="Y197" s="486"/>
      <c r="Z197" s="486"/>
    </row>
    <row r="198" spans="1:26" ht="15.75" customHeight="1">
      <c r="A198" s="482"/>
      <c r="B198" s="486"/>
      <c r="C198" s="485"/>
      <c r="D198" s="485"/>
      <c r="E198" s="485"/>
      <c r="F198" s="485"/>
      <c r="G198" s="485"/>
      <c r="H198" s="485"/>
      <c r="I198" s="485"/>
      <c r="J198" s="485"/>
      <c r="K198" s="485"/>
      <c r="L198" s="485"/>
      <c r="M198" s="485"/>
      <c r="N198" s="485"/>
      <c r="O198" s="485"/>
      <c r="P198" s="486"/>
      <c r="Q198" s="486"/>
      <c r="R198" s="486"/>
      <c r="S198" s="486"/>
      <c r="T198" s="486"/>
      <c r="U198" s="486"/>
      <c r="V198" s="486"/>
      <c r="W198" s="486"/>
      <c r="X198" s="486"/>
      <c r="Y198" s="486"/>
      <c r="Z198" s="486"/>
    </row>
    <row r="199" spans="1:26" ht="15.75" customHeight="1">
      <c r="A199" s="482"/>
      <c r="B199" s="486"/>
      <c r="C199" s="485"/>
      <c r="D199" s="485"/>
      <c r="E199" s="485"/>
      <c r="F199" s="485"/>
      <c r="G199" s="485"/>
      <c r="H199" s="485"/>
      <c r="I199" s="485"/>
      <c r="J199" s="485"/>
      <c r="K199" s="485"/>
      <c r="L199" s="485"/>
      <c r="M199" s="485"/>
      <c r="N199" s="485"/>
      <c r="O199" s="485"/>
      <c r="P199" s="486"/>
      <c r="Q199" s="486"/>
      <c r="R199" s="486"/>
      <c r="S199" s="486"/>
      <c r="T199" s="486"/>
      <c r="U199" s="486"/>
      <c r="V199" s="486"/>
      <c r="W199" s="486"/>
      <c r="X199" s="486"/>
      <c r="Y199" s="486"/>
      <c r="Z199" s="486"/>
    </row>
    <row r="200" spans="1:26" ht="15.75" customHeight="1">
      <c r="A200" s="482"/>
      <c r="B200" s="486"/>
      <c r="C200" s="485"/>
      <c r="D200" s="485"/>
      <c r="E200" s="485"/>
      <c r="F200" s="485"/>
      <c r="G200" s="485"/>
      <c r="H200" s="485"/>
      <c r="I200" s="485"/>
      <c r="J200" s="485"/>
      <c r="K200" s="485"/>
      <c r="L200" s="485"/>
      <c r="M200" s="485"/>
      <c r="N200" s="485"/>
      <c r="O200" s="485"/>
      <c r="P200" s="486"/>
      <c r="Q200" s="486"/>
      <c r="R200" s="486"/>
      <c r="S200" s="486"/>
      <c r="T200" s="486"/>
      <c r="U200" s="486"/>
      <c r="V200" s="486"/>
      <c r="W200" s="486"/>
      <c r="X200" s="486"/>
      <c r="Y200" s="486"/>
      <c r="Z200" s="486"/>
    </row>
    <row r="201" spans="1:26" ht="15.75" customHeight="1">
      <c r="A201" s="482"/>
      <c r="B201" s="486"/>
      <c r="C201" s="485"/>
      <c r="D201" s="485"/>
      <c r="E201" s="485"/>
      <c r="F201" s="485"/>
      <c r="G201" s="485"/>
      <c r="H201" s="485"/>
      <c r="I201" s="485"/>
      <c r="J201" s="485"/>
      <c r="K201" s="485"/>
      <c r="L201" s="485"/>
      <c r="M201" s="485"/>
      <c r="N201" s="485"/>
      <c r="O201" s="485"/>
      <c r="P201" s="486"/>
      <c r="Q201" s="486"/>
      <c r="R201" s="486"/>
      <c r="S201" s="486"/>
      <c r="T201" s="486"/>
      <c r="U201" s="486"/>
      <c r="V201" s="486"/>
      <c r="W201" s="486"/>
      <c r="X201" s="486"/>
      <c r="Y201" s="486"/>
      <c r="Z201" s="486"/>
    </row>
    <row r="202" spans="1:26" ht="15.75" customHeight="1">
      <c r="A202" s="482"/>
      <c r="B202" s="486"/>
      <c r="C202" s="485"/>
      <c r="D202" s="485"/>
      <c r="E202" s="485"/>
      <c r="F202" s="485"/>
      <c r="G202" s="485"/>
      <c r="H202" s="485"/>
      <c r="I202" s="485"/>
      <c r="J202" s="485"/>
      <c r="K202" s="485"/>
      <c r="L202" s="485"/>
      <c r="M202" s="485"/>
      <c r="N202" s="485"/>
      <c r="O202" s="485"/>
      <c r="P202" s="486"/>
      <c r="Q202" s="486"/>
      <c r="R202" s="486"/>
      <c r="S202" s="486"/>
      <c r="T202" s="486"/>
      <c r="U202" s="486"/>
      <c r="V202" s="486"/>
      <c r="W202" s="486"/>
      <c r="X202" s="486"/>
      <c r="Y202" s="486"/>
      <c r="Z202" s="486"/>
    </row>
    <row r="203" spans="1:26" ht="15.75" customHeight="1">
      <c r="A203" s="482"/>
      <c r="B203" s="486"/>
      <c r="C203" s="485"/>
      <c r="D203" s="485"/>
      <c r="E203" s="485"/>
      <c r="F203" s="485"/>
      <c r="G203" s="485"/>
      <c r="H203" s="485"/>
      <c r="I203" s="485"/>
      <c r="J203" s="485"/>
      <c r="K203" s="485"/>
      <c r="L203" s="485"/>
      <c r="M203" s="485"/>
      <c r="N203" s="485"/>
      <c r="O203" s="485"/>
      <c r="P203" s="486"/>
      <c r="Q203" s="486"/>
      <c r="R203" s="486"/>
      <c r="S203" s="486"/>
      <c r="T203" s="486"/>
      <c r="U203" s="486"/>
      <c r="V203" s="486"/>
      <c r="W203" s="486"/>
      <c r="X203" s="486"/>
      <c r="Y203" s="486"/>
      <c r="Z203" s="486"/>
    </row>
    <row r="204" spans="1:26" ht="15.75" customHeight="1">
      <c r="A204" s="482"/>
      <c r="B204" s="486"/>
      <c r="C204" s="485"/>
      <c r="D204" s="485"/>
      <c r="E204" s="485"/>
      <c r="F204" s="485"/>
      <c r="G204" s="485"/>
      <c r="H204" s="485"/>
      <c r="I204" s="485"/>
      <c r="J204" s="485"/>
      <c r="K204" s="485"/>
      <c r="L204" s="485"/>
      <c r="M204" s="485"/>
      <c r="N204" s="485"/>
      <c r="O204" s="485"/>
      <c r="P204" s="486"/>
      <c r="Q204" s="486"/>
      <c r="R204" s="486"/>
      <c r="S204" s="486"/>
      <c r="T204" s="486"/>
      <c r="U204" s="486"/>
      <c r="V204" s="486"/>
      <c r="W204" s="486"/>
      <c r="X204" s="486"/>
      <c r="Y204" s="486"/>
      <c r="Z204" s="486"/>
    </row>
    <row r="205" spans="1:26" ht="15.75" customHeight="1">
      <c r="A205" s="482"/>
      <c r="B205" s="486"/>
      <c r="C205" s="485"/>
      <c r="D205" s="485"/>
      <c r="E205" s="485"/>
      <c r="F205" s="485"/>
      <c r="G205" s="485"/>
      <c r="H205" s="485"/>
      <c r="I205" s="485"/>
      <c r="J205" s="485"/>
      <c r="K205" s="485"/>
      <c r="L205" s="485"/>
      <c r="M205" s="485"/>
      <c r="N205" s="485"/>
      <c r="O205" s="485"/>
      <c r="P205" s="486"/>
      <c r="Q205" s="486"/>
      <c r="R205" s="486"/>
      <c r="S205" s="486"/>
      <c r="T205" s="486"/>
      <c r="U205" s="486"/>
      <c r="V205" s="486"/>
      <c r="W205" s="486"/>
      <c r="X205" s="486"/>
      <c r="Y205" s="486"/>
      <c r="Z205" s="486"/>
    </row>
    <row r="206" spans="1:26" ht="15.75" customHeight="1">
      <c r="A206" s="482"/>
      <c r="B206" s="486"/>
      <c r="C206" s="485"/>
      <c r="D206" s="485"/>
      <c r="E206" s="485"/>
      <c r="F206" s="485"/>
      <c r="G206" s="485"/>
      <c r="H206" s="485"/>
      <c r="I206" s="485"/>
      <c r="J206" s="485"/>
      <c r="K206" s="485"/>
      <c r="L206" s="485"/>
      <c r="M206" s="485"/>
      <c r="N206" s="485"/>
      <c r="O206" s="485"/>
      <c r="P206" s="486"/>
      <c r="Q206" s="486"/>
      <c r="R206" s="486"/>
      <c r="S206" s="486"/>
      <c r="T206" s="486"/>
      <c r="U206" s="486"/>
      <c r="V206" s="486"/>
      <c r="W206" s="486"/>
      <c r="X206" s="486"/>
      <c r="Y206" s="486"/>
      <c r="Z206" s="486"/>
    </row>
    <row r="207" spans="1:26" ht="15.75" customHeight="1">
      <c r="A207" s="482"/>
      <c r="B207" s="486"/>
      <c r="C207" s="485"/>
      <c r="D207" s="485"/>
      <c r="E207" s="485"/>
      <c r="F207" s="485"/>
      <c r="G207" s="485"/>
      <c r="H207" s="485"/>
      <c r="I207" s="485"/>
      <c r="J207" s="485"/>
      <c r="K207" s="485"/>
      <c r="L207" s="485"/>
      <c r="M207" s="485"/>
      <c r="N207" s="485"/>
      <c r="O207" s="485"/>
      <c r="P207" s="486"/>
      <c r="Q207" s="486"/>
      <c r="R207" s="486"/>
      <c r="S207" s="486"/>
      <c r="T207" s="486"/>
      <c r="U207" s="486"/>
      <c r="V207" s="486"/>
      <c r="W207" s="486"/>
      <c r="X207" s="486"/>
      <c r="Y207" s="486"/>
      <c r="Z207" s="486"/>
    </row>
    <row r="208" spans="1:26" ht="15.75" customHeight="1">
      <c r="A208" s="482"/>
      <c r="B208" s="486"/>
      <c r="C208" s="485"/>
      <c r="D208" s="485"/>
      <c r="E208" s="485"/>
      <c r="F208" s="485"/>
      <c r="G208" s="485"/>
      <c r="H208" s="485"/>
      <c r="I208" s="485"/>
      <c r="J208" s="485"/>
      <c r="K208" s="485"/>
      <c r="L208" s="485"/>
      <c r="M208" s="485"/>
      <c r="N208" s="485"/>
      <c r="O208" s="485"/>
      <c r="P208" s="486"/>
      <c r="Q208" s="486"/>
      <c r="R208" s="486"/>
      <c r="S208" s="486"/>
      <c r="T208" s="486"/>
      <c r="U208" s="486"/>
      <c r="V208" s="486"/>
      <c r="W208" s="486"/>
      <c r="X208" s="486"/>
      <c r="Y208" s="486"/>
      <c r="Z208" s="486"/>
    </row>
    <row r="209" spans="1:26" ht="15.75" customHeight="1">
      <c r="A209" s="482"/>
      <c r="B209" s="486"/>
      <c r="C209" s="485"/>
      <c r="D209" s="485"/>
      <c r="E209" s="485"/>
      <c r="F209" s="485"/>
      <c r="G209" s="485"/>
      <c r="H209" s="485"/>
      <c r="I209" s="485"/>
      <c r="J209" s="485"/>
      <c r="K209" s="485"/>
      <c r="L209" s="485"/>
      <c r="M209" s="485"/>
      <c r="N209" s="485"/>
      <c r="O209" s="485"/>
      <c r="P209" s="486"/>
      <c r="Q209" s="486"/>
      <c r="R209" s="486"/>
      <c r="S209" s="486"/>
      <c r="T209" s="486"/>
      <c r="U209" s="486"/>
      <c r="V209" s="486"/>
      <c r="W209" s="486"/>
      <c r="X209" s="486"/>
      <c r="Y209" s="486"/>
      <c r="Z209" s="486"/>
    </row>
    <row r="210" spans="1:26" ht="15.75" customHeight="1">
      <c r="A210" s="482"/>
      <c r="B210" s="486"/>
      <c r="C210" s="485"/>
      <c r="D210" s="485"/>
      <c r="E210" s="485"/>
      <c r="F210" s="485"/>
      <c r="G210" s="485"/>
      <c r="H210" s="485"/>
      <c r="I210" s="485"/>
      <c r="J210" s="485"/>
      <c r="K210" s="485"/>
      <c r="L210" s="485"/>
      <c r="M210" s="485"/>
      <c r="N210" s="485"/>
      <c r="O210" s="485"/>
      <c r="P210" s="486"/>
      <c r="Q210" s="486"/>
      <c r="R210" s="486"/>
      <c r="S210" s="486"/>
      <c r="T210" s="486"/>
      <c r="U210" s="486"/>
      <c r="V210" s="486"/>
      <c r="W210" s="486"/>
      <c r="X210" s="486"/>
      <c r="Y210" s="486"/>
      <c r="Z210" s="486"/>
    </row>
    <row r="211" spans="1:26" ht="15.75" customHeight="1">
      <c r="A211" s="482"/>
      <c r="B211" s="486"/>
      <c r="C211" s="485"/>
      <c r="D211" s="485"/>
      <c r="E211" s="485"/>
      <c r="F211" s="485"/>
      <c r="G211" s="485"/>
      <c r="H211" s="485"/>
      <c r="I211" s="485"/>
      <c r="J211" s="485"/>
      <c r="K211" s="485"/>
      <c r="L211" s="485"/>
      <c r="M211" s="485"/>
      <c r="N211" s="485"/>
      <c r="O211" s="485"/>
      <c r="P211" s="486"/>
      <c r="Q211" s="486"/>
      <c r="R211" s="486"/>
      <c r="S211" s="486"/>
      <c r="T211" s="486"/>
      <c r="U211" s="486"/>
      <c r="V211" s="486"/>
      <c r="W211" s="486"/>
      <c r="X211" s="486"/>
      <c r="Y211" s="486"/>
      <c r="Z211" s="486"/>
    </row>
    <row r="212" spans="1:26" ht="15.75" customHeight="1">
      <c r="A212" s="482"/>
      <c r="B212" s="486"/>
      <c r="C212" s="485"/>
      <c r="D212" s="485"/>
      <c r="E212" s="485"/>
      <c r="F212" s="485"/>
      <c r="G212" s="485"/>
      <c r="H212" s="485"/>
      <c r="I212" s="485"/>
      <c r="J212" s="485"/>
      <c r="K212" s="485"/>
      <c r="L212" s="485"/>
      <c r="M212" s="485"/>
      <c r="N212" s="485"/>
      <c r="O212" s="485"/>
      <c r="P212" s="486"/>
      <c r="Q212" s="486"/>
      <c r="R212" s="486"/>
      <c r="S212" s="486"/>
      <c r="T212" s="486"/>
      <c r="U212" s="486"/>
      <c r="V212" s="486"/>
      <c r="W212" s="486"/>
      <c r="X212" s="486"/>
      <c r="Y212" s="486"/>
      <c r="Z212" s="486"/>
    </row>
    <row r="213" spans="1:26" ht="15.75" customHeight="1">
      <c r="A213" s="482"/>
      <c r="B213" s="486"/>
      <c r="C213" s="485"/>
      <c r="D213" s="485"/>
      <c r="E213" s="485"/>
      <c r="F213" s="485"/>
      <c r="G213" s="485"/>
      <c r="H213" s="485"/>
      <c r="I213" s="485"/>
      <c r="J213" s="485"/>
      <c r="K213" s="485"/>
      <c r="L213" s="485"/>
      <c r="M213" s="485"/>
      <c r="N213" s="485"/>
      <c r="O213" s="485"/>
      <c r="P213" s="486"/>
      <c r="Q213" s="486"/>
      <c r="R213" s="486"/>
      <c r="S213" s="486"/>
      <c r="T213" s="486"/>
      <c r="U213" s="486"/>
      <c r="V213" s="486"/>
      <c r="W213" s="486"/>
      <c r="X213" s="486"/>
      <c r="Y213" s="486"/>
      <c r="Z213" s="486"/>
    </row>
    <row r="214" spans="1:26" ht="15.75" customHeight="1">
      <c r="A214" s="482"/>
      <c r="B214" s="486"/>
      <c r="C214" s="485"/>
      <c r="D214" s="485"/>
      <c r="E214" s="485"/>
      <c r="F214" s="485"/>
      <c r="G214" s="485"/>
      <c r="H214" s="485"/>
      <c r="I214" s="485"/>
      <c r="J214" s="485"/>
      <c r="K214" s="485"/>
      <c r="L214" s="485"/>
      <c r="M214" s="485"/>
      <c r="N214" s="485"/>
      <c r="O214" s="485"/>
      <c r="P214" s="486"/>
      <c r="Q214" s="486"/>
      <c r="R214" s="486"/>
      <c r="S214" s="486"/>
      <c r="T214" s="486"/>
      <c r="U214" s="486"/>
      <c r="V214" s="486"/>
      <c r="W214" s="486"/>
      <c r="X214" s="486"/>
      <c r="Y214" s="486"/>
      <c r="Z214" s="486"/>
    </row>
    <row r="215" spans="1:26" ht="15.75" customHeight="1">
      <c r="A215" s="482"/>
      <c r="B215" s="486"/>
      <c r="C215" s="485"/>
      <c r="D215" s="485"/>
      <c r="E215" s="485"/>
      <c r="F215" s="485"/>
      <c r="G215" s="485"/>
      <c r="H215" s="485"/>
      <c r="I215" s="485"/>
      <c r="J215" s="485"/>
      <c r="K215" s="485"/>
      <c r="L215" s="485"/>
      <c r="M215" s="485"/>
      <c r="N215" s="485"/>
      <c r="O215" s="485"/>
      <c r="P215" s="486"/>
      <c r="Q215" s="486"/>
      <c r="R215" s="486"/>
      <c r="S215" s="486"/>
      <c r="T215" s="486"/>
      <c r="U215" s="486"/>
      <c r="V215" s="486"/>
      <c r="W215" s="486"/>
      <c r="X215" s="486"/>
      <c r="Y215" s="486"/>
      <c r="Z215" s="486"/>
    </row>
    <row r="216" spans="1:26" ht="15.75" customHeight="1">
      <c r="A216" s="482"/>
      <c r="B216" s="486"/>
      <c r="C216" s="485"/>
      <c r="D216" s="485"/>
      <c r="E216" s="485"/>
      <c r="F216" s="485"/>
      <c r="G216" s="485"/>
      <c r="H216" s="485"/>
      <c r="I216" s="485"/>
      <c r="J216" s="485"/>
      <c r="K216" s="485"/>
      <c r="L216" s="485"/>
      <c r="M216" s="485"/>
      <c r="N216" s="485"/>
      <c r="O216" s="485"/>
      <c r="P216" s="486"/>
      <c r="Q216" s="486"/>
      <c r="R216" s="486"/>
      <c r="S216" s="486"/>
      <c r="T216" s="486"/>
      <c r="U216" s="486"/>
      <c r="V216" s="486"/>
      <c r="W216" s="486"/>
      <c r="X216" s="486"/>
      <c r="Y216" s="486"/>
      <c r="Z216" s="486"/>
    </row>
    <row r="217" spans="1:26" ht="15.75" customHeight="1">
      <c r="A217" s="482"/>
      <c r="B217" s="486"/>
      <c r="C217" s="485"/>
      <c r="D217" s="485"/>
      <c r="E217" s="485"/>
      <c r="F217" s="485"/>
      <c r="G217" s="485"/>
      <c r="H217" s="485"/>
      <c r="I217" s="485"/>
      <c r="J217" s="485"/>
      <c r="K217" s="485"/>
      <c r="L217" s="485"/>
      <c r="M217" s="485"/>
      <c r="N217" s="485"/>
      <c r="O217" s="485"/>
      <c r="P217" s="486"/>
      <c r="Q217" s="486"/>
      <c r="R217" s="486"/>
      <c r="S217" s="486"/>
      <c r="T217" s="486"/>
      <c r="U217" s="486"/>
      <c r="V217" s="486"/>
      <c r="W217" s="486"/>
      <c r="X217" s="486"/>
      <c r="Y217" s="486"/>
      <c r="Z217" s="486"/>
    </row>
    <row r="218" spans="1:26" ht="15.75" customHeight="1">
      <c r="A218" s="482"/>
      <c r="B218" s="486"/>
      <c r="C218" s="485"/>
      <c r="D218" s="485"/>
      <c r="E218" s="485"/>
      <c r="F218" s="485"/>
      <c r="G218" s="485"/>
      <c r="H218" s="485"/>
      <c r="I218" s="485"/>
      <c r="J218" s="485"/>
      <c r="K218" s="485"/>
      <c r="L218" s="485"/>
      <c r="M218" s="485"/>
      <c r="N218" s="485"/>
      <c r="O218" s="485"/>
      <c r="P218" s="486"/>
      <c r="Q218" s="486"/>
      <c r="R218" s="486"/>
      <c r="S218" s="486"/>
      <c r="T218" s="486"/>
      <c r="U218" s="486"/>
      <c r="V218" s="486"/>
      <c r="W218" s="486"/>
      <c r="X218" s="486"/>
      <c r="Y218" s="486"/>
      <c r="Z218" s="486"/>
    </row>
    <row r="219" spans="1:26" ht="15.75" customHeight="1">
      <c r="A219" s="482"/>
      <c r="B219" s="486"/>
      <c r="C219" s="485"/>
      <c r="D219" s="485"/>
      <c r="E219" s="485"/>
      <c r="F219" s="485"/>
      <c r="G219" s="485"/>
      <c r="H219" s="485"/>
      <c r="I219" s="485"/>
      <c r="J219" s="485"/>
      <c r="K219" s="485"/>
      <c r="L219" s="485"/>
      <c r="M219" s="485"/>
      <c r="N219" s="485"/>
      <c r="O219" s="485"/>
      <c r="P219" s="486"/>
      <c r="Q219" s="486"/>
      <c r="R219" s="486"/>
      <c r="S219" s="486"/>
      <c r="T219" s="486"/>
      <c r="U219" s="486"/>
      <c r="V219" s="486"/>
      <c r="W219" s="486"/>
      <c r="X219" s="486"/>
      <c r="Y219" s="486"/>
      <c r="Z219" s="486"/>
    </row>
    <row r="220" spans="1:26" ht="15.75" customHeight="1">
      <c r="A220" s="482"/>
      <c r="B220" s="486"/>
      <c r="C220" s="485"/>
      <c r="D220" s="485"/>
      <c r="E220" s="485"/>
      <c r="F220" s="485"/>
      <c r="G220" s="485"/>
      <c r="H220" s="485"/>
      <c r="I220" s="485"/>
      <c r="J220" s="485"/>
      <c r="K220" s="485"/>
      <c r="L220" s="485"/>
      <c r="M220" s="485"/>
      <c r="N220" s="485"/>
      <c r="O220" s="485"/>
      <c r="P220" s="486"/>
      <c r="Q220" s="486"/>
      <c r="R220" s="486"/>
      <c r="S220" s="486"/>
      <c r="T220" s="486"/>
      <c r="U220" s="486"/>
      <c r="V220" s="486"/>
      <c r="W220" s="486"/>
      <c r="X220" s="486"/>
      <c r="Y220" s="486"/>
      <c r="Z220" s="486"/>
    </row>
    <row r="221" spans="1:26" ht="15.75" customHeight="1">
      <c r="A221" s="482"/>
      <c r="B221" s="486"/>
      <c r="C221" s="485"/>
      <c r="D221" s="485"/>
      <c r="E221" s="485"/>
      <c r="F221" s="485"/>
      <c r="G221" s="485"/>
      <c r="H221" s="485"/>
      <c r="I221" s="485"/>
      <c r="J221" s="485"/>
      <c r="K221" s="485"/>
      <c r="L221" s="485"/>
      <c r="M221" s="485"/>
      <c r="N221" s="485"/>
      <c r="O221" s="485"/>
      <c r="P221" s="486"/>
      <c r="Q221" s="486"/>
      <c r="R221" s="486"/>
      <c r="S221" s="486"/>
      <c r="T221" s="486"/>
      <c r="U221" s="486"/>
      <c r="V221" s="486"/>
      <c r="W221" s="486"/>
      <c r="X221" s="486"/>
      <c r="Y221" s="486"/>
      <c r="Z221" s="486"/>
    </row>
    <row r="222" spans="1:26" ht="15.75" customHeight="1">
      <c r="A222" s="482"/>
      <c r="B222" s="486"/>
      <c r="C222" s="485"/>
      <c r="D222" s="485"/>
      <c r="E222" s="485"/>
      <c r="F222" s="485"/>
      <c r="G222" s="485"/>
      <c r="H222" s="485"/>
      <c r="I222" s="485"/>
      <c r="J222" s="485"/>
      <c r="K222" s="485"/>
      <c r="L222" s="485"/>
      <c r="M222" s="485"/>
      <c r="N222" s="485"/>
      <c r="O222" s="485"/>
      <c r="P222" s="486"/>
      <c r="Q222" s="486"/>
      <c r="R222" s="486"/>
      <c r="S222" s="486"/>
      <c r="T222" s="486"/>
      <c r="U222" s="486"/>
      <c r="V222" s="486"/>
      <c r="W222" s="486"/>
      <c r="X222" s="486"/>
      <c r="Y222" s="486"/>
      <c r="Z222" s="486"/>
    </row>
    <row r="223" spans="1:26" ht="15.75" customHeight="1">
      <c r="A223" s="482"/>
      <c r="B223" s="486"/>
      <c r="C223" s="485"/>
      <c r="D223" s="485"/>
      <c r="E223" s="485"/>
      <c r="F223" s="485"/>
      <c r="G223" s="485"/>
      <c r="H223" s="485"/>
      <c r="I223" s="485"/>
      <c r="J223" s="485"/>
      <c r="K223" s="485"/>
      <c r="L223" s="485"/>
      <c r="M223" s="485"/>
      <c r="N223" s="485"/>
      <c r="O223" s="485"/>
      <c r="P223" s="486"/>
      <c r="Q223" s="486"/>
      <c r="R223" s="486"/>
      <c r="S223" s="486"/>
      <c r="T223" s="486"/>
      <c r="U223" s="486"/>
      <c r="V223" s="486"/>
      <c r="W223" s="486"/>
      <c r="X223" s="486"/>
      <c r="Y223" s="486"/>
      <c r="Z223" s="486"/>
    </row>
    <row r="224" spans="1:26" ht="15.75" customHeight="1">
      <c r="A224" s="482"/>
      <c r="B224" s="486"/>
      <c r="C224" s="485"/>
      <c r="D224" s="485"/>
      <c r="E224" s="485"/>
      <c r="F224" s="485"/>
      <c r="G224" s="485"/>
      <c r="H224" s="485"/>
      <c r="I224" s="485"/>
      <c r="J224" s="485"/>
      <c r="K224" s="485"/>
      <c r="L224" s="485"/>
      <c r="M224" s="485"/>
      <c r="N224" s="485"/>
      <c r="O224" s="485"/>
      <c r="P224" s="486"/>
      <c r="Q224" s="486"/>
      <c r="R224" s="486"/>
      <c r="S224" s="486"/>
      <c r="T224" s="486"/>
      <c r="U224" s="486"/>
      <c r="V224" s="486"/>
      <c r="W224" s="486"/>
      <c r="X224" s="486"/>
      <c r="Y224" s="486"/>
      <c r="Z224" s="486"/>
    </row>
    <row r="225" spans="1:26" ht="15.75" customHeight="1">
      <c r="A225" s="482"/>
      <c r="B225" s="486"/>
      <c r="C225" s="485"/>
      <c r="D225" s="485"/>
      <c r="E225" s="485"/>
      <c r="F225" s="485"/>
      <c r="G225" s="485"/>
      <c r="H225" s="485"/>
      <c r="I225" s="485"/>
      <c r="J225" s="485"/>
      <c r="K225" s="485"/>
      <c r="L225" s="485"/>
      <c r="M225" s="485"/>
      <c r="N225" s="485"/>
      <c r="O225" s="485"/>
      <c r="P225" s="486"/>
      <c r="Q225" s="486"/>
      <c r="R225" s="486"/>
      <c r="S225" s="486"/>
      <c r="T225" s="486"/>
      <c r="U225" s="486"/>
      <c r="V225" s="486"/>
      <c r="W225" s="486"/>
      <c r="X225" s="486"/>
      <c r="Y225" s="486"/>
      <c r="Z225" s="486"/>
    </row>
    <row r="226" spans="1:26" ht="15.75" customHeight="1">
      <c r="A226" s="482"/>
      <c r="B226" s="486"/>
      <c r="C226" s="485"/>
      <c r="D226" s="485"/>
      <c r="E226" s="485"/>
      <c r="F226" s="485"/>
      <c r="G226" s="485"/>
      <c r="H226" s="485"/>
      <c r="I226" s="485"/>
      <c r="J226" s="485"/>
      <c r="K226" s="485"/>
      <c r="L226" s="485"/>
      <c r="M226" s="485"/>
      <c r="N226" s="485"/>
      <c r="O226" s="485"/>
      <c r="P226" s="486"/>
      <c r="Q226" s="486"/>
      <c r="R226" s="486"/>
      <c r="S226" s="486"/>
      <c r="T226" s="486"/>
      <c r="U226" s="486"/>
      <c r="V226" s="486"/>
      <c r="W226" s="486"/>
      <c r="X226" s="486"/>
      <c r="Y226" s="486"/>
      <c r="Z226" s="486"/>
    </row>
    <row r="227" spans="1:26" ht="15.75" customHeight="1">
      <c r="A227" s="482"/>
      <c r="B227" s="486"/>
      <c r="C227" s="485"/>
      <c r="D227" s="485"/>
      <c r="E227" s="485"/>
      <c r="F227" s="485"/>
      <c r="G227" s="485"/>
      <c r="H227" s="485"/>
      <c r="I227" s="485"/>
      <c r="J227" s="485"/>
      <c r="K227" s="485"/>
      <c r="L227" s="485"/>
      <c r="M227" s="485"/>
      <c r="N227" s="485"/>
      <c r="O227" s="485"/>
      <c r="P227" s="486"/>
      <c r="Q227" s="486"/>
      <c r="R227" s="486"/>
      <c r="S227" s="486"/>
      <c r="T227" s="486"/>
      <c r="U227" s="486"/>
      <c r="V227" s="486"/>
      <c r="W227" s="486"/>
      <c r="X227" s="486"/>
      <c r="Y227" s="486"/>
      <c r="Z227" s="486"/>
    </row>
    <row r="228" spans="1:26" ht="15.75" customHeight="1">
      <c r="A228" s="486"/>
      <c r="B228" s="486"/>
      <c r="C228" s="486"/>
      <c r="D228" s="486"/>
      <c r="E228" s="486"/>
      <c r="F228" s="486"/>
      <c r="G228" s="486"/>
      <c r="H228" s="486"/>
      <c r="I228" s="486"/>
      <c r="J228" s="486"/>
      <c r="K228" s="486"/>
      <c r="L228" s="486"/>
      <c r="M228" s="486"/>
      <c r="N228" s="486"/>
      <c r="O228" s="486"/>
      <c r="P228" s="486"/>
      <c r="Q228" s="486"/>
      <c r="R228" s="486"/>
      <c r="S228" s="486"/>
      <c r="T228" s="486"/>
      <c r="U228" s="486"/>
      <c r="V228" s="486"/>
      <c r="W228" s="486"/>
      <c r="X228" s="486"/>
      <c r="Y228" s="486"/>
      <c r="Z228" s="486"/>
    </row>
    <row r="229" spans="1:26" ht="15.75" customHeight="1">
      <c r="A229" s="486"/>
      <c r="B229" s="486"/>
      <c r="C229" s="486"/>
      <c r="D229" s="486"/>
      <c r="E229" s="486"/>
      <c r="F229" s="486"/>
      <c r="G229" s="486"/>
      <c r="H229" s="486"/>
      <c r="I229" s="486"/>
      <c r="J229" s="486"/>
      <c r="K229" s="486"/>
      <c r="L229" s="486"/>
      <c r="M229" s="486"/>
      <c r="N229" s="486"/>
      <c r="O229" s="486"/>
      <c r="P229" s="486"/>
      <c r="Q229" s="486"/>
      <c r="R229" s="486"/>
      <c r="S229" s="486"/>
      <c r="T229" s="486"/>
      <c r="U229" s="486"/>
      <c r="V229" s="486"/>
      <c r="W229" s="486"/>
      <c r="X229" s="486"/>
      <c r="Y229" s="486"/>
      <c r="Z229" s="486"/>
    </row>
    <row r="230" spans="1:26" ht="15.75" customHeight="1">
      <c r="A230" s="486"/>
      <c r="B230" s="486"/>
      <c r="C230" s="486"/>
      <c r="D230" s="486"/>
      <c r="E230" s="486"/>
      <c r="F230" s="486"/>
      <c r="G230" s="486"/>
      <c r="H230" s="486"/>
      <c r="I230" s="486"/>
      <c r="J230" s="486"/>
      <c r="K230" s="486"/>
      <c r="L230" s="486"/>
      <c r="M230" s="486"/>
      <c r="N230" s="486"/>
      <c r="O230" s="486"/>
      <c r="P230" s="486"/>
      <c r="Q230" s="486"/>
      <c r="R230" s="486"/>
      <c r="S230" s="486"/>
      <c r="T230" s="486"/>
      <c r="U230" s="486"/>
      <c r="V230" s="486"/>
      <c r="W230" s="486"/>
      <c r="X230" s="486"/>
      <c r="Y230" s="486"/>
      <c r="Z230" s="486"/>
    </row>
    <row r="231" spans="1:26" ht="15.75" customHeight="1">
      <c r="A231" s="486"/>
      <c r="B231" s="486"/>
      <c r="C231" s="486"/>
      <c r="D231" s="486"/>
      <c r="E231" s="486"/>
      <c r="F231" s="486"/>
      <c r="G231" s="486"/>
      <c r="H231" s="486"/>
      <c r="I231" s="486"/>
      <c r="J231" s="486"/>
      <c r="K231" s="486"/>
      <c r="L231" s="486"/>
      <c r="M231" s="486"/>
      <c r="N231" s="486"/>
      <c r="O231" s="486"/>
      <c r="P231" s="486"/>
      <c r="Q231" s="486"/>
      <c r="R231" s="486"/>
      <c r="S231" s="486"/>
      <c r="T231" s="486"/>
      <c r="U231" s="486"/>
      <c r="V231" s="486"/>
      <c r="W231" s="486"/>
      <c r="X231" s="486"/>
      <c r="Y231" s="486"/>
      <c r="Z231" s="486"/>
    </row>
    <row r="232" spans="1:26" ht="15.75" customHeight="1">
      <c r="A232" s="486"/>
      <c r="B232" s="486"/>
      <c r="C232" s="486"/>
      <c r="D232" s="486"/>
      <c r="E232" s="486"/>
      <c r="F232" s="486"/>
      <c r="G232" s="486"/>
      <c r="H232" s="486"/>
      <c r="I232" s="486"/>
      <c r="J232" s="486"/>
      <c r="K232" s="486"/>
      <c r="L232" s="486"/>
      <c r="M232" s="486"/>
      <c r="N232" s="486"/>
      <c r="O232" s="486"/>
      <c r="P232" s="486"/>
      <c r="Q232" s="486"/>
      <c r="R232" s="486"/>
      <c r="S232" s="486"/>
      <c r="T232" s="486"/>
      <c r="U232" s="486"/>
      <c r="V232" s="486"/>
      <c r="W232" s="486"/>
      <c r="X232" s="486"/>
      <c r="Y232" s="486"/>
      <c r="Z232" s="486"/>
    </row>
    <row r="233" spans="1:26" ht="15.75" customHeight="1">
      <c r="A233" s="486"/>
      <c r="B233" s="486"/>
      <c r="C233" s="486"/>
      <c r="D233" s="486"/>
      <c r="E233" s="486"/>
      <c r="F233" s="486"/>
      <c r="G233" s="486"/>
      <c r="H233" s="486"/>
      <c r="I233" s="486"/>
      <c r="J233" s="486"/>
      <c r="K233" s="486"/>
      <c r="L233" s="486"/>
      <c r="M233" s="486"/>
      <c r="N233" s="486"/>
      <c r="O233" s="486"/>
      <c r="P233" s="486"/>
      <c r="Q233" s="486"/>
      <c r="R233" s="486"/>
      <c r="S233" s="486"/>
      <c r="T233" s="486"/>
      <c r="U233" s="486"/>
      <c r="V233" s="486"/>
      <c r="W233" s="486"/>
      <c r="X233" s="486"/>
      <c r="Y233" s="486"/>
      <c r="Z233" s="486"/>
    </row>
    <row r="234" spans="1:26" ht="15.75" customHeight="1">
      <c r="A234" s="486"/>
      <c r="B234" s="486"/>
      <c r="C234" s="486"/>
      <c r="D234" s="486"/>
      <c r="E234" s="486"/>
      <c r="F234" s="486"/>
      <c r="G234" s="486"/>
      <c r="H234" s="486"/>
      <c r="I234" s="486"/>
      <c r="J234" s="486"/>
      <c r="K234" s="486"/>
      <c r="L234" s="486"/>
      <c r="M234" s="486"/>
      <c r="N234" s="486"/>
      <c r="O234" s="486"/>
      <c r="P234" s="486"/>
      <c r="Q234" s="486"/>
      <c r="R234" s="486"/>
      <c r="S234" s="486"/>
      <c r="T234" s="486"/>
      <c r="U234" s="486"/>
      <c r="V234" s="486"/>
      <c r="W234" s="486"/>
      <c r="X234" s="486"/>
      <c r="Y234" s="486"/>
      <c r="Z234" s="486"/>
    </row>
    <row r="235" spans="1:26" ht="15.75" customHeight="1">
      <c r="A235" s="486"/>
      <c r="B235" s="486"/>
      <c r="C235" s="486"/>
      <c r="D235" s="486"/>
      <c r="E235" s="486"/>
      <c r="F235" s="486"/>
      <c r="G235" s="486"/>
      <c r="H235" s="486"/>
      <c r="I235" s="486"/>
      <c r="J235" s="486"/>
      <c r="K235" s="486"/>
      <c r="L235" s="486"/>
      <c r="M235" s="486"/>
      <c r="N235" s="486"/>
      <c r="O235" s="486"/>
      <c r="P235" s="486"/>
      <c r="Q235" s="486"/>
      <c r="R235" s="486"/>
      <c r="S235" s="486"/>
      <c r="T235" s="486"/>
      <c r="U235" s="486"/>
      <c r="V235" s="486"/>
      <c r="W235" s="486"/>
      <c r="X235" s="486"/>
      <c r="Y235" s="486"/>
      <c r="Z235" s="486"/>
    </row>
    <row r="236" spans="1:26" ht="15.75" customHeight="1">
      <c r="A236" s="486"/>
      <c r="B236" s="486"/>
      <c r="C236" s="486"/>
      <c r="D236" s="486"/>
      <c r="E236" s="486"/>
      <c r="F236" s="486"/>
      <c r="G236" s="486"/>
      <c r="H236" s="486"/>
      <c r="I236" s="486"/>
      <c r="J236" s="486"/>
      <c r="K236" s="486"/>
      <c r="L236" s="486"/>
      <c r="M236" s="486"/>
      <c r="N236" s="486"/>
      <c r="O236" s="486"/>
      <c r="P236" s="486"/>
      <c r="Q236" s="486"/>
      <c r="R236" s="486"/>
      <c r="S236" s="486"/>
      <c r="T236" s="486"/>
      <c r="U236" s="486"/>
      <c r="V236" s="486"/>
      <c r="W236" s="486"/>
      <c r="X236" s="486"/>
      <c r="Y236" s="486"/>
      <c r="Z236" s="486"/>
    </row>
    <row r="237" spans="1:26" ht="15.75" customHeight="1">
      <c r="A237" s="486"/>
      <c r="B237" s="486"/>
      <c r="C237" s="486"/>
      <c r="D237" s="486"/>
      <c r="E237" s="486"/>
      <c r="F237" s="486"/>
      <c r="G237" s="486"/>
      <c r="H237" s="486"/>
      <c r="I237" s="486"/>
      <c r="J237" s="486"/>
      <c r="K237" s="486"/>
      <c r="L237" s="486"/>
      <c r="M237" s="486"/>
      <c r="N237" s="486"/>
      <c r="O237" s="486"/>
      <c r="P237" s="486"/>
      <c r="Q237" s="486"/>
      <c r="R237" s="486"/>
      <c r="S237" s="486"/>
      <c r="T237" s="486"/>
      <c r="U237" s="486"/>
      <c r="V237" s="486"/>
      <c r="W237" s="486"/>
      <c r="X237" s="486"/>
      <c r="Y237" s="486"/>
      <c r="Z237" s="486"/>
    </row>
    <row r="238" spans="1:26" ht="15.75" customHeight="1">
      <c r="A238" s="486"/>
      <c r="B238" s="486"/>
      <c r="C238" s="486"/>
      <c r="D238" s="486"/>
      <c r="E238" s="486"/>
      <c r="F238" s="486"/>
      <c r="G238" s="486"/>
      <c r="H238" s="486"/>
      <c r="I238" s="486"/>
      <c r="J238" s="486"/>
      <c r="K238" s="486"/>
      <c r="L238" s="486"/>
      <c r="M238" s="486"/>
      <c r="N238" s="486"/>
      <c r="O238" s="486"/>
      <c r="P238" s="486"/>
      <c r="Q238" s="486"/>
      <c r="R238" s="486"/>
      <c r="S238" s="486"/>
      <c r="T238" s="486"/>
      <c r="U238" s="486"/>
      <c r="V238" s="486"/>
      <c r="W238" s="486"/>
      <c r="X238" s="486"/>
      <c r="Y238" s="486"/>
      <c r="Z238" s="486"/>
    </row>
    <row r="239" spans="1:26" ht="15.75" customHeight="1">
      <c r="A239" s="486"/>
      <c r="B239" s="486"/>
      <c r="C239" s="486"/>
      <c r="D239" s="486"/>
      <c r="E239" s="486"/>
      <c r="F239" s="486"/>
      <c r="G239" s="486"/>
      <c r="H239" s="486"/>
      <c r="I239" s="486"/>
      <c r="J239" s="486"/>
      <c r="K239" s="486"/>
      <c r="L239" s="486"/>
      <c r="M239" s="486"/>
      <c r="N239" s="486"/>
      <c r="O239" s="486"/>
      <c r="P239" s="486"/>
      <c r="Q239" s="486"/>
      <c r="R239" s="486"/>
      <c r="S239" s="486"/>
      <c r="T239" s="486"/>
      <c r="U239" s="486"/>
      <c r="V239" s="486"/>
      <c r="W239" s="486"/>
      <c r="X239" s="486"/>
      <c r="Y239" s="486"/>
      <c r="Z239" s="486"/>
    </row>
    <row r="240" spans="1:26" ht="15.75" customHeight="1">
      <c r="A240" s="486"/>
      <c r="B240" s="486"/>
      <c r="C240" s="486"/>
      <c r="D240" s="486"/>
      <c r="E240" s="486"/>
      <c r="F240" s="486"/>
      <c r="G240" s="486"/>
      <c r="H240" s="486"/>
      <c r="I240" s="486"/>
      <c r="J240" s="486"/>
      <c r="K240" s="486"/>
      <c r="L240" s="486"/>
      <c r="M240" s="486"/>
      <c r="N240" s="486"/>
      <c r="O240" s="486"/>
      <c r="P240" s="486"/>
      <c r="Q240" s="486"/>
      <c r="R240" s="486"/>
      <c r="S240" s="486"/>
      <c r="T240" s="486"/>
      <c r="U240" s="486"/>
      <c r="V240" s="486"/>
      <c r="W240" s="486"/>
      <c r="X240" s="486"/>
      <c r="Y240" s="486"/>
      <c r="Z240" s="486"/>
    </row>
    <row r="241" spans="1:26" ht="15.75" customHeight="1">
      <c r="A241" s="486"/>
      <c r="B241" s="486"/>
      <c r="C241" s="486"/>
      <c r="D241" s="486"/>
      <c r="E241" s="486"/>
      <c r="F241" s="486"/>
      <c r="G241" s="486"/>
      <c r="H241" s="486"/>
      <c r="I241" s="486"/>
      <c r="J241" s="486"/>
      <c r="K241" s="486"/>
      <c r="L241" s="486"/>
      <c r="M241" s="486"/>
      <c r="N241" s="486"/>
      <c r="O241" s="486"/>
      <c r="P241" s="486"/>
      <c r="Q241" s="486"/>
      <c r="R241" s="486"/>
      <c r="S241" s="486"/>
      <c r="T241" s="486"/>
      <c r="U241" s="486"/>
      <c r="V241" s="486"/>
      <c r="W241" s="486"/>
      <c r="X241" s="486"/>
      <c r="Y241" s="486"/>
      <c r="Z241" s="486"/>
    </row>
    <row r="242" spans="1:26" ht="15.75" customHeight="1">
      <c r="A242" s="486"/>
      <c r="B242" s="486"/>
      <c r="C242" s="486"/>
      <c r="D242" s="486"/>
      <c r="E242" s="486"/>
      <c r="F242" s="486"/>
      <c r="G242" s="486"/>
      <c r="H242" s="486"/>
      <c r="I242" s="486"/>
      <c r="J242" s="486"/>
      <c r="K242" s="486"/>
      <c r="L242" s="486"/>
      <c r="M242" s="486"/>
      <c r="N242" s="486"/>
      <c r="O242" s="486"/>
      <c r="P242" s="486"/>
      <c r="Q242" s="486"/>
      <c r="R242" s="486"/>
      <c r="S242" s="486"/>
      <c r="T242" s="486"/>
      <c r="U242" s="486"/>
      <c r="V242" s="486"/>
      <c r="W242" s="486"/>
      <c r="X242" s="486"/>
      <c r="Y242" s="486"/>
      <c r="Z242" s="486"/>
    </row>
    <row r="243" spans="1:26" ht="15.75" customHeight="1">
      <c r="A243" s="486"/>
      <c r="B243" s="486"/>
      <c r="C243" s="486"/>
      <c r="D243" s="486"/>
      <c r="E243" s="486"/>
      <c r="F243" s="486"/>
      <c r="G243" s="486"/>
      <c r="H243" s="486"/>
      <c r="I243" s="486"/>
      <c r="J243" s="486"/>
      <c r="K243" s="486"/>
      <c r="L243" s="486"/>
      <c r="M243" s="486"/>
      <c r="N243" s="486"/>
      <c r="O243" s="486"/>
      <c r="P243" s="486"/>
      <c r="Q243" s="486"/>
      <c r="R243" s="486"/>
      <c r="S243" s="486"/>
      <c r="T243" s="486"/>
      <c r="U243" s="486"/>
      <c r="V243" s="486"/>
      <c r="W243" s="486"/>
      <c r="X243" s="486"/>
      <c r="Y243" s="486"/>
      <c r="Z243" s="486"/>
    </row>
    <row r="244" spans="1:26" ht="15.75" customHeight="1">
      <c r="A244" s="486"/>
      <c r="B244" s="486"/>
      <c r="C244" s="486"/>
      <c r="D244" s="486"/>
      <c r="E244" s="486"/>
      <c r="F244" s="486"/>
      <c r="G244" s="486"/>
      <c r="H244" s="486"/>
      <c r="I244" s="486"/>
      <c r="J244" s="486"/>
      <c r="K244" s="486"/>
      <c r="L244" s="486"/>
      <c r="M244" s="486"/>
      <c r="N244" s="486"/>
      <c r="O244" s="486"/>
      <c r="P244" s="486"/>
      <c r="Q244" s="486"/>
      <c r="R244" s="486"/>
      <c r="S244" s="486"/>
      <c r="T244" s="486"/>
      <c r="U244" s="486"/>
      <c r="V244" s="486"/>
      <c r="W244" s="486"/>
      <c r="X244" s="486"/>
      <c r="Y244" s="486"/>
      <c r="Z244" s="486"/>
    </row>
    <row r="245" spans="1:26" ht="15.75" customHeight="1">
      <c r="A245" s="486"/>
      <c r="B245" s="486"/>
      <c r="C245" s="486"/>
      <c r="D245" s="486"/>
      <c r="E245" s="486"/>
      <c r="F245" s="486"/>
      <c r="G245" s="486"/>
      <c r="H245" s="486"/>
      <c r="I245" s="486"/>
      <c r="J245" s="486"/>
      <c r="K245" s="486"/>
      <c r="L245" s="486"/>
      <c r="M245" s="486"/>
      <c r="N245" s="486"/>
      <c r="O245" s="486"/>
      <c r="P245" s="486"/>
      <c r="Q245" s="486"/>
      <c r="R245" s="486"/>
      <c r="S245" s="486"/>
      <c r="T245" s="486"/>
      <c r="U245" s="486"/>
      <c r="V245" s="486"/>
      <c r="W245" s="486"/>
      <c r="X245" s="486"/>
      <c r="Y245" s="486"/>
      <c r="Z245" s="486"/>
    </row>
    <row r="246" spans="1:26" ht="15.75" customHeight="1">
      <c r="A246" s="486"/>
      <c r="B246" s="486"/>
      <c r="C246" s="486"/>
      <c r="D246" s="486"/>
      <c r="E246" s="486"/>
      <c r="F246" s="486"/>
      <c r="G246" s="486"/>
      <c r="H246" s="486"/>
      <c r="I246" s="486"/>
      <c r="J246" s="486"/>
      <c r="K246" s="486"/>
      <c r="L246" s="486"/>
      <c r="M246" s="486"/>
      <c r="N246" s="486"/>
      <c r="O246" s="486"/>
      <c r="P246" s="486"/>
      <c r="Q246" s="486"/>
      <c r="R246" s="486"/>
      <c r="S246" s="486"/>
      <c r="T246" s="486"/>
      <c r="U246" s="486"/>
      <c r="V246" s="486"/>
      <c r="W246" s="486"/>
      <c r="X246" s="486"/>
      <c r="Y246" s="486"/>
      <c r="Z246" s="486"/>
    </row>
    <row r="247" spans="1:26" ht="15.75" customHeight="1">
      <c r="A247" s="486"/>
      <c r="B247" s="486"/>
      <c r="C247" s="486"/>
      <c r="D247" s="486"/>
      <c r="E247" s="486"/>
      <c r="F247" s="486"/>
      <c r="G247" s="486"/>
      <c r="H247" s="486"/>
      <c r="I247" s="486"/>
      <c r="J247" s="486"/>
      <c r="K247" s="486"/>
      <c r="L247" s="486"/>
      <c r="M247" s="486"/>
      <c r="N247" s="486"/>
      <c r="O247" s="486"/>
      <c r="P247" s="486"/>
      <c r="Q247" s="486"/>
      <c r="R247" s="486"/>
      <c r="S247" s="486"/>
      <c r="T247" s="486"/>
      <c r="U247" s="486"/>
      <c r="V247" s="486"/>
      <c r="W247" s="486"/>
      <c r="X247" s="486"/>
      <c r="Y247" s="486"/>
      <c r="Z247" s="486"/>
    </row>
    <row r="248" spans="1:26" ht="15.75" customHeight="1">
      <c r="A248" s="486"/>
      <c r="B248" s="486"/>
      <c r="C248" s="486"/>
      <c r="D248" s="486"/>
      <c r="E248" s="486"/>
      <c r="F248" s="486"/>
      <c r="G248" s="486"/>
      <c r="H248" s="486"/>
      <c r="I248" s="486"/>
      <c r="J248" s="486"/>
      <c r="K248" s="486"/>
      <c r="L248" s="486"/>
      <c r="M248" s="486"/>
      <c r="N248" s="486"/>
      <c r="O248" s="486"/>
      <c r="P248" s="486"/>
      <c r="Q248" s="486"/>
      <c r="R248" s="486"/>
      <c r="S248" s="486"/>
      <c r="T248" s="486"/>
      <c r="U248" s="486"/>
      <c r="V248" s="486"/>
      <c r="W248" s="486"/>
      <c r="X248" s="486"/>
      <c r="Y248" s="486"/>
      <c r="Z248" s="486"/>
    </row>
    <row r="249" spans="1:26" ht="15.75" customHeight="1">
      <c r="A249" s="486"/>
      <c r="B249" s="486"/>
      <c r="C249" s="486"/>
      <c r="D249" s="486"/>
      <c r="E249" s="486"/>
      <c r="F249" s="486"/>
      <c r="G249" s="486"/>
      <c r="H249" s="486"/>
      <c r="I249" s="486"/>
      <c r="J249" s="486"/>
      <c r="K249" s="486"/>
      <c r="L249" s="486"/>
      <c r="M249" s="486"/>
      <c r="N249" s="486"/>
      <c r="O249" s="486"/>
      <c r="P249" s="486"/>
      <c r="Q249" s="486"/>
      <c r="R249" s="486"/>
      <c r="S249" s="486"/>
      <c r="T249" s="486"/>
      <c r="U249" s="486"/>
      <c r="V249" s="486"/>
      <c r="W249" s="486"/>
      <c r="X249" s="486"/>
      <c r="Y249" s="486"/>
      <c r="Z249" s="486"/>
    </row>
    <row r="250" spans="1:26" ht="15.75" customHeight="1">
      <c r="A250" s="486"/>
      <c r="B250" s="486"/>
      <c r="C250" s="486"/>
      <c r="D250" s="486"/>
      <c r="E250" s="486"/>
      <c r="F250" s="486"/>
      <c r="G250" s="486"/>
      <c r="H250" s="486"/>
      <c r="I250" s="486"/>
      <c r="J250" s="486"/>
      <c r="K250" s="486"/>
      <c r="L250" s="486"/>
      <c r="M250" s="486"/>
      <c r="N250" s="486"/>
      <c r="O250" s="486"/>
      <c r="P250" s="486"/>
      <c r="Q250" s="486"/>
      <c r="R250" s="486"/>
      <c r="S250" s="486"/>
      <c r="T250" s="486"/>
      <c r="U250" s="486"/>
      <c r="V250" s="486"/>
      <c r="W250" s="486"/>
      <c r="X250" s="486"/>
      <c r="Y250" s="486"/>
      <c r="Z250" s="486"/>
    </row>
    <row r="251" spans="1:26" ht="15.75" customHeight="1">
      <c r="A251" s="486"/>
      <c r="B251" s="486"/>
      <c r="C251" s="486"/>
      <c r="D251" s="486"/>
      <c r="E251" s="486"/>
      <c r="F251" s="486"/>
      <c r="G251" s="486"/>
      <c r="H251" s="486"/>
      <c r="I251" s="486"/>
      <c r="J251" s="486"/>
      <c r="K251" s="486"/>
      <c r="L251" s="486"/>
      <c r="M251" s="486"/>
      <c r="N251" s="486"/>
      <c r="O251" s="486"/>
      <c r="P251" s="486"/>
      <c r="Q251" s="486"/>
      <c r="R251" s="486"/>
      <c r="S251" s="486"/>
      <c r="T251" s="486"/>
      <c r="U251" s="486"/>
      <c r="V251" s="486"/>
      <c r="W251" s="486"/>
      <c r="X251" s="486"/>
      <c r="Y251" s="486"/>
      <c r="Z251" s="486"/>
    </row>
    <row r="252" spans="1:26" ht="15.75" customHeight="1">
      <c r="A252" s="486"/>
      <c r="B252" s="486"/>
      <c r="C252" s="486"/>
      <c r="D252" s="486"/>
      <c r="E252" s="486"/>
      <c r="F252" s="486"/>
      <c r="G252" s="486"/>
      <c r="H252" s="486"/>
      <c r="I252" s="486"/>
      <c r="J252" s="486"/>
      <c r="K252" s="486"/>
      <c r="L252" s="486"/>
      <c r="M252" s="486"/>
      <c r="N252" s="486"/>
      <c r="O252" s="486"/>
      <c r="P252" s="486"/>
      <c r="Q252" s="486"/>
      <c r="R252" s="486"/>
      <c r="S252" s="486"/>
      <c r="T252" s="486"/>
      <c r="U252" s="486"/>
      <c r="V252" s="486"/>
      <c r="W252" s="486"/>
      <c r="X252" s="486"/>
      <c r="Y252" s="486"/>
      <c r="Z252" s="486"/>
    </row>
    <row r="253" spans="1:26" ht="15.75" customHeight="1">
      <c r="A253" s="486"/>
      <c r="B253" s="486"/>
      <c r="C253" s="486"/>
      <c r="D253" s="486"/>
      <c r="E253" s="486"/>
      <c r="F253" s="486"/>
      <c r="G253" s="486"/>
      <c r="H253" s="486"/>
      <c r="I253" s="486"/>
      <c r="J253" s="486"/>
      <c r="K253" s="486"/>
      <c r="L253" s="486"/>
      <c r="M253" s="486"/>
      <c r="N253" s="486"/>
      <c r="O253" s="486"/>
      <c r="P253" s="486"/>
      <c r="Q253" s="486"/>
      <c r="R253" s="486"/>
      <c r="S253" s="486"/>
      <c r="T253" s="486"/>
      <c r="U253" s="486"/>
      <c r="V253" s="486"/>
      <c r="W253" s="486"/>
      <c r="X253" s="486"/>
      <c r="Y253" s="486"/>
      <c r="Z253" s="486"/>
    </row>
    <row r="254" spans="1:26" ht="15.75" customHeight="1">
      <c r="A254" s="486"/>
      <c r="B254" s="486"/>
      <c r="C254" s="486"/>
      <c r="D254" s="486"/>
      <c r="E254" s="486"/>
      <c r="F254" s="486"/>
      <c r="G254" s="486"/>
      <c r="H254" s="486"/>
      <c r="I254" s="486"/>
      <c r="J254" s="486"/>
      <c r="K254" s="486"/>
      <c r="L254" s="486"/>
      <c r="M254" s="486"/>
      <c r="N254" s="486"/>
      <c r="O254" s="486"/>
      <c r="P254" s="486"/>
      <c r="Q254" s="486"/>
      <c r="R254" s="486"/>
      <c r="S254" s="486"/>
      <c r="T254" s="486"/>
      <c r="U254" s="486"/>
      <c r="V254" s="486"/>
      <c r="W254" s="486"/>
      <c r="X254" s="486"/>
      <c r="Y254" s="486"/>
      <c r="Z254" s="486"/>
    </row>
    <row r="255" spans="1:26" ht="15.75" customHeight="1">
      <c r="A255" s="486"/>
      <c r="B255" s="486"/>
      <c r="C255" s="486"/>
      <c r="D255" s="486"/>
      <c r="E255" s="486"/>
      <c r="F255" s="486"/>
      <c r="G255" s="486"/>
      <c r="H255" s="486"/>
      <c r="I255" s="486"/>
      <c r="J255" s="486"/>
      <c r="K255" s="486"/>
      <c r="L255" s="486"/>
      <c r="M255" s="486"/>
      <c r="N255" s="486"/>
      <c r="O255" s="486"/>
      <c r="P255" s="486"/>
      <c r="Q255" s="486"/>
      <c r="R255" s="486"/>
      <c r="S255" s="486"/>
      <c r="T255" s="486"/>
      <c r="U255" s="486"/>
      <c r="V255" s="486"/>
      <c r="W255" s="486"/>
      <c r="X255" s="486"/>
      <c r="Y255" s="486"/>
      <c r="Z255" s="486"/>
    </row>
    <row r="256" spans="1:26" ht="15.75" customHeight="1">
      <c r="A256" s="486"/>
      <c r="B256" s="486"/>
      <c r="C256" s="486"/>
      <c r="D256" s="486"/>
      <c r="E256" s="486"/>
      <c r="F256" s="486"/>
      <c r="G256" s="486"/>
      <c r="H256" s="486"/>
      <c r="I256" s="486"/>
      <c r="J256" s="486"/>
      <c r="K256" s="486"/>
      <c r="L256" s="486"/>
      <c r="M256" s="486"/>
      <c r="N256" s="486"/>
      <c r="O256" s="486"/>
      <c r="P256" s="486"/>
      <c r="Q256" s="486"/>
      <c r="R256" s="486"/>
      <c r="S256" s="486"/>
      <c r="T256" s="486"/>
      <c r="U256" s="486"/>
      <c r="V256" s="486"/>
      <c r="W256" s="486"/>
      <c r="X256" s="486"/>
      <c r="Y256" s="486"/>
      <c r="Z256" s="486"/>
    </row>
    <row r="257" spans="1:26" ht="15.75" customHeight="1">
      <c r="A257" s="486"/>
      <c r="B257" s="486"/>
      <c r="C257" s="486"/>
      <c r="D257" s="486"/>
      <c r="E257" s="486"/>
      <c r="F257" s="486"/>
      <c r="G257" s="486"/>
      <c r="H257" s="486"/>
      <c r="I257" s="486"/>
      <c r="J257" s="486"/>
      <c r="K257" s="486"/>
      <c r="L257" s="486"/>
      <c r="M257" s="486"/>
      <c r="N257" s="486"/>
      <c r="O257" s="486"/>
      <c r="P257" s="486"/>
      <c r="Q257" s="486"/>
      <c r="R257" s="486"/>
      <c r="S257" s="486"/>
      <c r="T257" s="486"/>
      <c r="U257" s="486"/>
      <c r="V257" s="486"/>
      <c r="W257" s="486"/>
      <c r="X257" s="486"/>
      <c r="Y257" s="486"/>
      <c r="Z257" s="486"/>
    </row>
    <row r="258" spans="1:26" ht="15.75" customHeight="1">
      <c r="A258" s="486"/>
      <c r="B258" s="486"/>
      <c r="C258" s="486"/>
      <c r="D258" s="486"/>
      <c r="E258" s="486"/>
      <c r="F258" s="486"/>
      <c r="G258" s="486"/>
      <c r="H258" s="486"/>
      <c r="I258" s="486"/>
      <c r="J258" s="486"/>
      <c r="K258" s="486"/>
      <c r="L258" s="486"/>
      <c r="M258" s="486"/>
      <c r="N258" s="486"/>
      <c r="O258" s="486"/>
      <c r="P258" s="486"/>
      <c r="Q258" s="486"/>
      <c r="R258" s="486"/>
      <c r="S258" s="486"/>
      <c r="T258" s="486"/>
      <c r="U258" s="486"/>
      <c r="V258" s="486"/>
      <c r="W258" s="486"/>
      <c r="X258" s="486"/>
      <c r="Y258" s="486"/>
      <c r="Z258" s="486"/>
    </row>
    <row r="259" spans="1:26" ht="15.75" customHeight="1">
      <c r="A259" s="486"/>
      <c r="B259" s="486"/>
      <c r="C259" s="486"/>
      <c r="D259" s="486"/>
      <c r="E259" s="486"/>
      <c r="F259" s="486"/>
      <c r="G259" s="486"/>
      <c r="H259" s="486"/>
      <c r="I259" s="486"/>
      <c r="J259" s="486"/>
      <c r="K259" s="486"/>
      <c r="L259" s="486"/>
      <c r="M259" s="486"/>
      <c r="N259" s="486"/>
      <c r="O259" s="486"/>
      <c r="P259" s="486"/>
      <c r="Q259" s="486"/>
      <c r="R259" s="486"/>
      <c r="S259" s="486"/>
      <c r="T259" s="486"/>
      <c r="U259" s="486"/>
      <c r="V259" s="486"/>
      <c r="W259" s="486"/>
      <c r="X259" s="486"/>
      <c r="Y259" s="486"/>
      <c r="Z259" s="486"/>
    </row>
    <row r="260" spans="1:26" ht="15.75" customHeight="1">
      <c r="A260" s="486"/>
      <c r="B260" s="486"/>
      <c r="C260" s="486"/>
      <c r="D260" s="486"/>
      <c r="E260" s="486"/>
      <c r="F260" s="486"/>
      <c r="G260" s="486"/>
      <c r="H260" s="486"/>
      <c r="I260" s="486"/>
      <c r="J260" s="486"/>
      <c r="K260" s="486"/>
      <c r="L260" s="486"/>
      <c r="M260" s="486"/>
      <c r="N260" s="486"/>
      <c r="O260" s="486"/>
      <c r="P260" s="486"/>
      <c r="Q260" s="486"/>
      <c r="R260" s="486"/>
      <c r="S260" s="486"/>
      <c r="T260" s="486"/>
      <c r="U260" s="486"/>
      <c r="V260" s="486"/>
      <c r="W260" s="486"/>
      <c r="X260" s="486"/>
      <c r="Y260" s="486"/>
      <c r="Z260" s="486"/>
    </row>
    <row r="261" spans="1:26" ht="15.75" customHeight="1">
      <c r="A261" s="486"/>
      <c r="B261" s="486"/>
      <c r="C261" s="486"/>
      <c r="D261" s="486"/>
      <c r="E261" s="486"/>
      <c r="F261" s="486"/>
      <c r="G261" s="486"/>
      <c r="H261" s="486"/>
      <c r="I261" s="486"/>
      <c r="J261" s="486"/>
      <c r="K261" s="486"/>
      <c r="L261" s="486"/>
      <c r="M261" s="486"/>
      <c r="N261" s="486"/>
      <c r="O261" s="486"/>
      <c r="P261" s="486"/>
      <c r="Q261" s="486"/>
      <c r="R261" s="486"/>
      <c r="S261" s="486"/>
      <c r="T261" s="486"/>
      <c r="U261" s="486"/>
      <c r="V261" s="486"/>
      <c r="W261" s="486"/>
      <c r="X261" s="486"/>
      <c r="Y261" s="486"/>
      <c r="Z261" s="486"/>
    </row>
    <row r="262" spans="1:26" ht="15.75" customHeight="1">
      <c r="A262" s="486"/>
      <c r="B262" s="486"/>
      <c r="C262" s="486"/>
      <c r="D262" s="486"/>
      <c r="E262" s="486"/>
      <c r="F262" s="486"/>
      <c r="G262" s="486"/>
      <c r="H262" s="486"/>
      <c r="I262" s="486"/>
      <c r="J262" s="486"/>
      <c r="K262" s="486"/>
      <c r="L262" s="486"/>
      <c r="M262" s="486"/>
      <c r="N262" s="486"/>
      <c r="O262" s="486"/>
      <c r="P262" s="486"/>
      <c r="Q262" s="486"/>
      <c r="R262" s="486"/>
      <c r="S262" s="486"/>
      <c r="T262" s="486"/>
      <c r="U262" s="486"/>
      <c r="V262" s="486"/>
      <c r="W262" s="486"/>
      <c r="X262" s="486"/>
      <c r="Y262" s="486"/>
      <c r="Z262" s="486"/>
    </row>
    <row r="263" spans="1:26" ht="15.75" customHeight="1">
      <c r="A263" s="486"/>
      <c r="B263" s="486"/>
      <c r="C263" s="486"/>
      <c r="D263" s="486"/>
      <c r="E263" s="486"/>
      <c r="F263" s="486"/>
      <c r="G263" s="486"/>
      <c r="H263" s="486"/>
      <c r="I263" s="486"/>
      <c r="J263" s="486"/>
      <c r="K263" s="486"/>
      <c r="L263" s="486"/>
      <c r="M263" s="486"/>
      <c r="N263" s="486"/>
      <c r="O263" s="486"/>
      <c r="P263" s="486"/>
      <c r="Q263" s="486"/>
      <c r="R263" s="486"/>
      <c r="S263" s="486"/>
      <c r="T263" s="486"/>
      <c r="U263" s="486"/>
      <c r="V263" s="486"/>
      <c r="W263" s="486"/>
      <c r="X263" s="486"/>
      <c r="Y263" s="486"/>
      <c r="Z263" s="486"/>
    </row>
    <row r="264" spans="1:26" ht="15.75" customHeight="1">
      <c r="A264" s="486"/>
      <c r="B264" s="486"/>
      <c r="C264" s="486"/>
      <c r="D264" s="486"/>
      <c r="E264" s="486"/>
      <c r="F264" s="486"/>
      <c r="G264" s="486"/>
      <c r="H264" s="486"/>
      <c r="I264" s="486"/>
      <c r="J264" s="486"/>
      <c r="K264" s="486"/>
      <c r="L264" s="486"/>
      <c r="M264" s="486"/>
      <c r="N264" s="486"/>
      <c r="O264" s="486"/>
      <c r="P264" s="486"/>
      <c r="Q264" s="486"/>
      <c r="R264" s="486"/>
      <c r="S264" s="486"/>
      <c r="T264" s="486"/>
      <c r="U264" s="486"/>
      <c r="V264" s="486"/>
      <c r="W264" s="486"/>
      <c r="X264" s="486"/>
      <c r="Y264" s="486"/>
      <c r="Z264" s="486"/>
    </row>
    <row r="265" spans="1:26" ht="15.75" customHeight="1">
      <c r="A265" s="486"/>
      <c r="B265" s="486"/>
      <c r="C265" s="486"/>
      <c r="D265" s="486"/>
      <c r="E265" s="486"/>
      <c r="F265" s="486"/>
      <c r="G265" s="486"/>
      <c r="H265" s="486"/>
      <c r="I265" s="486"/>
      <c r="J265" s="486"/>
      <c r="K265" s="486"/>
      <c r="L265" s="486"/>
      <c r="M265" s="486"/>
      <c r="N265" s="486"/>
      <c r="O265" s="486"/>
      <c r="P265" s="486"/>
      <c r="Q265" s="486"/>
      <c r="R265" s="486"/>
      <c r="S265" s="486"/>
      <c r="T265" s="486"/>
      <c r="U265" s="486"/>
      <c r="V265" s="486"/>
      <c r="W265" s="486"/>
      <c r="X265" s="486"/>
      <c r="Y265" s="486"/>
      <c r="Z265" s="486"/>
    </row>
    <row r="266" spans="1:26" ht="15.75" customHeight="1">
      <c r="A266" s="486"/>
      <c r="B266" s="486"/>
      <c r="C266" s="486"/>
      <c r="D266" s="486"/>
      <c r="E266" s="486"/>
      <c r="F266" s="486"/>
      <c r="G266" s="486"/>
      <c r="H266" s="486"/>
      <c r="I266" s="486"/>
      <c r="J266" s="486"/>
      <c r="K266" s="486"/>
      <c r="L266" s="486"/>
      <c r="M266" s="486"/>
      <c r="N266" s="486"/>
      <c r="O266" s="486"/>
      <c r="P266" s="486"/>
      <c r="Q266" s="486"/>
      <c r="R266" s="486"/>
      <c r="S266" s="486"/>
      <c r="T266" s="486"/>
      <c r="U266" s="486"/>
      <c r="V266" s="486"/>
      <c r="W266" s="486"/>
      <c r="X266" s="486"/>
      <c r="Y266" s="486"/>
      <c r="Z266" s="486"/>
    </row>
    <row r="267" spans="1:26" ht="15.75" customHeight="1">
      <c r="A267" s="486"/>
      <c r="B267" s="486"/>
      <c r="C267" s="486"/>
      <c r="D267" s="486"/>
      <c r="E267" s="486"/>
      <c r="F267" s="486"/>
      <c r="G267" s="486"/>
      <c r="H267" s="486"/>
      <c r="I267" s="486"/>
      <c r="J267" s="486"/>
      <c r="K267" s="486"/>
      <c r="L267" s="486"/>
      <c r="M267" s="486"/>
      <c r="N267" s="486"/>
      <c r="O267" s="486"/>
      <c r="P267" s="486"/>
      <c r="Q267" s="486"/>
      <c r="R267" s="486"/>
      <c r="S267" s="486"/>
      <c r="T267" s="486"/>
      <c r="U267" s="486"/>
      <c r="V267" s="486"/>
      <c r="W267" s="486"/>
      <c r="X267" s="486"/>
      <c r="Y267" s="486"/>
      <c r="Z267" s="486"/>
    </row>
    <row r="268" spans="1:26" ht="15.75" customHeight="1">
      <c r="A268" s="486"/>
      <c r="B268" s="486"/>
      <c r="C268" s="486"/>
      <c r="D268" s="486"/>
      <c r="E268" s="486"/>
      <c r="F268" s="486"/>
      <c r="G268" s="486"/>
      <c r="H268" s="486"/>
      <c r="I268" s="486"/>
      <c r="J268" s="486"/>
      <c r="K268" s="486"/>
      <c r="L268" s="486"/>
      <c r="M268" s="486"/>
      <c r="N268" s="486"/>
      <c r="O268" s="486"/>
      <c r="P268" s="486"/>
      <c r="Q268" s="486"/>
      <c r="R268" s="486"/>
      <c r="S268" s="486"/>
      <c r="T268" s="486"/>
      <c r="U268" s="486"/>
      <c r="V268" s="486"/>
      <c r="W268" s="486"/>
      <c r="X268" s="486"/>
      <c r="Y268" s="486"/>
      <c r="Z268" s="486"/>
    </row>
    <row r="269" spans="1:26" ht="15.75" customHeight="1">
      <c r="A269" s="486"/>
      <c r="B269" s="486"/>
      <c r="C269" s="486"/>
      <c r="D269" s="486"/>
      <c r="E269" s="486"/>
      <c r="F269" s="486"/>
      <c r="G269" s="486"/>
      <c r="H269" s="486"/>
      <c r="I269" s="486"/>
      <c r="J269" s="486"/>
      <c r="K269" s="486"/>
      <c r="L269" s="486"/>
      <c r="M269" s="486"/>
      <c r="N269" s="486"/>
      <c r="O269" s="486"/>
      <c r="P269" s="486"/>
      <c r="Q269" s="486"/>
      <c r="R269" s="486"/>
      <c r="S269" s="486"/>
      <c r="T269" s="486"/>
      <c r="U269" s="486"/>
      <c r="V269" s="486"/>
      <c r="W269" s="486"/>
      <c r="X269" s="486"/>
      <c r="Y269" s="486"/>
      <c r="Z269" s="486"/>
    </row>
    <row r="270" spans="1:26" ht="15.75" customHeight="1">
      <c r="A270" s="486"/>
      <c r="B270" s="486"/>
      <c r="C270" s="486"/>
      <c r="D270" s="486"/>
      <c r="E270" s="486"/>
      <c r="F270" s="486"/>
      <c r="G270" s="486"/>
      <c r="H270" s="486"/>
      <c r="I270" s="486"/>
      <c r="J270" s="486"/>
      <c r="K270" s="486"/>
      <c r="L270" s="486"/>
      <c r="M270" s="486"/>
      <c r="N270" s="486"/>
      <c r="O270" s="486"/>
      <c r="P270" s="486"/>
      <c r="Q270" s="486"/>
      <c r="R270" s="486"/>
      <c r="S270" s="486"/>
      <c r="T270" s="486"/>
      <c r="U270" s="486"/>
      <c r="V270" s="486"/>
      <c r="W270" s="486"/>
      <c r="X270" s="486"/>
      <c r="Y270" s="486"/>
      <c r="Z270" s="486"/>
    </row>
    <row r="271" spans="1:26" ht="15.75" customHeight="1">
      <c r="A271" s="486"/>
      <c r="B271" s="486"/>
      <c r="C271" s="486"/>
      <c r="D271" s="486"/>
      <c r="E271" s="486"/>
      <c r="F271" s="486"/>
      <c r="G271" s="486"/>
      <c r="H271" s="486"/>
      <c r="I271" s="486"/>
      <c r="J271" s="486"/>
      <c r="K271" s="486"/>
      <c r="L271" s="486"/>
      <c r="M271" s="486"/>
      <c r="N271" s="486"/>
      <c r="O271" s="486"/>
      <c r="P271" s="486"/>
      <c r="Q271" s="486"/>
      <c r="R271" s="486"/>
      <c r="S271" s="486"/>
      <c r="T271" s="486"/>
      <c r="U271" s="486"/>
      <c r="V271" s="486"/>
      <c r="W271" s="486"/>
      <c r="X271" s="486"/>
      <c r="Y271" s="486"/>
      <c r="Z271" s="486"/>
    </row>
    <row r="272" spans="1:26" ht="15.75" customHeight="1">
      <c r="A272" s="486"/>
      <c r="B272" s="486"/>
      <c r="C272" s="486"/>
      <c r="D272" s="486"/>
      <c r="E272" s="486"/>
      <c r="F272" s="486"/>
      <c r="G272" s="486"/>
      <c r="H272" s="486"/>
      <c r="I272" s="486"/>
      <c r="J272" s="486"/>
      <c r="K272" s="486"/>
      <c r="L272" s="486"/>
      <c r="M272" s="486"/>
      <c r="N272" s="486"/>
      <c r="O272" s="486"/>
      <c r="P272" s="486"/>
      <c r="Q272" s="486"/>
      <c r="R272" s="486"/>
      <c r="S272" s="486"/>
      <c r="T272" s="486"/>
      <c r="U272" s="486"/>
      <c r="V272" s="486"/>
      <c r="W272" s="486"/>
      <c r="X272" s="486"/>
      <c r="Y272" s="486"/>
      <c r="Z272" s="486"/>
    </row>
    <row r="273" spans="1:26" ht="15.75" customHeight="1">
      <c r="A273" s="486"/>
      <c r="B273" s="486"/>
      <c r="C273" s="486"/>
      <c r="D273" s="486"/>
      <c r="E273" s="486"/>
      <c r="F273" s="486"/>
      <c r="G273" s="486"/>
      <c r="H273" s="486"/>
      <c r="I273" s="486"/>
      <c r="J273" s="486"/>
      <c r="K273" s="486"/>
      <c r="L273" s="486"/>
      <c r="M273" s="486"/>
      <c r="N273" s="486"/>
      <c r="O273" s="486"/>
      <c r="P273" s="486"/>
      <c r="Q273" s="486"/>
      <c r="R273" s="486"/>
      <c r="S273" s="486"/>
      <c r="T273" s="486"/>
      <c r="U273" s="486"/>
      <c r="V273" s="486"/>
      <c r="W273" s="486"/>
      <c r="X273" s="486"/>
      <c r="Y273" s="486"/>
      <c r="Z273" s="486"/>
    </row>
    <row r="274" spans="1:26" ht="15.75" customHeight="1">
      <c r="A274" s="486"/>
      <c r="B274" s="486"/>
      <c r="C274" s="486"/>
      <c r="D274" s="486"/>
      <c r="E274" s="486"/>
      <c r="F274" s="486"/>
      <c r="G274" s="486"/>
      <c r="H274" s="486"/>
      <c r="I274" s="486"/>
      <c r="J274" s="486"/>
      <c r="K274" s="486"/>
      <c r="L274" s="486"/>
      <c r="M274" s="486"/>
      <c r="N274" s="486"/>
      <c r="O274" s="486"/>
      <c r="P274" s="486"/>
      <c r="Q274" s="486"/>
      <c r="R274" s="486"/>
      <c r="S274" s="486"/>
      <c r="T274" s="486"/>
      <c r="U274" s="486"/>
      <c r="V274" s="486"/>
      <c r="W274" s="486"/>
      <c r="X274" s="486"/>
      <c r="Y274" s="486"/>
      <c r="Z274" s="486"/>
    </row>
    <row r="275" spans="1:26" ht="15.75" customHeight="1">
      <c r="A275" s="486"/>
      <c r="B275" s="486"/>
      <c r="C275" s="486"/>
      <c r="D275" s="486"/>
      <c r="E275" s="486"/>
      <c r="F275" s="486"/>
      <c r="G275" s="486"/>
      <c r="H275" s="486"/>
      <c r="I275" s="486"/>
      <c r="J275" s="486"/>
      <c r="K275" s="486"/>
      <c r="L275" s="486"/>
      <c r="M275" s="486"/>
      <c r="N275" s="486"/>
      <c r="O275" s="486"/>
      <c r="P275" s="486"/>
      <c r="Q275" s="486"/>
      <c r="R275" s="486"/>
      <c r="S275" s="486"/>
      <c r="T275" s="486"/>
      <c r="U275" s="486"/>
      <c r="V275" s="486"/>
      <c r="W275" s="486"/>
      <c r="X275" s="486"/>
      <c r="Y275" s="486"/>
      <c r="Z275" s="486"/>
    </row>
    <row r="276" spans="1:26" ht="15.75" customHeight="1">
      <c r="A276" s="486"/>
      <c r="B276" s="486"/>
      <c r="C276" s="486"/>
      <c r="D276" s="486"/>
      <c r="E276" s="486"/>
      <c r="F276" s="486"/>
      <c r="G276" s="486"/>
      <c r="H276" s="486"/>
      <c r="I276" s="486"/>
      <c r="J276" s="486"/>
      <c r="K276" s="486"/>
      <c r="L276" s="486"/>
      <c r="M276" s="486"/>
      <c r="N276" s="486"/>
      <c r="O276" s="486"/>
      <c r="P276" s="486"/>
      <c r="Q276" s="486"/>
      <c r="R276" s="486"/>
      <c r="S276" s="486"/>
      <c r="T276" s="486"/>
      <c r="U276" s="486"/>
      <c r="V276" s="486"/>
      <c r="W276" s="486"/>
      <c r="X276" s="486"/>
      <c r="Y276" s="486"/>
      <c r="Z276" s="486"/>
    </row>
    <row r="277" spans="1:26" ht="15.75" customHeight="1">
      <c r="A277" s="486"/>
      <c r="B277" s="486"/>
      <c r="C277" s="486"/>
      <c r="D277" s="486"/>
      <c r="E277" s="486"/>
      <c r="F277" s="486"/>
      <c r="G277" s="486"/>
      <c r="H277" s="486"/>
      <c r="I277" s="486"/>
      <c r="J277" s="486"/>
      <c r="K277" s="486"/>
      <c r="L277" s="486"/>
      <c r="M277" s="486"/>
      <c r="N277" s="486"/>
      <c r="O277" s="486"/>
      <c r="P277" s="486"/>
      <c r="Q277" s="486"/>
      <c r="R277" s="486"/>
      <c r="S277" s="486"/>
      <c r="T277" s="486"/>
      <c r="U277" s="486"/>
      <c r="V277" s="486"/>
      <c r="W277" s="486"/>
      <c r="X277" s="486"/>
      <c r="Y277" s="486"/>
      <c r="Z277" s="486"/>
    </row>
    <row r="278" spans="1:26" ht="15.75" customHeight="1">
      <c r="A278" s="486"/>
      <c r="B278" s="486"/>
      <c r="C278" s="486"/>
      <c r="D278" s="486"/>
      <c r="E278" s="486"/>
      <c r="F278" s="486"/>
      <c r="G278" s="486"/>
      <c r="H278" s="486"/>
      <c r="I278" s="486"/>
      <c r="J278" s="486"/>
      <c r="K278" s="486"/>
      <c r="L278" s="486"/>
      <c r="M278" s="486"/>
      <c r="N278" s="486"/>
      <c r="O278" s="486"/>
      <c r="P278" s="486"/>
      <c r="Q278" s="486"/>
      <c r="R278" s="486"/>
      <c r="S278" s="486"/>
      <c r="T278" s="486"/>
      <c r="U278" s="486"/>
      <c r="V278" s="486"/>
      <c r="W278" s="486"/>
      <c r="X278" s="486"/>
      <c r="Y278" s="486"/>
      <c r="Z278" s="486"/>
    </row>
    <row r="279" spans="1:26" ht="15.75" customHeight="1">
      <c r="A279" s="486"/>
      <c r="B279" s="486"/>
      <c r="C279" s="486"/>
      <c r="D279" s="486"/>
      <c r="E279" s="486"/>
      <c r="F279" s="486"/>
      <c r="G279" s="486"/>
      <c r="H279" s="486"/>
      <c r="I279" s="486"/>
      <c r="J279" s="486"/>
      <c r="K279" s="486"/>
      <c r="L279" s="486"/>
      <c r="M279" s="486"/>
      <c r="N279" s="486"/>
      <c r="O279" s="486"/>
      <c r="P279" s="486"/>
      <c r="Q279" s="486"/>
      <c r="R279" s="486"/>
      <c r="S279" s="486"/>
      <c r="T279" s="486"/>
      <c r="U279" s="486"/>
      <c r="V279" s="486"/>
      <c r="W279" s="486"/>
      <c r="X279" s="486"/>
      <c r="Y279" s="486"/>
      <c r="Z279" s="486"/>
    </row>
    <row r="280" spans="1:26" ht="15.75" customHeight="1">
      <c r="A280" s="486"/>
      <c r="B280" s="486"/>
      <c r="C280" s="486"/>
      <c r="D280" s="486"/>
      <c r="E280" s="486"/>
      <c r="F280" s="486"/>
      <c r="G280" s="486"/>
      <c r="H280" s="486"/>
      <c r="I280" s="486"/>
      <c r="J280" s="486"/>
      <c r="K280" s="486"/>
      <c r="L280" s="486"/>
      <c r="M280" s="486"/>
      <c r="N280" s="486"/>
      <c r="O280" s="486"/>
      <c r="P280" s="486"/>
      <c r="Q280" s="486"/>
      <c r="R280" s="486"/>
      <c r="S280" s="486"/>
      <c r="T280" s="486"/>
      <c r="U280" s="486"/>
      <c r="V280" s="486"/>
      <c r="W280" s="486"/>
      <c r="X280" s="486"/>
      <c r="Y280" s="486"/>
      <c r="Z280" s="486"/>
    </row>
    <row r="281" spans="1:26" ht="15.75" customHeight="1">
      <c r="A281" s="486"/>
      <c r="B281" s="486"/>
      <c r="C281" s="486"/>
      <c r="D281" s="486"/>
      <c r="E281" s="486"/>
      <c r="F281" s="486"/>
      <c r="G281" s="486"/>
      <c r="H281" s="486"/>
      <c r="I281" s="486"/>
      <c r="J281" s="486"/>
      <c r="K281" s="486"/>
      <c r="L281" s="486"/>
      <c r="M281" s="486"/>
      <c r="N281" s="486"/>
      <c r="O281" s="486"/>
      <c r="P281" s="486"/>
      <c r="Q281" s="486"/>
      <c r="R281" s="486"/>
      <c r="S281" s="486"/>
      <c r="T281" s="486"/>
      <c r="U281" s="486"/>
      <c r="V281" s="486"/>
      <c r="W281" s="486"/>
      <c r="X281" s="486"/>
      <c r="Y281" s="486"/>
      <c r="Z281" s="486"/>
    </row>
    <row r="282" spans="1:26" ht="15.75" customHeight="1">
      <c r="A282" s="486"/>
      <c r="B282" s="486"/>
      <c r="C282" s="486"/>
      <c r="D282" s="486"/>
      <c r="E282" s="486"/>
      <c r="F282" s="486"/>
      <c r="G282" s="486"/>
      <c r="H282" s="486"/>
      <c r="I282" s="486"/>
      <c r="J282" s="486"/>
      <c r="K282" s="486"/>
      <c r="L282" s="486"/>
      <c r="M282" s="486"/>
      <c r="N282" s="486"/>
      <c r="O282" s="486"/>
      <c r="P282" s="486"/>
      <c r="Q282" s="486"/>
      <c r="R282" s="486"/>
      <c r="S282" s="486"/>
      <c r="T282" s="486"/>
      <c r="U282" s="486"/>
      <c r="V282" s="486"/>
      <c r="W282" s="486"/>
      <c r="X282" s="486"/>
      <c r="Y282" s="486"/>
      <c r="Z282" s="486"/>
    </row>
    <row r="283" spans="1:26" ht="15.75" customHeight="1">
      <c r="A283" s="486"/>
      <c r="B283" s="486"/>
      <c r="C283" s="486"/>
      <c r="D283" s="486"/>
      <c r="E283" s="486"/>
      <c r="F283" s="486"/>
      <c r="G283" s="486"/>
      <c r="H283" s="486"/>
      <c r="I283" s="486"/>
      <c r="J283" s="486"/>
      <c r="K283" s="486"/>
      <c r="L283" s="486"/>
      <c r="M283" s="486"/>
      <c r="N283" s="486"/>
      <c r="O283" s="486"/>
      <c r="P283" s="486"/>
      <c r="Q283" s="486"/>
      <c r="R283" s="486"/>
      <c r="S283" s="486"/>
      <c r="T283" s="486"/>
      <c r="U283" s="486"/>
      <c r="V283" s="486"/>
      <c r="W283" s="486"/>
      <c r="X283" s="486"/>
      <c r="Y283" s="486"/>
      <c r="Z283" s="486"/>
    </row>
    <row r="284" spans="1:26" ht="15.75" customHeight="1">
      <c r="A284" s="486"/>
      <c r="B284" s="486"/>
      <c r="C284" s="486"/>
      <c r="D284" s="486"/>
      <c r="E284" s="486"/>
      <c r="F284" s="486"/>
      <c r="G284" s="486"/>
      <c r="H284" s="486"/>
      <c r="I284" s="486"/>
      <c r="J284" s="486"/>
      <c r="K284" s="486"/>
      <c r="L284" s="486"/>
      <c r="M284" s="486"/>
      <c r="N284" s="486"/>
      <c r="O284" s="486"/>
      <c r="P284" s="486"/>
      <c r="Q284" s="486"/>
      <c r="R284" s="486"/>
      <c r="S284" s="486"/>
      <c r="T284" s="486"/>
      <c r="U284" s="486"/>
      <c r="V284" s="486"/>
      <c r="W284" s="486"/>
      <c r="X284" s="486"/>
      <c r="Y284" s="486"/>
      <c r="Z284" s="486"/>
    </row>
    <row r="285" spans="1:26" ht="15.75" customHeight="1">
      <c r="A285" s="486"/>
      <c r="B285" s="486"/>
      <c r="C285" s="486"/>
      <c r="D285" s="486"/>
      <c r="E285" s="486"/>
      <c r="F285" s="486"/>
      <c r="G285" s="486"/>
      <c r="H285" s="486"/>
      <c r="I285" s="486"/>
      <c r="J285" s="486"/>
      <c r="K285" s="486"/>
      <c r="L285" s="486"/>
      <c r="M285" s="486"/>
      <c r="N285" s="486"/>
      <c r="O285" s="486"/>
      <c r="P285" s="486"/>
      <c r="Q285" s="486"/>
      <c r="R285" s="486"/>
      <c r="S285" s="486"/>
      <c r="T285" s="486"/>
      <c r="U285" s="486"/>
      <c r="V285" s="486"/>
      <c r="W285" s="486"/>
      <c r="X285" s="486"/>
      <c r="Y285" s="486"/>
      <c r="Z285" s="486"/>
    </row>
    <row r="286" spans="1:26" ht="15.75" customHeight="1">
      <c r="A286" s="486"/>
      <c r="B286" s="486"/>
      <c r="C286" s="486"/>
      <c r="D286" s="486"/>
      <c r="E286" s="486"/>
      <c r="F286" s="486"/>
      <c r="G286" s="486"/>
      <c r="H286" s="486"/>
      <c r="I286" s="486"/>
      <c r="J286" s="486"/>
      <c r="K286" s="486"/>
      <c r="L286" s="486"/>
      <c r="M286" s="486"/>
      <c r="N286" s="486"/>
      <c r="O286" s="486"/>
      <c r="P286" s="486"/>
      <c r="Q286" s="486"/>
      <c r="R286" s="486"/>
      <c r="S286" s="486"/>
      <c r="T286" s="486"/>
      <c r="U286" s="486"/>
      <c r="V286" s="486"/>
      <c r="W286" s="486"/>
      <c r="X286" s="486"/>
      <c r="Y286" s="486"/>
      <c r="Z286" s="486"/>
    </row>
    <row r="287" spans="1:26" ht="15.75" customHeight="1">
      <c r="A287" s="486"/>
      <c r="B287" s="486"/>
      <c r="C287" s="486"/>
      <c r="D287" s="486"/>
      <c r="E287" s="486"/>
      <c r="F287" s="486"/>
      <c r="G287" s="486"/>
      <c r="H287" s="486"/>
      <c r="I287" s="486"/>
      <c r="J287" s="486"/>
      <c r="K287" s="486"/>
      <c r="L287" s="486"/>
      <c r="M287" s="486"/>
      <c r="N287" s="486"/>
      <c r="O287" s="486"/>
      <c r="P287" s="486"/>
      <c r="Q287" s="486"/>
      <c r="R287" s="486"/>
      <c r="S287" s="486"/>
      <c r="T287" s="486"/>
      <c r="U287" s="486"/>
      <c r="V287" s="486"/>
      <c r="W287" s="486"/>
      <c r="X287" s="486"/>
      <c r="Y287" s="486"/>
      <c r="Z287" s="486"/>
    </row>
    <row r="288" spans="1:26" ht="15.75" customHeight="1">
      <c r="A288" s="486"/>
      <c r="B288" s="486"/>
      <c r="C288" s="486"/>
      <c r="D288" s="486"/>
      <c r="E288" s="486"/>
      <c r="F288" s="486"/>
      <c r="G288" s="486"/>
      <c r="H288" s="486"/>
      <c r="I288" s="486"/>
      <c r="J288" s="486"/>
      <c r="K288" s="486"/>
      <c r="L288" s="486"/>
      <c r="M288" s="486"/>
      <c r="N288" s="486"/>
      <c r="O288" s="486"/>
      <c r="P288" s="486"/>
      <c r="Q288" s="486"/>
      <c r="R288" s="486"/>
      <c r="S288" s="486"/>
      <c r="T288" s="486"/>
      <c r="U288" s="486"/>
      <c r="V288" s="486"/>
      <c r="W288" s="486"/>
      <c r="X288" s="486"/>
      <c r="Y288" s="486"/>
      <c r="Z288" s="486"/>
    </row>
    <row r="289" spans="1:26" ht="15.75" customHeight="1">
      <c r="A289" s="486"/>
      <c r="B289" s="486"/>
      <c r="C289" s="486"/>
      <c r="D289" s="486"/>
      <c r="E289" s="486"/>
      <c r="F289" s="486"/>
      <c r="G289" s="486"/>
      <c r="H289" s="486"/>
      <c r="I289" s="486"/>
      <c r="J289" s="486"/>
      <c r="K289" s="486"/>
      <c r="L289" s="486"/>
      <c r="M289" s="486"/>
      <c r="N289" s="486"/>
      <c r="O289" s="486"/>
      <c r="P289" s="486"/>
      <c r="Q289" s="486"/>
      <c r="R289" s="486"/>
      <c r="S289" s="486"/>
      <c r="T289" s="486"/>
      <c r="U289" s="486"/>
      <c r="V289" s="486"/>
      <c r="W289" s="486"/>
      <c r="X289" s="486"/>
      <c r="Y289" s="486"/>
      <c r="Z289" s="486"/>
    </row>
    <row r="290" spans="1:26" ht="15.75" customHeight="1">
      <c r="A290" s="486"/>
      <c r="B290" s="486"/>
      <c r="C290" s="486"/>
      <c r="D290" s="486"/>
      <c r="E290" s="486"/>
      <c r="F290" s="486"/>
      <c r="G290" s="486"/>
      <c r="H290" s="486"/>
      <c r="I290" s="486"/>
      <c r="J290" s="486"/>
      <c r="K290" s="486"/>
      <c r="L290" s="486"/>
      <c r="M290" s="486"/>
      <c r="N290" s="486"/>
      <c r="O290" s="486"/>
      <c r="P290" s="486"/>
      <c r="Q290" s="486"/>
      <c r="R290" s="486"/>
      <c r="S290" s="486"/>
      <c r="T290" s="486"/>
      <c r="U290" s="486"/>
      <c r="V290" s="486"/>
      <c r="W290" s="486"/>
      <c r="X290" s="486"/>
      <c r="Y290" s="486"/>
      <c r="Z290" s="486"/>
    </row>
    <row r="291" spans="1:26" ht="15.75" customHeight="1">
      <c r="A291" s="486"/>
      <c r="B291" s="486"/>
      <c r="C291" s="486"/>
      <c r="D291" s="486"/>
      <c r="E291" s="486"/>
      <c r="F291" s="486"/>
      <c r="G291" s="486"/>
      <c r="H291" s="486"/>
      <c r="I291" s="486"/>
      <c r="J291" s="486"/>
      <c r="K291" s="486"/>
      <c r="L291" s="486"/>
      <c r="M291" s="486"/>
      <c r="N291" s="486"/>
      <c r="O291" s="486"/>
      <c r="P291" s="486"/>
      <c r="Q291" s="486"/>
      <c r="R291" s="486"/>
      <c r="S291" s="486"/>
      <c r="T291" s="486"/>
      <c r="U291" s="486"/>
      <c r="V291" s="486"/>
      <c r="W291" s="486"/>
      <c r="X291" s="486"/>
      <c r="Y291" s="486"/>
      <c r="Z291" s="486"/>
    </row>
    <row r="292" spans="1:26" ht="15.75" customHeight="1">
      <c r="A292" s="486"/>
      <c r="B292" s="486"/>
      <c r="C292" s="486"/>
      <c r="D292" s="486"/>
      <c r="E292" s="486"/>
      <c r="F292" s="486"/>
      <c r="G292" s="486"/>
      <c r="H292" s="486"/>
      <c r="I292" s="486"/>
      <c r="J292" s="486"/>
      <c r="K292" s="486"/>
      <c r="L292" s="486"/>
      <c r="M292" s="486"/>
      <c r="N292" s="486"/>
      <c r="O292" s="486"/>
      <c r="P292" s="486"/>
      <c r="Q292" s="486"/>
      <c r="R292" s="486"/>
      <c r="S292" s="486"/>
      <c r="T292" s="486"/>
      <c r="U292" s="486"/>
      <c r="V292" s="486"/>
      <c r="W292" s="486"/>
      <c r="X292" s="486"/>
      <c r="Y292" s="486"/>
      <c r="Z292" s="486"/>
    </row>
    <row r="293" spans="1:26" ht="15.75" customHeight="1">
      <c r="A293" s="486"/>
      <c r="B293" s="486"/>
      <c r="C293" s="486"/>
      <c r="D293" s="486"/>
      <c r="E293" s="486"/>
      <c r="F293" s="486"/>
      <c r="G293" s="486"/>
      <c r="H293" s="486"/>
      <c r="I293" s="486"/>
      <c r="J293" s="486"/>
      <c r="K293" s="486"/>
      <c r="L293" s="486"/>
      <c r="M293" s="486"/>
      <c r="N293" s="486"/>
      <c r="O293" s="486"/>
      <c r="P293" s="486"/>
      <c r="Q293" s="486"/>
      <c r="R293" s="486"/>
      <c r="S293" s="486"/>
      <c r="T293" s="486"/>
      <c r="U293" s="486"/>
      <c r="V293" s="486"/>
      <c r="W293" s="486"/>
      <c r="X293" s="486"/>
      <c r="Y293" s="486"/>
      <c r="Z293" s="486"/>
    </row>
    <row r="294" spans="1:26" ht="15.75" customHeight="1">
      <c r="A294" s="486"/>
      <c r="B294" s="486"/>
      <c r="C294" s="486"/>
      <c r="D294" s="486"/>
      <c r="E294" s="486"/>
      <c r="F294" s="486"/>
      <c r="G294" s="486"/>
      <c r="H294" s="486"/>
      <c r="I294" s="486"/>
      <c r="J294" s="486"/>
      <c r="K294" s="486"/>
      <c r="L294" s="486"/>
      <c r="M294" s="486"/>
      <c r="N294" s="486"/>
      <c r="O294" s="486"/>
      <c r="P294" s="486"/>
      <c r="Q294" s="486"/>
      <c r="R294" s="486"/>
      <c r="S294" s="486"/>
      <c r="T294" s="486"/>
      <c r="U294" s="486"/>
      <c r="V294" s="486"/>
      <c r="W294" s="486"/>
      <c r="X294" s="486"/>
      <c r="Y294" s="486"/>
      <c r="Z294" s="486"/>
    </row>
    <row r="295" spans="1:26" ht="15.75" customHeight="1">
      <c r="A295" s="486"/>
      <c r="B295" s="486"/>
      <c r="C295" s="486"/>
      <c r="D295" s="486"/>
      <c r="E295" s="486"/>
      <c r="F295" s="486"/>
      <c r="G295" s="486"/>
      <c r="H295" s="486"/>
      <c r="I295" s="486"/>
      <c r="J295" s="486"/>
      <c r="K295" s="486"/>
      <c r="L295" s="486"/>
      <c r="M295" s="486"/>
      <c r="N295" s="486"/>
      <c r="O295" s="486"/>
      <c r="P295" s="486"/>
      <c r="Q295" s="486"/>
      <c r="R295" s="486"/>
      <c r="S295" s="486"/>
      <c r="T295" s="486"/>
      <c r="U295" s="486"/>
      <c r="V295" s="486"/>
      <c r="W295" s="486"/>
      <c r="X295" s="486"/>
      <c r="Y295" s="486"/>
      <c r="Z295" s="486"/>
    </row>
    <row r="296" spans="1:26" ht="15.75" customHeight="1">
      <c r="A296" s="486"/>
      <c r="B296" s="486"/>
      <c r="C296" s="486"/>
      <c r="D296" s="486"/>
      <c r="E296" s="486"/>
      <c r="F296" s="486"/>
      <c r="G296" s="486"/>
      <c r="H296" s="486"/>
      <c r="I296" s="486"/>
      <c r="J296" s="486"/>
      <c r="K296" s="486"/>
      <c r="L296" s="486"/>
      <c r="M296" s="486"/>
      <c r="N296" s="486"/>
      <c r="O296" s="486"/>
      <c r="P296" s="486"/>
      <c r="Q296" s="486"/>
      <c r="R296" s="486"/>
      <c r="S296" s="486"/>
      <c r="T296" s="486"/>
      <c r="U296" s="486"/>
      <c r="V296" s="486"/>
      <c r="W296" s="486"/>
      <c r="X296" s="486"/>
      <c r="Y296" s="486"/>
      <c r="Z296" s="486"/>
    </row>
    <row r="297" spans="1:26" ht="15.75" customHeight="1">
      <c r="A297" s="486"/>
      <c r="B297" s="486"/>
      <c r="C297" s="486"/>
      <c r="D297" s="486"/>
      <c r="E297" s="486"/>
      <c r="F297" s="486"/>
      <c r="G297" s="486"/>
      <c r="H297" s="486"/>
      <c r="I297" s="486"/>
      <c r="J297" s="486"/>
      <c r="K297" s="486"/>
      <c r="L297" s="486"/>
      <c r="M297" s="486"/>
      <c r="N297" s="486"/>
      <c r="O297" s="486"/>
      <c r="P297" s="486"/>
      <c r="Q297" s="486"/>
      <c r="R297" s="486"/>
      <c r="S297" s="486"/>
      <c r="T297" s="486"/>
      <c r="U297" s="486"/>
      <c r="V297" s="486"/>
      <c r="W297" s="486"/>
      <c r="X297" s="486"/>
      <c r="Y297" s="486"/>
      <c r="Z297" s="486"/>
    </row>
    <row r="298" spans="1:26" ht="15.75" customHeight="1">
      <c r="A298" s="486"/>
      <c r="B298" s="486"/>
      <c r="C298" s="486"/>
      <c r="D298" s="486"/>
      <c r="E298" s="486"/>
      <c r="F298" s="486"/>
      <c r="G298" s="486"/>
      <c r="H298" s="486"/>
      <c r="I298" s="486"/>
      <c r="J298" s="486"/>
      <c r="K298" s="486"/>
      <c r="L298" s="486"/>
      <c r="M298" s="486"/>
      <c r="N298" s="486"/>
      <c r="O298" s="486"/>
      <c r="P298" s="486"/>
      <c r="Q298" s="486"/>
      <c r="R298" s="486"/>
      <c r="S298" s="486"/>
      <c r="T298" s="486"/>
      <c r="U298" s="486"/>
      <c r="V298" s="486"/>
      <c r="W298" s="486"/>
      <c r="X298" s="486"/>
      <c r="Y298" s="486"/>
      <c r="Z298" s="486"/>
    </row>
    <row r="299" spans="1:26" ht="15.75" customHeight="1">
      <c r="A299" s="486"/>
      <c r="B299" s="486"/>
      <c r="C299" s="486"/>
      <c r="D299" s="486"/>
      <c r="E299" s="486"/>
      <c r="F299" s="486"/>
      <c r="G299" s="486"/>
      <c r="H299" s="486"/>
      <c r="I299" s="486"/>
      <c r="J299" s="486"/>
      <c r="K299" s="486"/>
      <c r="L299" s="486"/>
      <c r="M299" s="486"/>
      <c r="N299" s="486"/>
      <c r="O299" s="486"/>
      <c r="P299" s="486"/>
      <c r="Q299" s="486"/>
      <c r="R299" s="486"/>
      <c r="S299" s="486"/>
      <c r="T299" s="486"/>
      <c r="U299" s="486"/>
      <c r="V299" s="486"/>
      <c r="W299" s="486"/>
      <c r="X299" s="486"/>
      <c r="Y299" s="486"/>
      <c r="Z299" s="486"/>
    </row>
    <row r="300" spans="1:26" ht="15.75" customHeight="1">
      <c r="A300" s="486"/>
      <c r="B300" s="486"/>
      <c r="C300" s="486"/>
      <c r="D300" s="486"/>
      <c r="E300" s="486"/>
      <c r="F300" s="486"/>
      <c r="G300" s="486"/>
      <c r="H300" s="486"/>
      <c r="I300" s="486"/>
      <c r="J300" s="486"/>
      <c r="K300" s="486"/>
      <c r="L300" s="486"/>
      <c r="M300" s="486"/>
      <c r="N300" s="486"/>
      <c r="O300" s="486"/>
      <c r="P300" s="486"/>
      <c r="Q300" s="486"/>
      <c r="R300" s="486"/>
      <c r="S300" s="486"/>
      <c r="T300" s="486"/>
      <c r="U300" s="486"/>
      <c r="V300" s="486"/>
      <c r="W300" s="486"/>
      <c r="X300" s="486"/>
      <c r="Y300" s="486"/>
      <c r="Z300" s="486"/>
    </row>
    <row r="301" spans="1:26" ht="15.75" customHeight="1">
      <c r="A301" s="486"/>
      <c r="B301" s="486"/>
      <c r="C301" s="486"/>
      <c r="D301" s="486"/>
      <c r="E301" s="486"/>
      <c r="F301" s="486"/>
      <c r="G301" s="486"/>
      <c r="H301" s="486"/>
      <c r="I301" s="486"/>
      <c r="J301" s="486"/>
      <c r="K301" s="486"/>
      <c r="L301" s="486"/>
      <c r="M301" s="486"/>
      <c r="N301" s="486"/>
      <c r="O301" s="486"/>
      <c r="P301" s="486"/>
      <c r="Q301" s="486"/>
      <c r="R301" s="486"/>
      <c r="S301" s="486"/>
      <c r="T301" s="486"/>
      <c r="U301" s="486"/>
      <c r="V301" s="486"/>
      <c r="W301" s="486"/>
      <c r="X301" s="486"/>
      <c r="Y301" s="486"/>
      <c r="Z301" s="486"/>
    </row>
    <row r="302" spans="1:26" ht="15.75" customHeight="1">
      <c r="A302" s="486"/>
      <c r="B302" s="486"/>
      <c r="C302" s="486"/>
      <c r="D302" s="486"/>
      <c r="E302" s="486"/>
      <c r="F302" s="486"/>
      <c r="G302" s="486"/>
      <c r="H302" s="486"/>
      <c r="I302" s="486"/>
      <c r="J302" s="486"/>
      <c r="K302" s="486"/>
      <c r="L302" s="486"/>
      <c r="M302" s="486"/>
      <c r="N302" s="486"/>
      <c r="O302" s="486"/>
      <c r="P302" s="486"/>
      <c r="Q302" s="486"/>
      <c r="R302" s="486"/>
      <c r="S302" s="486"/>
      <c r="T302" s="486"/>
      <c r="U302" s="486"/>
      <c r="V302" s="486"/>
      <c r="W302" s="486"/>
      <c r="X302" s="486"/>
      <c r="Y302" s="486"/>
      <c r="Z302" s="486"/>
    </row>
    <row r="303" spans="1:26" ht="15.75" customHeight="1">
      <c r="A303" s="486"/>
      <c r="B303" s="486"/>
      <c r="C303" s="486"/>
      <c r="D303" s="486"/>
      <c r="E303" s="486"/>
      <c r="F303" s="486"/>
      <c r="G303" s="486"/>
      <c r="H303" s="486"/>
      <c r="I303" s="486"/>
      <c r="J303" s="486"/>
      <c r="K303" s="486"/>
      <c r="L303" s="486"/>
      <c r="M303" s="486"/>
      <c r="N303" s="486"/>
      <c r="O303" s="486"/>
      <c r="P303" s="486"/>
      <c r="Q303" s="486"/>
      <c r="R303" s="486"/>
      <c r="S303" s="486"/>
      <c r="T303" s="486"/>
      <c r="U303" s="486"/>
      <c r="V303" s="486"/>
      <c r="W303" s="486"/>
      <c r="X303" s="486"/>
      <c r="Y303" s="486"/>
      <c r="Z303" s="486"/>
    </row>
    <row r="304" spans="1:26" ht="15.75" customHeight="1">
      <c r="A304" s="486"/>
      <c r="B304" s="486"/>
      <c r="C304" s="486"/>
      <c r="D304" s="486"/>
      <c r="E304" s="486"/>
      <c r="F304" s="486"/>
      <c r="G304" s="486"/>
      <c r="H304" s="486"/>
      <c r="I304" s="486"/>
      <c r="J304" s="486"/>
      <c r="K304" s="486"/>
      <c r="L304" s="486"/>
      <c r="M304" s="486"/>
      <c r="N304" s="486"/>
      <c r="O304" s="486"/>
      <c r="P304" s="486"/>
      <c r="Q304" s="486"/>
      <c r="R304" s="486"/>
      <c r="S304" s="486"/>
      <c r="T304" s="486"/>
      <c r="U304" s="486"/>
      <c r="V304" s="486"/>
      <c r="W304" s="486"/>
      <c r="X304" s="486"/>
      <c r="Y304" s="486"/>
      <c r="Z304" s="486"/>
    </row>
    <row r="305" spans="1:26" ht="15.75" customHeight="1">
      <c r="A305" s="486"/>
      <c r="B305" s="486"/>
      <c r="C305" s="486"/>
      <c r="D305" s="486"/>
      <c r="E305" s="486"/>
      <c r="F305" s="486"/>
      <c r="G305" s="486"/>
      <c r="H305" s="486"/>
      <c r="I305" s="486"/>
      <c r="J305" s="486"/>
      <c r="K305" s="486"/>
      <c r="L305" s="486"/>
      <c r="M305" s="486"/>
      <c r="N305" s="486"/>
      <c r="O305" s="486"/>
      <c r="P305" s="486"/>
      <c r="Q305" s="486"/>
      <c r="R305" s="486"/>
      <c r="S305" s="486"/>
      <c r="T305" s="486"/>
      <c r="U305" s="486"/>
      <c r="V305" s="486"/>
      <c r="W305" s="486"/>
      <c r="X305" s="486"/>
      <c r="Y305" s="486"/>
      <c r="Z305" s="486"/>
    </row>
    <row r="306" spans="1:26" ht="15.75" customHeight="1">
      <c r="A306" s="486"/>
      <c r="B306" s="486"/>
      <c r="C306" s="486"/>
      <c r="D306" s="486"/>
      <c r="E306" s="486"/>
      <c r="F306" s="486"/>
      <c r="G306" s="486"/>
      <c r="H306" s="486"/>
      <c r="I306" s="486"/>
      <c r="J306" s="486"/>
      <c r="K306" s="486"/>
      <c r="L306" s="486"/>
      <c r="M306" s="486"/>
      <c r="N306" s="486"/>
      <c r="O306" s="486"/>
      <c r="P306" s="486"/>
      <c r="Q306" s="486"/>
      <c r="R306" s="486"/>
      <c r="S306" s="486"/>
      <c r="T306" s="486"/>
      <c r="U306" s="486"/>
      <c r="V306" s="486"/>
      <c r="W306" s="486"/>
      <c r="X306" s="486"/>
      <c r="Y306" s="486"/>
      <c r="Z306" s="486"/>
    </row>
    <row r="307" spans="1:26" ht="15.75" customHeight="1">
      <c r="A307" s="486"/>
      <c r="B307" s="486"/>
      <c r="C307" s="486"/>
      <c r="D307" s="486"/>
      <c r="E307" s="486"/>
      <c r="F307" s="486"/>
      <c r="G307" s="486"/>
      <c r="H307" s="486"/>
      <c r="I307" s="486"/>
      <c r="J307" s="486"/>
      <c r="K307" s="486"/>
      <c r="L307" s="486"/>
      <c r="M307" s="486"/>
      <c r="N307" s="486"/>
      <c r="O307" s="486"/>
      <c r="P307" s="486"/>
      <c r="Q307" s="486"/>
      <c r="R307" s="486"/>
      <c r="S307" s="486"/>
      <c r="T307" s="486"/>
      <c r="U307" s="486"/>
      <c r="V307" s="486"/>
      <c r="W307" s="486"/>
      <c r="X307" s="486"/>
      <c r="Y307" s="486"/>
      <c r="Z307" s="486"/>
    </row>
    <row r="308" spans="1:26" ht="15.75" customHeight="1">
      <c r="A308" s="486"/>
      <c r="B308" s="486"/>
      <c r="C308" s="486"/>
      <c r="D308" s="486"/>
      <c r="E308" s="486"/>
      <c r="F308" s="486"/>
      <c r="G308" s="486"/>
      <c r="H308" s="486"/>
      <c r="I308" s="486"/>
      <c r="J308" s="486"/>
      <c r="K308" s="486"/>
      <c r="L308" s="486"/>
      <c r="M308" s="486"/>
      <c r="N308" s="486"/>
      <c r="O308" s="486"/>
      <c r="P308" s="486"/>
      <c r="Q308" s="486"/>
      <c r="R308" s="486"/>
      <c r="S308" s="486"/>
      <c r="T308" s="486"/>
      <c r="U308" s="486"/>
      <c r="V308" s="486"/>
      <c r="W308" s="486"/>
      <c r="X308" s="486"/>
      <c r="Y308" s="486"/>
      <c r="Z308" s="486"/>
    </row>
    <row r="309" spans="1:26" ht="15.75" customHeight="1">
      <c r="A309" s="486"/>
      <c r="B309" s="486"/>
      <c r="C309" s="486"/>
      <c r="D309" s="486"/>
      <c r="E309" s="486"/>
      <c r="F309" s="486"/>
      <c r="G309" s="486"/>
      <c r="H309" s="486"/>
      <c r="I309" s="486"/>
      <c r="J309" s="486"/>
      <c r="K309" s="486"/>
      <c r="L309" s="486"/>
      <c r="M309" s="486"/>
      <c r="N309" s="486"/>
      <c r="O309" s="486"/>
      <c r="P309" s="486"/>
      <c r="Q309" s="486"/>
      <c r="R309" s="486"/>
      <c r="S309" s="486"/>
      <c r="T309" s="486"/>
      <c r="U309" s="486"/>
      <c r="V309" s="486"/>
      <c r="W309" s="486"/>
      <c r="X309" s="486"/>
      <c r="Y309" s="486"/>
      <c r="Z309" s="486"/>
    </row>
    <row r="310" spans="1:26" ht="15.75" customHeight="1">
      <c r="A310" s="486"/>
      <c r="B310" s="486"/>
      <c r="C310" s="486"/>
      <c r="D310" s="486"/>
      <c r="E310" s="486"/>
      <c r="F310" s="486"/>
      <c r="G310" s="486"/>
      <c r="H310" s="486"/>
      <c r="I310" s="486"/>
      <c r="J310" s="486"/>
      <c r="K310" s="486"/>
      <c r="L310" s="486"/>
      <c r="M310" s="486"/>
      <c r="N310" s="486"/>
      <c r="O310" s="486"/>
      <c r="P310" s="486"/>
      <c r="Q310" s="486"/>
      <c r="R310" s="486"/>
      <c r="S310" s="486"/>
      <c r="T310" s="486"/>
      <c r="U310" s="486"/>
      <c r="V310" s="486"/>
      <c r="W310" s="486"/>
      <c r="X310" s="486"/>
      <c r="Y310" s="486"/>
      <c r="Z310" s="486"/>
    </row>
    <row r="311" spans="1:26" ht="15.75" customHeight="1">
      <c r="A311" s="486"/>
      <c r="B311" s="486"/>
      <c r="C311" s="486"/>
      <c r="D311" s="486"/>
      <c r="E311" s="486"/>
      <c r="F311" s="486"/>
      <c r="G311" s="486"/>
      <c r="H311" s="486"/>
      <c r="I311" s="486"/>
      <c r="J311" s="486"/>
      <c r="K311" s="486"/>
      <c r="L311" s="486"/>
      <c r="M311" s="486"/>
      <c r="N311" s="486"/>
      <c r="O311" s="486"/>
      <c r="P311" s="486"/>
      <c r="Q311" s="486"/>
      <c r="R311" s="486"/>
      <c r="S311" s="486"/>
      <c r="T311" s="486"/>
      <c r="U311" s="486"/>
      <c r="V311" s="486"/>
      <c r="W311" s="486"/>
      <c r="X311" s="486"/>
      <c r="Y311" s="486"/>
      <c r="Z311" s="486"/>
    </row>
    <row r="312" spans="1:26" ht="15.75" customHeight="1">
      <c r="A312" s="486"/>
      <c r="B312" s="486"/>
      <c r="C312" s="486"/>
      <c r="D312" s="486"/>
      <c r="E312" s="486"/>
      <c r="F312" s="486"/>
      <c r="G312" s="486"/>
      <c r="H312" s="486"/>
      <c r="I312" s="486"/>
      <c r="J312" s="486"/>
      <c r="K312" s="486"/>
      <c r="L312" s="486"/>
      <c r="M312" s="486"/>
      <c r="N312" s="486"/>
      <c r="O312" s="486"/>
      <c r="P312" s="486"/>
      <c r="Q312" s="486"/>
      <c r="R312" s="486"/>
      <c r="S312" s="486"/>
      <c r="T312" s="486"/>
      <c r="U312" s="486"/>
      <c r="V312" s="486"/>
      <c r="W312" s="486"/>
      <c r="X312" s="486"/>
      <c r="Y312" s="486"/>
      <c r="Z312" s="486"/>
    </row>
    <row r="313" spans="1:26" ht="15.75" customHeight="1">
      <c r="A313" s="486"/>
      <c r="B313" s="486"/>
      <c r="C313" s="486"/>
      <c r="D313" s="486"/>
      <c r="E313" s="486"/>
      <c r="F313" s="486"/>
      <c r="G313" s="486"/>
      <c r="H313" s="486"/>
      <c r="I313" s="486"/>
      <c r="J313" s="486"/>
      <c r="K313" s="486"/>
      <c r="L313" s="486"/>
      <c r="M313" s="486"/>
      <c r="N313" s="486"/>
      <c r="O313" s="486"/>
      <c r="P313" s="486"/>
      <c r="Q313" s="486"/>
      <c r="R313" s="486"/>
      <c r="S313" s="486"/>
      <c r="T313" s="486"/>
      <c r="U313" s="486"/>
      <c r="V313" s="486"/>
      <c r="W313" s="486"/>
      <c r="X313" s="486"/>
      <c r="Y313" s="486"/>
      <c r="Z313" s="486"/>
    </row>
    <row r="314" spans="1:26" ht="15.75" customHeight="1">
      <c r="A314" s="486"/>
      <c r="B314" s="486"/>
      <c r="C314" s="486"/>
      <c r="D314" s="486"/>
      <c r="E314" s="486"/>
      <c r="F314" s="486"/>
      <c r="G314" s="486"/>
      <c r="H314" s="486"/>
      <c r="I314" s="486"/>
      <c r="J314" s="486"/>
      <c r="K314" s="486"/>
      <c r="L314" s="486"/>
      <c r="M314" s="486"/>
      <c r="N314" s="486"/>
      <c r="O314" s="486"/>
      <c r="P314" s="486"/>
      <c r="Q314" s="486"/>
      <c r="R314" s="486"/>
      <c r="S314" s="486"/>
      <c r="T314" s="486"/>
      <c r="U314" s="486"/>
      <c r="V314" s="486"/>
      <c r="W314" s="486"/>
      <c r="X314" s="486"/>
      <c r="Y314" s="486"/>
      <c r="Z314" s="486"/>
    </row>
    <row r="315" spans="1:26" ht="15.75" customHeight="1">
      <c r="A315" s="486"/>
      <c r="B315" s="486"/>
      <c r="C315" s="486"/>
      <c r="D315" s="486"/>
      <c r="E315" s="486"/>
      <c r="F315" s="486"/>
      <c r="G315" s="486"/>
      <c r="H315" s="486"/>
      <c r="I315" s="486"/>
      <c r="J315" s="486"/>
      <c r="K315" s="486"/>
      <c r="L315" s="486"/>
      <c r="M315" s="486"/>
      <c r="N315" s="486"/>
      <c r="O315" s="486"/>
      <c r="P315" s="486"/>
      <c r="Q315" s="486"/>
      <c r="R315" s="486"/>
      <c r="S315" s="486"/>
      <c r="T315" s="486"/>
      <c r="U315" s="486"/>
      <c r="V315" s="486"/>
      <c r="W315" s="486"/>
      <c r="X315" s="486"/>
      <c r="Y315" s="486"/>
      <c r="Z315" s="486"/>
    </row>
    <row r="316" spans="1:26" ht="15.75" customHeight="1">
      <c r="A316" s="486"/>
      <c r="B316" s="486"/>
      <c r="C316" s="486"/>
      <c r="D316" s="486"/>
      <c r="E316" s="486"/>
      <c r="F316" s="486"/>
      <c r="G316" s="486"/>
      <c r="H316" s="486"/>
      <c r="I316" s="486"/>
      <c r="J316" s="486"/>
      <c r="K316" s="486"/>
      <c r="L316" s="486"/>
      <c r="M316" s="486"/>
      <c r="N316" s="486"/>
      <c r="O316" s="486"/>
      <c r="P316" s="486"/>
      <c r="Q316" s="486"/>
      <c r="R316" s="486"/>
      <c r="S316" s="486"/>
      <c r="T316" s="486"/>
      <c r="U316" s="486"/>
      <c r="V316" s="486"/>
      <c r="W316" s="486"/>
      <c r="X316" s="486"/>
      <c r="Y316" s="486"/>
      <c r="Z316" s="486"/>
    </row>
    <row r="317" spans="1:26" ht="15.75" customHeight="1">
      <c r="A317" s="486"/>
      <c r="B317" s="486"/>
      <c r="C317" s="486"/>
      <c r="D317" s="486"/>
      <c r="E317" s="486"/>
      <c r="F317" s="486"/>
      <c r="G317" s="486"/>
      <c r="H317" s="486"/>
      <c r="I317" s="486"/>
      <c r="J317" s="486"/>
      <c r="K317" s="486"/>
      <c r="L317" s="486"/>
      <c r="M317" s="486"/>
      <c r="N317" s="486"/>
      <c r="O317" s="486"/>
      <c r="P317" s="486"/>
      <c r="Q317" s="486"/>
      <c r="R317" s="486"/>
      <c r="S317" s="486"/>
      <c r="T317" s="486"/>
      <c r="U317" s="486"/>
      <c r="V317" s="486"/>
      <c r="W317" s="486"/>
      <c r="X317" s="486"/>
      <c r="Y317" s="486"/>
      <c r="Z317" s="486"/>
    </row>
    <row r="318" spans="1:26" ht="15.75" customHeight="1">
      <c r="A318" s="486"/>
      <c r="B318" s="486"/>
      <c r="C318" s="486"/>
      <c r="D318" s="486"/>
      <c r="E318" s="486"/>
      <c r="F318" s="486"/>
      <c r="G318" s="486"/>
      <c r="H318" s="486"/>
      <c r="I318" s="486"/>
      <c r="J318" s="486"/>
      <c r="K318" s="486"/>
      <c r="L318" s="486"/>
      <c r="M318" s="486"/>
      <c r="N318" s="486"/>
      <c r="O318" s="486"/>
      <c r="P318" s="486"/>
      <c r="Q318" s="486"/>
      <c r="R318" s="486"/>
      <c r="S318" s="486"/>
      <c r="T318" s="486"/>
      <c r="U318" s="486"/>
      <c r="V318" s="486"/>
      <c r="W318" s="486"/>
      <c r="X318" s="486"/>
      <c r="Y318" s="486"/>
      <c r="Z318" s="486"/>
    </row>
    <row r="319" spans="1:26" ht="15.75" customHeight="1">
      <c r="A319" s="486"/>
      <c r="B319" s="486"/>
      <c r="C319" s="486"/>
      <c r="D319" s="486"/>
      <c r="E319" s="486"/>
      <c r="F319" s="486"/>
      <c r="G319" s="486"/>
      <c r="H319" s="486"/>
      <c r="I319" s="486"/>
      <c r="J319" s="486"/>
      <c r="K319" s="486"/>
      <c r="L319" s="486"/>
      <c r="M319" s="486"/>
      <c r="N319" s="486"/>
      <c r="O319" s="486"/>
      <c r="P319" s="486"/>
      <c r="Q319" s="486"/>
      <c r="R319" s="486"/>
      <c r="S319" s="486"/>
      <c r="T319" s="486"/>
      <c r="U319" s="486"/>
      <c r="V319" s="486"/>
      <c r="W319" s="486"/>
      <c r="X319" s="486"/>
      <c r="Y319" s="486"/>
      <c r="Z319" s="486"/>
    </row>
    <row r="320" spans="1:26" ht="15.75" customHeight="1">
      <c r="A320" s="486"/>
      <c r="B320" s="486"/>
      <c r="C320" s="486"/>
      <c r="D320" s="486"/>
      <c r="E320" s="486"/>
      <c r="F320" s="486"/>
      <c r="G320" s="486"/>
      <c r="H320" s="486"/>
      <c r="I320" s="486"/>
      <c r="J320" s="486"/>
      <c r="K320" s="486"/>
      <c r="L320" s="486"/>
      <c r="M320" s="486"/>
      <c r="N320" s="486"/>
      <c r="O320" s="486"/>
      <c r="P320" s="486"/>
      <c r="Q320" s="486"/>
      <c r="R320" s="486"/>
      <c r="S320" s="486"/>
      <c r="T320" s="486"/>
      <c r="U320" s="486"/>
      <c r="V320" s="486"/>
      <c r="W320" s="486"/>
      <c r="X320" s="486"/>
      <c r="Y320" s="486"/>
      <c r="Z320" s="486"/>
    </row>
    <row r="321" spans="1:26" ht="15.75" customHeight="1">
      <c r="A321" s="486"/>
      <c r="B321" s="486"/>
      <c r="C321" s="486"/>
      <c r="D321" s="486"/>
      <c r="E321" s="486"/>
      <c r="F321" s="486"/>
      <c r="G321" s="486"/>
      <c r="H321" s="486"/>
      <c r="I321" s="486"/>
      <c r="J321" s="486"/>
      <c r="K321" s="486"/>
      <c r="L321" s="486"/>
      <c r="M321" s="486"/>
      <c r="N321" s="486"/>
      <c r="O321" s="486"/>
      <c r="P321" s="486"/>
      <c r="Q321" s="486"/>
      <c r="R321" s="486"/>
      <c r="S321" s="486"/>
      <c r="T321" s="486"/>
      <c r="U321" s="486"/>
      <c r="V321" s="486"/>
      <c r="W321" s="486"/>
      <c r="X321" s="486"/>
      <c r="Y321" s="486"/>
      <c r="Z321" s="486"/>
    </row>
    <row r="322" spans="1:26" ht="15.75" customHeight="1">
      <c r="A322" s="486"/>
      <c r="B322" s="486"/>
      <c r="C322" s="486"/>
      <c r="D322" s="486"/>
      <c r="E322" s="486"/>
      <c r="F322" s="486"/>
      <c r="G322" s="486"/>
      <c r="H322" s="486"/>
      <c r="I322" s="486"/>
      <c r="J322" s="486"/>
      <c r="K322" s="486"/>
      <c r="L322" s="486"/>
      <c r="M322" s="486"/>
      <c r="N322" s="486"/>
      <c r="O322" s="486"/>
      <c r="P322" s="486"/>
      <c r="Q322" s="486"/>
      <c r="R322" s="486"/>
      <c r="S322" s="486"/>
      <c r="T322" s="486"/>
      <c r="U322" s="486"/>
      <c r="V322" s="486"/>
      <c r="W322" s="486"/>
      <c r="X322" s="486"/>
      <c r="Y322" s="486"/>
      <c r="Z322" s="486"/>
    </row>
    <row r="323" spans="1:26" ht="15.75" customHeight="1">
      <c r="A323" s="486"/>
      <c r="B323" s="486"/>
      <c r="C323" s="486"/>
      <c r="D323" s="486"/>
      <c r="E323" s="486"/>
      <c r="F323" s="486"/>
      <c r="G323" s="486"/>
      <c r="H323" s="486"/>
      <c r="I323" s="486"/>
      <c r="J323" s="486"/>
      <c r="K323" s="486"/>
      <c r="L323" s="486"/>
      <c r="M323" s="486"/>
      <c r="N323" s="486"/>
      <c r="O323" s="486"/>
      <c r="P323" s="486"/>
      <c r="Q323" s="486"/>
      <c r="R323" s="486"/>
      <c r="S323" s="486"/>
      <c r="T323" s="486"/>
      <c r="U323" s="486"/>
      <c r="V323" s="486"/>
      <c r="W323" s="486"/>
      <c r="X323" s="486"/>
      <c r="Y323" s="486"/>
      <c r="Z323" s="486"/>
    </row>
    <row r="324" spans="1:26" ht="15.75" customHeight="1">
      <c r="A324" s="486"/>
      <c r="B324" s="486"/>
      <c r="C324" s="486"/>
      <c r="D324" s="486"/>
      <c r="E324" s="486"/>
      <c r="F324" s="486"/>
      <c r="G324" s="486"/>
      <c r="H324" s="486"/>
      <c r="I324" s="486"/>
      <c r="J324" s="486"/>
      <c r="K324" s="486"/>
      <c r="L324" s="486"/>
      <c r="M324" s="486"/>
      <c r="N324" s="486"/>
      <c r="O324" s="486"/>
      <c r="P324" s="486"/>
      <c r="Q324" s="486"/>
      <c r="R324" s="486"/>
      <c r="S324" s="486"/>
      <c r="T324" s="486"/>
      <c r="U324" s="486"/>
      <c r="V324" s="486"/>
      <c r="W324" s="486"/>
      <c r="X324" s="486"/>
      <c r="Y324" s="486"/>
      <c r="Z324" s="486"/>
    </row>
    <row r="325" spans="1:26" ht="15.75" customHeight="1">
      <c r="A325" s="486"/>
      <c r="B325" s="486"/>
      <c r="C325" s="486"/>
      <c r="D325" s="486"/>
      <c r="E325" s="486"/>
      <c r="F325" s="486"/>
      <c r="G325" s="486"/>
      <c r="H325" s="486"/>
      <c r="I325" s="486"/>
      <c r="J325" s="486"/>
      <c r="K325" s="486"/>
      <c r="L325" s="486"/>
      <c r="M325" s="486"/>
      <c r="N325" s="486"/>
      <c r="O325" s="486"/>
      <c r="P325" s="486"/>
      <c r="Q325" s="486"/>
      <c r="R325" s="486"/>
      <c r="S325" s="486"/>
      <c r="T325" s="486"/>
      <c r="U325" s="486"/>
      <c r="V325" s="486"/>
      <c r="W325" s="486"/>
      <c r="X325" s="486"/>
      <c r="Y325" s="486"/>
      <c r="Z325" s="486"/>
    </row>
    <row r="326" spans="1:26" ht="15.75" customHeight="1">
      <c r="A326" s="486"/>
      <c r="B326" s="486"/>
      <c r="C326" s="486"/>
      <c r="D326" s="486"/>
      <c r="E326" s="486"/>
      <c r="F326" s="486"/>
      <c r="G326" s="486"/>
      <c r="H326" s="486"/>
      <c r="I326" s="486"/>
      <c r="J326" s="486"/>
      <c r="K326" s="486"/>
      <c r="L326" s="486"/>
      <c r="M326" s="486"/>
      <c r="N326" s="486"/>
      <c r="O326" s="486"/>
      <c r="P326" s="486"/>
      <c r="Q326" s="486"/>
      <c r="R326" s="486"/>
      <c r="S326" s="486"/>
      <c r="T326" s="486"/>
      <c r="U326" s="486"/>
      <c r="V326" s="486"/>
      <c r="W326" s="486"/>
      <c r="X326" s="486"/>
      <c r="Y326" s="486"/>
      <c r="Z326" s="486"/>
    </row>
    <row r="327" spans="1:26" ht="15.75" customHeight="1">
      <c r="A327" s="486"/>
      <c r="B327" s="486"/>
      <c r="C327" s="486"/>
      <c r="D327" s="486"/>
      <c r="E327" s="486"/>
      <c r="F327" s="486"/>
      <c r="G327" s="486"/>
      <c r="H327" s="486"/>
      <c r="I327" s="486"/>
      <c r="J327" s="486"/>
      <c r="K327" s="486"/>
      <c r="L327" s="486"/>
      <c r="M327" s="486"/>
      <c r="N327" s="486"/>
      <c r="O327" s="486"/>
      <c r="P327" s="486"/>
      <c r="Q327" s="486"/>
      <c r="R327" s="486"/>
      <c r="S327" s="486"/>
      <c r="T327" s="486"/>
      <c r="U327" s="486"/>
      <c r="V327" s="486"/>
      <c r="W327" s="486"/>
      <c r="X327" s="486"/>
      <c r="Y327" s="486"/>
      <c r="Z327" s="486"/>
    </row>
    <row r="328" spans="1:26" ht="15.75" customHeight="1">
      <c r="A328" s="486"/>
      <c r="B328" s="486"/>
      <c r="C328" s="486"/>
      <c r="D328" s="486"/>
      <c r="E328" s="486"/>
      <c r="F328" s="486"/>
      <c r="G328" s="486"/>
      <c r="H328" s="486"/>
      <c r="I328" s="486"/>
      <c r="J328" s="486"/>
      <c r="K328" s="486"/>
      <c r="L328" s="486"/>
      <c r="M328" s="486"/>
      <c r="N328" s="486"/>
      <c r="O328" s="486"/>
      <c r="P328" s="486"/>
      <c r="Q328" s="486"/>
      <c r="R328" s="486"/>
      <c r="S328" s="486"/>
      <c r="T328" s="486"/>
      <c r="U328" s="486"/>
      <c r="V328" s="486"/>
      <c r="W328" s="486"/>
      <c r="X328" s="486"/>
      <c r="Y328" s="486"/>
      <c r="Z328" s="486"/>
    </row>
    <row r="329" spans="1:26" ht="15.75" customHeight="1">
      <c r="A329" s="486"/>
      <c r="B329" s="486"/>
      <c r="C329" s="486"/>
      <c r="D329" s="486"/>
      <c r="E329" s="486"/>
      <c r="F329" s="486"/>
      <c r="G329" s="486"/>
      <c r="H329" s="486"/>
      <c r="I329" s="486"/>
      <c r="J329" s="486"/>
      <c r="K329" s="486"/>
      <c r="L329" s="486"/>
      <c r="M329" s="486"/>
      <c r="N329" s="486"/>
      <c r="O329" s="486"/>
      <c r="P329" s="486"/>
      <c r="Q329" s="486"/>
      <c r="R329" s="486"/>
      <c r="S329" s="486"/>
      <c r="T329" s="486"/>
      <c r="U329" s="486"/>
      <c r="V329" s="486"/>
      <c r="W329" s="486"/>
      <c r="X329" s="486"/>
      <c r="Y329" s="486"/>
      <c r="Z329" s="486"/>
    </row>
    <row r="330" spans="1:26" ht="15.75" customHeight="1">
      <c r="A330" s="486"/>
      <c r="B330" s="486"/>
      <c r="C330" s="486"/>
      <c r="D330" s="486"/>
      <c r="E330" s="486"/>
      <c r="F330" s="486"/>
      <c r="G330" s="486"/>
      <c r="H330" s="486"/>
      <c r="I330" s="486"/>
      <c r="J330" s="486"/>
      <c r="K330" s="486"/>
      <c r="L330" s="486"/>
      <c r="M330" s="486"/>
      <c r="N330" s="486"/>
      <c r="O330" s="486"/>
      <c r="P330" s="486"/>
      <c r="Q330" s="486"/>
      <c r="R330" s="486"/>
      <c r="S330" s="486"/>
      <c r="T330" s="486"/>
      <c r="U330" s="486"/>
      <c r="V330" s="486"/>
      <c r="W330" s="486"/>
      <c r="X330" s="486"/>
      <c r="Y330" s="486"/>
      <c r="Z330" s="486"/>
    </row>
    <row r="331" spans="1:26" ht="15.75" customHeight="1">
      <c r="A331" s="486"/>
      <c r="B331" s="486"/>
      <c r="C331" s="486"/>
      <c r="D331" s="486"/>
      <c r="E331" s="486"/>
      <c r="F331" s="486"/>
      <c r="G331" s="486"/>
      <c r="H331" s="486"/>
      <c r="I331" s="486"/>
      <c r="J331" s="486"/>
      <c r="K331" s="486"/>
      <c r="L331" s="486"/>
      <c r="M331" s="486"/>
      <c r="N331" s="486"/>
      <c r="O331" s="486"/>
      <c r="P331" s="486"/>
      <c r="Q331" s="486"/>
      <c r="R331" s="486"/>
      <c r="S331" s="486"/>
      <c r="T331" s="486"/>
      <c r="U331" s="486"/>
      <c r="V331" s="486"/>
      <c r="W331" s="486"/>
      <c r="X331" s="486"/>
      <c r="Y331" s="486"/>
      <c r="Z331" s="486"/>
    </row>
    <row r="332" spans="1:26" ht="15.75" customHeight="1">
      <c r="A332" s="486"/>
      <c r="B332" s="486"/>
      <c r="C332" s="486"/>
      <c r="D332" s="486"/>
      <c r="E332" s="486"/>
      <c r="F332" s="486"/>
      <c r="G332" s="486"/>
      <c r="H332" s="486"/>
      <c r="I332" s="486"/>
      <c r="J332" s="486"/>
      <c r="K332" s="486"/>
      <c r="L332" s="486"/>
      <c r="M332" s="486"/>
      <c r="N332" s="486"/>
      <c r="O332" s="486"/>
      <c r="P332" s="486"/>
      <c r="Q332" s="486"/>
      <c r="R332" s="486"/>
      <c r="S332" s="486"/>
      <c r="T332" s="486"/>
      <c r="U332" s="486"/>
      <c r="V332" s="486"/>
      <c r="W332" s="486"/>
      <c r="X332" s="486"/>
      <c r="Y332" s="486"/>
      <c r="Z332" s="486"/>
    </row>
    <row r="333" spans="1:26" ht="15.75" customHeight="1">
      <c r="A333" s="486"/>
      <c r="B333" s="486"/>
      <c r="C333" s="486"/>
      <c r="D333" s="486"/>
      <c r="E333" s="486"/>
      <c r="F333" s="486"/>
      <c r="G333" s="486"/>
      <c r="H333" s="486"/>
      <c r="I333" s="486"/>
      <c r="J333" s="486"/>
      <c r="K333" s="486"/>
      <c r="L333" s="486"/>
      <c r="M333" s="486"/>
      <c r="N333" s="486"/>
      <c r="O333" s="486"/>
      <c r="P333" s="486"/>
      <c r="Q333" s="486"/>
      <c r="R333" s="486"/>
      <c r="S333" s="486"/>
      <c r="T333" s="486"/>
      <c r="U333" s="486"/>
      <c r="V333" s="486"/>
      <c r="W333" s="486"/>
      <c r="X333" s="486"/>
      <c r="Y333" s="486"/>
      <c r="Z333" s="486"/>
    </row>
    <row r="334" spans="1:26" ht="15.75" customHeight="1">
      <c r="A334" s="486"/>
      <c r="B334" s="486"/>
      <c r="C334" s="486"/>
      <c r="D334" s="486"/>
      <c r="E334" s="486"/>
      <c r="F334" s="486"/>
      <c r="G334" s="486"/>
      <c r="H334" s="486"/>
      <c r="I334" s="486"/>
      <c r="J334" s="486"/>
      <c r="K334" s="486"/>
      <c r="L334" s="486"/>
      <c r="M334" s="486"/>
      <c r="N334" s="486"/>
      <c r="O334" s="486"/>
      <c r="P334" s="486"/>
      <c r="Q334" s="486"/>
      <c r="R334" s="486"/>
      <c r="S334" s="486"/>
      <c r="T334" s="486"/>
      <c r="U334" s="486"/>
      <c r="V334" s="486"/>
      <c r="W334" s="486"/>
      <c r="X334" s="486"/>
      <c r="Y334" s="486"/>
      <c r="Z334" s="486"/>
    </row>
    <row r="335" spans="1:26" ht="15.75" customHeight="1">
      <c r="A335" s="486"/>
      <c r="B335" s="486"/>
      <c r="C335" s="486"/>
      <c r="D335" s="486"/>
      <c r="E335" s="486"/>
      <c r="F335" s="486"/>
      <c r="G335" s="486"/>
      <c r="H335" s="486"/>
      <c r="I335" s="486"/>
      <c r="J335" s="486"/>
      <c r="K335" s="486"/>
      <c r="L335" s="486"/>
      <c r="M335" s="486"/>
      <c r="N335" s="486"/>
      <c r="O335" s="486"/>
      <c r="P335" s="486"/>
      <c r="Q335" s="486"/>
      <c r="R335" s="486"/>
      <c r="S335" s="486"/>
      <c r="T335" s="486"/>
      <c r="U335" s="486"/>
      <c r="V335" s="486"/>
      <c r="W335" s="486"/>
      <c r="X335" s="486"/>
      <c r="Y335" s="486"/>
      <c r="Z335" s="486"/>
    </row>
    <row r="336" spans="1:26" ht="15.75" customHeight="1">
      <c r="A336" s="486"/>
      <c r="B336" s="486"/>
      <c r="C336" s="486"/>
      <c r="D336" s="486"/>
      <c r="E336" s="486"/>
      <c r="F336" s="486"/>
      <c r="G336" s="486"/>
      <c r="H336" s="486"/>
      <c r="I336" s="486"/>
      <c r="J336" s="486"/>
      <c r="K336" s="486"/>
      <c r="L336" s="486"/>
      <c r="M336" s="486"/>
      <c r="N336" s="486"/>
      <c r="O336" s="486"/>
      <c r="P336" s="486"/>
      <c r="Q336" s="486"/>
      <c r="R336" s="486"/>
      <c r="S336" s="486"/>
      <c r="T336" s="486"/>
      <c r="U336" s="486"/>
      <c r="V336" s="486"/>
      <c r="W336" s="486"/>
      <c r="X336" s="486"/>
      <c r="Y336" s="486"/>
      <c r="Z336" s="486"/>
    </row>
    <row r="337" spans="1:26" ht="15.75" customHeight="1">
      <c r="A337" s="486"/>
      <c r="B337" s="486"/>
      <c r="C337" s="486"/>
      <c r="D337" s="486"/>
      <c r="E337" s="486"/>
      <c r="F337" s="486"/>
      <c r="G337" s="486"/>
      <c r="H337" s="486"/>
      <c r="I337" s="486"/>
      <c r="J337" s="486"/>
      <c r="K337" s="486"/>
      <c r="L337" s="486"/>
      <c r="M337" s="486"/>
      <c r="N337" s="486"/>
      <c r="O337" s="486"/>
      <c r="P337" s="486"/>
      <c r="Q337" s="486"/>
      <c r="R337" s="486"/>
      <c r="S337" s="486"/>
      <c r="T337" s="486"/>
      <c r="U337" s="486"/>
      <c r="V337" s="486"/>
      <c r="W337" s="486"/>
      <c r="X337" s="486"/>
      <c r="Y337" s="486"/>
      <c r="Z337" s="486"/>
    </row>
    <row r="338" spans="1:26" ht="15.75" customHeight="1">
      <c r="A338" s="486"/>
      <c r="B338" s="486"/>
      <c r="C338" s="486"/>
      <c r="D338" s="486"/>
      <c r="E338" s="486"/>
      <c r="F338" s="486"/>
      <c r="G338" s="486"/>
      <c r="H338" s="486"/>
      <c r="I338" s="486"/>
      <c r="J338" s="486"/>
      <c r="K338" s="486"/>
      <c r="L338" s="486"/>
      <c r="M338" s="486"/>
      <c r="N338" s="486"/>
      <c r="O338" s="486"/>
      <c r="P338" s="486"/>
      <c r="Q338" s="486"/>
      <c r="R338" s="486"/>
      <c r="S338" s="486"/>
      <c r="T338" s="486"/>
      <c r="U338" s="486"/>
      <c r="V338" s="486"/>
      <c r="W338" s="486"/>
      <c r="X338" s="486"/>
      <c r="Y338" s="486"/>
      <c r="Z338" s="486"/>
    </row>
    <row r="339" spans="1:26" ht="15.75" customHeight="1">
      <c r="A339" s="486"/>
      <c r="B339" s="486"/>
      <c r="C339" s="486"/>
      <c r="D339" s="486"/>
      <c r="E339" s="486"/>
      <c r="F339" s="486"/>
      <c r="G339" s="486"/>
      <c r="H339" s="486"/>
      <c r="I339" s="486"/>
      <c r="J339" s="486"/>
      <c r="K339" s="486"/>
      <c r="L339" s="486"/>
      <c r="M339" s="486"/>
      <c r="N339" s="486"/>
      <c r="O339" s="486"/>
      <c r="P339" s="486"/>
      <c r="Q339" s="486"/>
      <c r="R339" s="486"/>
      <c r="S339" s="486"/>
      <c r="T339" s="486"/>
      <c r="U339" s="486"/>
      <c r="V339" s="486"/>
      <c r="W339" s="486"/>
      <c r="X339" s="486"/>
      <c r="Y339" s="486"/>
      <c r="Z339" s="486"/>
    </row>
    <row r="340" spans="1:26" ht="15.75" customHeight="1">
      <c r="A340" s="486"/>
      <c r="B340" s="486"/>
      <c r="C340" s="486"/>
      <c r="D340" s="486"/>
      <c r="E340" s="486"/>
      <c r="F340" s="486"/>
      <c r="G340" s="486"/>
      <c r="H340" s="486"/>
      <c r="I340" s="486"/>
      <c r="J340" s="486"/>
      <c r="K340" s="486"/>
      <c r="L340" s="486"/>
      <c r="M340" s="486"/>
      <c r="N340" s="486"/>
      <c r="O340" s="486"/>
      <c r="P340" s="486"/>
      <c r="Q340" s="486"/>
      <c r="R340" s="486"/>
      <c r="S340" s="486"/>
      <c r="T340" s="486"/>
      <c r="U340" s="486"/>
      <c r="V340" s="486"/>
      <c r="W340" s="486"/>
      <c r="X340" s="486"/>
      <c r="Y340" s="486"/>
      <c r="Z340" s="486"/>
    </row>
    <row r="341" spans="1:26" ht="15.75" customHeight="1">
      <c r="A341" s="486"/>
      <c r="B341" s="486"/>
      <c r="C341" s="486"/>
      <c r="D341" s="486"/>
      <c r="E341" s="486"/>
      <c r="F341" s="486"/>
      <c r="G341" s="486"/>
      <c r="H341" s="486"/>
      <c r="I341" s="486"/>
      <c r="J341" s="486"/>
      <c r="K341" s="486"/>
      <c r="L341" s="486"/>
      <c r="M341" s="486"/>
      <c r="N341" s="486"/>
      <c r="O341" s="486"/>
      <c r="P341" s="486"/>
      <c r="Q341" s="486"/>
      <c r="R341" s="486"/>
      <c r="S341" s="486"/>
      <c r="T341" s="486"/>
      <c r="U341" s="486"/>
      <c r="V341" s="486"/>
      <c r="W341" s="486"/>
      <c r="X341" s="486"/>
      <c r="Y341" s="486"/>
      <c r="Z341" s="486"/>
    </row>
    <row r="342" spans="1:26" ht="15.75" customHeight="1">
      <c r="A342" s="486"/>
      <c r="B342" s="486"/>
      <c r="C342" s="486"/>
      <c r="D342" s="486"/>
      <c r="E342" s="486"/>
      <c r="F342" s="486"/>
      <c r="G342" s="486"/>
      <c r="H342" s="486"/>
      <c r="I342" s="486"/>
      <c r="J342" s="486"/>
      <c r="K342" s="486"/>
      <c r="L342" s="486"/>
      <c r="M342" s="486"/>
      <c r="N342" s="486"/>
      <c r="O342" s="486"/>
      <c r="P342" s="486"/>
      <c r="Q342" s="486"/>
      <c r="R342" s="486"/>
      <c r="S342" s="486"/>
      <c r="T342" s="486"/>
      <c r="U342" s="486"/>
      <c r="V342" s="486"/>
      <c r="W342" s="486"/>
      <c r="X342" s="486"/>
      <c r="Y342" s="486"/>
      <c r="Z342" s="486"/>
    </row>
    <row r="343" spans="1:26" ht="15.75" customHeight="1">
      <c r="A343" s="486"/>
      <c r="B343" s="486"/>
      <c r="C343" s="486"/>
      <c r="D343" s="486"/>
      <c r="E343" s="486"/>
      <c r="F343" s="486"/>
      <c r="G343" s="486"/>
      <c r="H343" s="486"/>
      <c r="I343" s="486"/>
      <c r="J343" s="486"/>
      <c r="K343" s="486"/>
      <c r="L343" s="486"/>
      <c r="M343" s="486"/>
      <c r="N343" s="486"/>
      <c r="O343" s="486"/>
      <c r="P343" s="486"/>
      <c r="Q343" s="486"/>
      <c r="R343" s="486"/>
      <c r="S343" s="486"/>
      <c r="T343" s="486"/>
      <c r="U343" s="486"/>
      <c r="V343" s="486"/>
      <c r="W343" s="486"/>
      <c r="X343" s="486"/>
      <c r="Y343" s="486"/>
      <c r="Z343" s="486"/>
    </row>
    <row r="344" spans="1:26" ht="15.75" customHeight="1">
      <c r="A344" s="486"/>
      <c r="B344" s="486"/>
      <c r="C344" s="486"/>
      <c r="D344" s="486"/>
      <c r="E344" s="486"/>
      <c r="F344" s="486"/>
      <c r="G344" s="486"/>
      <c r="H344" s="486"/>
      <c r="I344" s="486"/>
      <c r="J344" s="486"/>
      <c r="K344" s="486"/>
      <c r="L344" s="486"/>
      <c r="M344" s="486"/>
      <c r="N344" s="486"/>
      <c r="O344" s="486"/>
      <c r="P344" s="486"/>
      <c r="Q344" s="486"/>
      <c r="R344" s="486"/>
      <c r="S344" s="486"/>
      <c r="T344" s="486"/>
      <c r="U344" s="486"/>
      <c r="V344" s="486"/>
      <c r="W344" s="486"/>
      <c r="X344" s="486"/>
      <c r="Y344" s="486"/>
      <c r="Z344" s="486"/>
    </row>
    <row r="345" spans="1:26" ht="15.75" customHeight="1">
      <c r="A345" s="486"/>
      <c r="B345" s="486"/>
      <c r="C345" s="486"/>
      <c r="D345" s="486"/>
      <c r="E345" s="486"/>
      <c r="F345" s="486"/>
      <c r="G345" s="486"/>
      <c r="H345" s="486"/>
      <c r="I345" s="486"/>
      <c r="J345" s="486"/>
      <c r="K345" s="486"/>
      <c r="L345" s="486"/>
      <c r="M345" s="486"/>
      <c r="N345" s="486"/>
      <c r="O345" s="486"/>
      <c r="P345" s="486"/>
      <c r="Q345" s="486"/>
      <c r="R345" s="486"/>
      <c r="S345" s="486"/>
      <c r="T345" s="486"/>
      <c r="U345" s="486"/>
      <c r="V345" s="486"/>
      <c r="W345" s="486"/>
      <c r="X345" s="486"/>
      <c r="Y345" s="486"/>
      <c r="Z345" s="486"/>
    </row>
    <row r="346" spans="1:26" ht="15.75" customHeight="1">
      <c r="A346" s="486"/>
      <c r="B346" s="486"/>
      <c r="C346" s="486"/>
      <c r="D346" s="486"/>
      <c r="E346" s="486"/>
      <c r="F346" s="486"/>
      <c r="G346" s="486"/>
      <c r="H346" s="486"/>
      <c r="I346" s="486"/>
      <c r="J346" s="486"/>
      <c r="K346" s="486"/>
      <c r="L346" s="486"/>
      <c r="M346" s="486"/>
      <c r="N346" s="486"/>
      <c r="O346" s="486"/>
      <c r="P346" s="486"/>
      <c r="Q346" s="486"/>
      <c r="R346" s="486"/>
      <c r="S346" s="486"/>
      <c r="T346" s="486"/>
      <c r="U346" s="486"/>
      <c r="V346" s="486"/>
      <c r="W346" s="486"/>
      <c r="X346" s="486"/>
      <c r="Y346" s="486"/>
      <c r="Z346" s="486"/>
    </row>
    <row r="347" spans="1:26" ht="15.75" customHeight="1">
      <c r="A347" s="486"/>
      <c r="B347" s="486"/>
      <c r="C347" s="486"/>
      <c r="D347" s="486"/>
      <c r="E347" s="486"/>
      <c r="F347" s="486"/>
      <c r="G347" s="486"/>
      <c r="H347" s="486"/>
      <c r="I347" s="486"/>
      <c r="J347" s="486"/>
      <c r="K347" s="486"/>
      <c r="L347" s="486"/>
      <c r="M347" s="486"/>
      <c r="N347" s="486"/>
      <c r="O347" s="486"/>
      <c r="P347" s="486"/>
      <c r="Q347" s="486"/>
      <c r="R347" s="486"/>
      <c r="S347" s="486"/>
      <c r="T347" s="486"/>
      <c r="U347" s="486"/>
      <c r="V347" s="486"/>
      <c r="W347" s="486"/>
      <c r="X347" s="486"/>
      <c r="Y347" s="486"/>
      <c r="Z347" s="486"/>
    </row>
    <row r="348" spans="1:26" ht="15.75" customHeight="1">
      <c r="A348" s="486"/>
      <c r="B348" s="486"/>
      <c r="C348" s="486"/>
      <c r="D348" s="486"/>
      <c r="E348" s="486"/>
      <c r="F348" s="486"/>
      <c r="G348" s="486"/>
      <c r="H348" s="486"/>
      <c r="I348" s="486"/>
      <c r="J348" s="486"/>
      <c r="K348" s="486"/>
      <c r="L348" s="486"/>
      <c r="M348" s="486"/>
      <c r="N348" s="486"/>
      <c r="O348" s="486"/>
      <c r="P348" s="486"/>
      <c r="Q348" s="486"/>
      <c r="R348" s="486"/>
      <c r="S348" s="486"/>
      <c r="T348" s="486"/>
      <c r="U348" s="486"/>
      <c r="V348" s="486"/>
      <c r="W348" s="486"/>
      <c r="X348" s="486"/>
      <c r="Y348" s="486"/>
      <c r="Z348" s="486"/>
    </row>
    <row r="349" spans="1:26" ht="15.75" customHeight="1">
      <c r="A349" s="486"/>
      <c r="B349" s="486"/>
      <c r="C349" s="486"/>
      <c r="D349" s="486"/>
      <c r="E349" s="486"/>
      <c r="F349" s="486"/>
      <c r="G349" s="486"/>
      <c r="H349" s="486"/>
      <c r="I349" s="486"/>
      <c r="J349" s="486"/>
      <c r="K349" s="486"/>
      <c r="L349" s="486"/>
      <c r="M349" s="486"/>
      <c r="N349" s="486"/>
      <c r="O349" s="486"/>
      <c r="P349" s="486"/>
      <c r="Q349" s="486"/>
      <c r="R349" s="486"/>
      <c r="S349" s="486"/>
      <c r="T349" s="486"/>
      <c r="U349" s="486"/>
      <c r="V349" s="486"/>
      <c r="W349" s="486"/>
      <c r="X349" s="486"/>
      <c r="Y349" s="486"/>
      <c r="Z349" s="486"/>
    </row>
    <row r="350" spans="1:26" ht="15.75" customHeight="1">
      <c r="A350" s="486"/>
      <c r="B350" s="486"/>
      <c r="C350" s="486"/>
      <c r="D350" s="486"/>
      <c r="E350" s="486"/>
      <c r="F350" s="486"/>
      <c r="G350" s="486"/>
      <c r="H350" s="486"/>
      <c r="I350" s="486"/>
      <c r="J350" s="486"/>
      <c r="K350" s="486"/>
      <c r="L350" s="486"/>
      <c r="M350" s="486"/>
      <c r="N350" s="486"/>
      <c r="O350" s="486"/>
      <c r="P350" s="486"/>
      <c r="Q350" s="486"/>
      <c r="R350" s="486"/>
      <c r="S350" s="486"/>
      <c r="T350" s="486"/>
      <c r="U350" s="486"/>
      <c r="V350" s="486"/>
      <c r="W350" s="486"/>
      <c r="X350" s="486"/>
      <c r="Y350" s="486"/>
      <c r="Z350" s="486"/>
    </row>
    <row r="351" spans="1:26" ht="15.75" customHeight="1">
      <c r="A351" s="486"/>
      <c r="B351" s="486"/>
      <c r="C351" s="486"/>
      <c r="D351" s="486"/>
      <c r="E351" s="486"/>
      <c r="F351" s="486"/>
      <c r="G351" s="486"/>
      <c r="H351" s="486"/>
      <c r="I351" s="486"/>
      <c r="J351" s="486"/>
      <c r="K351" s="486"/>
      <c r="L351" s="486"/>
      <c r="M351" s="486"/>
      <c r="N351" s="486"/>
      <c r="O351" s="486"/>
      <c r="P351" s="486"/>
      <c r="Q351" s="486"/>
      <c r="R351" s="486"/>
      <c r="S351" s="486"/>
      <c r="T351" s="486"/>
      <c r="U351" s="486"/>
      <c r="V351" s="486"/>
      <c r="W351" s="486"/>
      <c r="X351" s="486"/>
      <c r="Y351" s="486"/>
      <c r="Z351" s="486"/>
    </row>
    <row r="352" spans="1:26" ht="15.75" customHeight="1">
      <c r="A352" s="486"/>
      <c r="B352" s="486"/>
      <c r="C352" s="486"/>
      <c r="D352" s="486"/>
      <c r="E352" s="486"/>
      <c r="F352" s="486"/>
      <c r="G352" s="486"/>
      <c r="H352" s="486"/>
      <c r="I352" s="486"/>
      <c r="J352" s="486"/>
      <c r="K352" s="486"/>
      <c r="L352" s="486"/>
      <c r="M352" s="486"/>
      <c r="N352" s="486"/>
      <c r="O352" s="486"/>
      <c r="P352" s="486"/>
      <c r="Q352" s="486"/>
      <c r="R352" s="486"/>
      <c r="S352" s="486"/>
      <c r="T352" s="486"/>
      <c r="U352" s="486"/>
      <c r="V352" s="486"/>
      <c r="W352" s="486"/>
      <c r="X352" s="486"/>
      <c r="Y352" s="486"/>
      <c r="Z352" s="486"/>
    </row>
    <row r="353" spans="1:26" ht="15.75" customHeight="1">
      <c r="A353" s="486"/>
      <c r="B353" s="486"/>
      <c r="C353" s="486"/>
      <c r="D353" s="486"/>
      <c r="E353" s="486"/>
      <c r="F353" s="486"/>
      <c r="G353" s="486"/>
      <c r="H353" s="486"/>
      <c r="I353" s="486"/>
      <c r="J353" s="486"/>
      <c r="K353" s="486"/>
      <c r="L353" s="486"/>
      <c r="M353" s="486"/>
      <c r="N353" s="486"/>
      <c r="O353" s="486"/>
      <c r="P353" s="486"/>
      <c r="Q353" s="486"/>
      <c r="R353" s="486"/>
      <c r="S353" s="486"/>
      <c r="T353" s="486"/>
      <c r="U353" s="486"/>
      <c r="V353" s="486"/>
      <c r="W353" s="486"/>
      <c r="X353" s="486"/>
      <c r="Y353" s="486"/>
      <c r="Z353" s="486"/>
    </row>
    <row r="354" spans="1:26" ht="15.75" customHeight="1">
      <c r="A354" s="486"/>
      <c r="B354" s="486"/>
      <c r="C354" s="486"/>
      <c r="D354" s="486"/>
      <c r="E354" s="486"/>
      <c r="F354" s="486"/>
      <c r="G354" s="486"/>
      <c r="H354" s="486"/>
      <c r="I354" s="486"/>
      <c r="J354" s="486"/>
      <c r="K354" s="486"/>
      <c r="L354" s="486"/>
      <c r="M354" s="486"/>
      <c r="N354" s="486"/>
      <c r="O354" s="486"/>
      <c r="P354" s="486"/>
      <c r="Q354" s="486"/>
      <c r="R354" s="486"/>
      <c r="S354" s="486"/>
      <c r="T354" s="486"/>
      <c r="U354" s="486"/>
      <c r="V354" s="486"/>
      <c r="W354" s="486"/>
      <c r="X354" s="486"/>
      <c r="Y354" s="486"/>
      <c r="Z354" s="486"/>
    </row>
    <row r="355" spans="1:26" ht="15.75" customHeight="1">
      <c r="A355" s="486"/>
      <c r="B355" s="486"/>
      <c r="C355" s="486"/>
      <c r="D355" s="486"/>
      <c r="E355" s="486"/>
      <c r="F355" s="486"/>
      <c r="G355" s="486"/>
      <c r="H355" s="486"/>
      <c r="I355" s="486"/>
      <c r="J355" s="486"/>
      <c r="K355" s="486"/>
      <c r="L355" s="486"/>
      <c r="M355" s="486"/>
      <c r="N355" s="486"/>
      <c r="O355" s="486"/>
      <c r="P355" s="486"/>
      <c r="Q355" s="486"/>
      <c r="R355" s="486"/>
      <c r="S355" s="486"/>
      <c r="T355" s="486"/>
      <c r="U355" s="486"/>
      <c r="V355" s="486"/>
      <c r="W355" s="486"/>
      <c r="X355" s="486"/>
      <c r="Y355" s="486"/>
      <c r="Z355" s="486"/>
    </row>
    <row r="356" spans="1:26" ht="15.75" customHeight="1">
      <c r="A356" s="486"/>
      <c r="B356" s="486"/>
      <c r="C356" s="486"/>
      <c r="D356" s="486"/>
      <c r="E356" s="486"/>
      <c r="F356" s="486"/>
      <c r="G356" s="486"/>
      <c r="H356" s="486"/>
      <c r="I356" s="486"/>
      <c r="J356" s="486"/>
      <c r="K356" s="486"/>
      <c r="L356" s="486"/>
      <c r="M356" s="486"/>
      <c r="N356" s="486"/>
      <c r="O356" s="486"/>
      <c r="P356" s="486"/>
      <c r="Q356" s="486"/>
      <c r="R356" s="486"/>
      <c r="S356" s="486"/>
      <c r="T356" s="486"/>
      <c r="U356" s="486"/>
      <c r="V356" s="486"/>
      <c r="W356" s="486"/>
      <c r="X356" s="486"/>
      <c r="Y356" s="486"/>
      <c r="Z356" s="486"/>
    </row>
    <row r="357" spans="1:26" ht="15.75" customHeight="1">
      <c r="A357" s="486"/>
      <c r="B357" s="486"/>
      <c r="C357" s="486"/>
      <c r="D357" s="486"/>
      <c r="E357" s="486"/>
      <c r="F357" s="486"/>
      <c r="G357" s="486"/>
      <c r="H357" s="486"/>
      <c r="I357" s="486"/>
      <c r="J357" s="486"/>
      <c r="K357" s="486"/>
      <c r="L357" s="486"/>
      <c r="M357" s="486"/>
      <c r="N357" s="486"/>
      <c r="O357" s="486"/>
      <c r="P357" s="486"/>
      <c r="Q357" s="486"/>
      <c r="R357" s="486"/>
      <c r="S357" s="486"/>
      <c r="T357" s="486"/>
      <c r="U357" s="486"/>
      <c r="V357" s="486"/>
      <c r="W357" s="486"/>
      <c r="X357" s="486"/>
      <c r="Y357" s="486"/>
      <c r="Z357" s="486"/>
    </row>
    <row r="358" spans="1:26" ht="15.75" customHeight="1">
      <c r="A358" s="486"/>
      <c r="B358" s="486"/>
      <c r="C358" s="486"/>
      <c r="D358" s="486"/>
      <c r="E358" s="486"/>
      <c r="F358" s="486"/>
      <c r="G358" s="486"/>
      <c r="H358" s="486"/>
      <c r="I358" s="486"/>
      <c r="J358" s="486"/>
      <c r="K358" s="486"/>
      <c r="L358" s="486"/>
      <c r="M358" s="486"/>
      <c r="N358" s="486"/>
      <c r="O358" s="486"/>
      <c r="P358" s="486"/>
      <c r="Q358" s="486"/>
      <c r="R358" s="486"/>
      <c r="S358" s="486"/>
      <c r="T358" s="486"/>
      <c r="U358" s="486"/>
      <c r="V358" s="486"/>
      <c r="W358" s="486"/>
      <c r="X358" s="486"/>
      <c r="Y358" s="486"/>
      <c r="Z358" s="486"/>
    </row>
    <row r="359" spans="1:26" ht="15.75" customHeight="1">
      <c r="A359" s="486"/>
      <c r="B359" s="486"/>
      <c r="C359" s="486"/>
      <c r="D359" s="486"/>
      <c r="E359" s="486"/>
      <c r="F359" s="486"/>
      <c r="G359" s="486"/>
      <c r="H359" s="486"/>
      <c r="I359" s="486"/>
      <c r="J359" s="486"/>
      <c r="K359" s="486"/>
      <c r="L359" s="486"/>
      <c r="M359" s="486"/>
      <c r="N359" s="486"/>
      <c r="O359" s="486"/>
      <c r="P359" s="486"/>
      <c r="Q359" s="486"/>
      <c r="R359" s="486"/>
      <c r="S359" s="486"/>
      <c r="T359" s="486"/>
      <c r="U359" s="486"/>
      <c r="V359" s="486"/>
      <c r="W359" s="486"/>
      <c r="X359" s="486"/>
      <c r="Y359" s="486"/>
      <c r="Z359" s="486"/>
    </row>
    <row r="360" spans="1:26" ht="15.75" customHeight="1">
      <c r="A360" s="486"/>
      <c r="B360" s="486"/>
      <c r="C360" s="486"/>
      <c r="D360" s="486"/>
      <c r="E360" s="486"/>
      <c r="F360" s="486"/>
      <c r="G360" s="486"/>
      <c r="H360" s="486"/>
      <c r="I360" s="486"/>
      <c r="J360" s="486"/>
      <c r="K360" s="486"/>
      <c r="L360" s="486"/>
      <c r="M360" s="486"/>
      <c r="N360" s="486"/>
      <c r="O360" s="486"/>
      <c r="P360" s="486"/>
      <c r="Q360" s="486"/>
      <c r="R360" s="486"/>
      <c r="S360" s="486"/>
      <c r="T360" s="486"/>
      <c r="U360" s="486"/>
      <c r="V360" s="486"/>
      <c r="W360" s="486"/>
      <c r="X360" s="486"/>
      <c r="Y360" s="486"/>
      <c r="Z360" s="486"/>
    </row>
    <row r="361" spans="1:26" ht="15.75" customHeight="1">
      <c r="A361" s="486"/>
      <c r="B361" s="486"/>
      <c r="C361" s="486"/>
      <c r="D361" s="486"/>
      <c r="E361" s="486"/>
      <c r="F361" s="486"/>
      <c r="G361" s="486"/>
      <c r="H361" s="486"/>
      <c r="I361" s="486"/>
      <c r="J361" s="486"/>
      <c r="K361" s="486"/>
      <c r="L361" s="486"/>
      <c r="M361" s="486"/>
      <c r="N361" s="486"/>
      <c r="O361" s="486"/>
      <c r="P361" s="486"/>
      <c r="Q361" s="486"/>
      <c r="R361" s="486"/>
      <c r="S361" s="486"/>
      <c r="T361" s="486"/>
      <c r="U361" s="486"/>
      <c r="V361" s="486"/>
      <c r="W361" s="486"/>
      <c r="X361" s="486"/>
      <c r="Y361" s="486"/>
      <c r="Z361" s="486"/>
    </row>
    <row r="362" spans="1:26" ht="15.75" customHeight="1">
      <c r="A362" s="486"/>
      <c r="B362" s="486"/>
      <c r="C362" s="486"/>
      <c r="D362" s="486"/>
      <c r="E362" s="486"/>
      <c r="F362" s="486"/>
      <c r="G362" s="486"/>
      <c r="H362" s="486"/>
      <c r="I362" s="486"/>
      <c r="J362" s="486"/>
      <c r="K362" s="486"/>
      <c r="L362" s="486"/>
      <c r="M362" s="486"/>
      <c r="N362" s="486"/>
      <c r="O362" s="486"/>
      <c r="P362" s="486"/>
      <c r="Q362" s="486"/>
      <c r="R362" s="486"/>
      <c r="S362" s="486"/>
      <c r="T362" s="486"/>
      <c r="U362" s="486"/>
      <c r="V362" s="486"/>
      <c r="W362" s="486"/>
      <c r="X362" s="486"/>
      <c r="Y362" s="486"/>
      <c r="Z362" s="486"/>
    </row>
    <row r="363" spans="1:26" ht="15.75" customHeight="1">
      <c r="A363" s="486"/>
      <c r="B363" s="486"/>
      <c r="C363" s="486"/>
      <c r="D363" s="486"/>
      <c r="E363" s="486"/>
      <c r="F363" s="486"/>
      <c r="G363" s="486"/>
      <c r="H363" s="486"/>
      <c r="I363" s="486"/>
      <c r="J363" s="486"/>
      <c r="K363" s="486"/>
      <c r="L363" s="486"/>
      <c r="M363" s="486"/>
      <c r="N363" s="486"/>
      <c r="O363" s="486"/>
      <c r="P363" s="486"/>
      <c r="Q363" s="486"/>
      <c r="R363" s="486"/>
      <c r="S363" s="486"/>
      <c r="T363" s="486"/>
      <c r="U363" s="486"/>
      <c r="V363" s="486"/>
      <c r="W363" s="486"/>
      <c r="X363" s="486"/>
      <c r="Y363" s="486"/>
      <c r="Z363" s="486"/>
    </row>
    <row r="364" spans="1:26" ht="15.75" customHeight="1">
      <c r="A364" s="486"/>
      <c r="B364" s="486"/>
      <c r="C364" s="486"/>
      <c r="D364" s="486"/>
      <c r="E364" s="486"/>
      <c r="F364" s="486"/>
      <c r="G364" s="486"/>
      <c r="H364" s="486"/>
      <c r="I364" s="486"/>
      <c r="J364" s="486"/>
      <c r="K364" s="486"/>
      <c r="L364" s="486"/>
      <c r="M364" s="486"/>
      <c r="N364" s="486"/>
      <c r="O364" s="486"/>
      <c r="P364" s="486"/>
      <c r="Q364" s="486"/>
      <c r="R364" s="486"/>
      <c r="S364" s="486"/>
      <c r="T364" s="486"/>
      <c r="U364" s="486"/>
      <c r="V364" s="486"/>
      <c r="W364" s="486"/>
      <c r="X364" s="486"/>
      <c r="Y364" s="486"/>
      <c r="Z364" s="486"/>
    </row>
    <row r="365" spans="1:26" ht="15.75" customHeight="1">
      <c r="A365" s="486"/>
      <c r="B365" s="486"/>
      <c r="C365" s="486"/>
      <c r="D365" s="486"/>
      <c r="E365" s="486"/>
      <c r="F365" s="486"/>
      <c r="G365" s="486"/>
      <c r="H365" s="486"/>
      <c r="I365" s="486"/>
      <c r="J365" s="486"/>
      <c r="K365" s="486"/>
      <c r="L365" s="486"/>
      <c r="M365" s="486"/>
      <c r="N365" s="486"/>
      <c r="O365" s="486"/>
      <c r="P365" s="486"/>
      <c r="Q365" s="486"/>
      <c r="R365" s="486"/>
      <c r="S365" s="486"/>
      <c r="T365" s="486"/>
      <c r="U365" s="486"/>
      <c r="V365" s="486"/>
      <c r="W365" s="486"/>
      <c r="X365" s="486"/>
      <c r="Y365" s="486"/>
      <c r="Z365" s="486"/>
    </row>
    <row r="366" spans="1:26" ht="15.75" customHeight="1">
      <c r="A366" s="486"/>
      <c r="B366" s="486"/>
      <c r="C366" s="486"/>
      <c r="D366" s="486"/>
      <c r="E366" s="486"/>
      <c r="F366" s="486"/>
      <c r="G366" s="486"/>
      <c r="H366" s="486"/>
      <c r="I366" s="486"/>
      <c r="J366" s="486"/>
      <c r="K366" s="486"/>
      <c r="L366" s="486"/>
      <c r="M366" s="486"/>
      <c r="N366" s="486"/>
      <c r="O366" s="486"/>
      <c r="P366" s="486"/>
      <c r="Q366" s="486"/>
      <c r="R366" s="486"/>
      <c r="S366" s="486"/>
      <c r="T366" s="486"/>
      <c r="U366" s="486"/>
      <c r="V366" s="486"/>
      <c r="W366" s="486"/>
      <c r="X366" s="486"/>
      <c r="Y366" s="486"/>
      <c r="Z366" s="486"/>
    </row>
    <row r="367" spans="1:26" ht="15.75" customHeight="1">
      <c r="A367" s="486"/>
      <c r="B367" s="486"/>
      <c r="C367" s="486"/>
      <c r="D367" s="486"/>
      <c r="E367" s="486"/>
      <c r="F367" s="486"/>
      <c r="G367" s="486"/>
      <c r="H367" s="486"/>
      <c r="I367" s="486"/>
      <c r="J367" s="486"/>
      <c r="K367" s="486"/>
      <c r="L367" s="486"/>
      <c r="M367" s="486"/>
      <c r="N367" s="486"/>
      <c r="O367" s="486"/>
      <c r="P367" s="486"/>
      <c r="Q367" s="486"/>
      <c r="R367" s="486"/>
      <c r="S367" s="486"/>
      <c r="T367" s="486"/>
      <c r="U367" s="486"/>
      <c r="V367" s="486"/>
      <c r="W367" s="486"/>
      <c r="X367" s="486"/>
      <c r="Y367" s="486"/>
      <c r="Z367" s="486"/>
    </row>
    <row r="368" spans="1:26" ht="15.75" customHeight="1">
      <c r="A368" s="486"/>
      <c r="B368" s="486"/>
      <c r="C368" s="486"/>
      <c r="D368" s="486"/>
      <c r="E368" s="486"/>
      <c r="F368" s="486"/>
      <c r="G368" s="486"/>
      <c r="H368" s="486"/>
      <c r="I368" s="486"/>
      <c r="J368" s="486"/>
      <c r="K368" s="486"/>
      <c r="L368" s="486"/>
      <c r="M368" s="486"/>
      <c r="N368" s="486"/>
      <c r="O368" s="486"/>
      <c r="P368" s="486"/>
      <c r="Q368" s="486"/>
      <c r="R368" s="486"/>
      <c r="S368" s="486"/>
      <c r="T368" s="486"/>
      <c r="U368" s="486"/>
      <c r="V368" s="486"/>
      <c r="W368" s="486"/>
      <c r="X368" s="486"/>
      <c r="Y368" s="486"/>
      <c r="Z368" s="486"/>
    </row>
    <row r="369" spans="1:26" ht="15.75" customHeight="1">
      <c r="A369" s="486"/>
      <c r="B369" s="486"/>
      <c r="C369" s="486"/>
      <c r="D369" s="486"/>
      <c r="E369" s="486"/>
      <c r="F369" s="486"/>
      <c r="G369" s="486"/>
      <c r="H369" s="486"/>
      <c r="I369" s="486"/>
      <c r="J369" s="486"/>
      <c r="K369" s="486"/>
      <c r="L369" s="486"/>
      <c r="M369" s="486"/>
      <c r="N369" s="486"/>
      <c r="O369" s="486"/>
      <c r="P369" s="486"/>
      <c r="Q369" s="486"/>
      <c r="R369" s="486"/>
      <c r="S369" s="486"/>
      <c r="T369" s="486"/>
      <c r="U369" s="486"/>
      <c r="V369" s="486"/>
      <c r="W369" s="486"/>
      <c r="X369" s="486"/>
      <c r="Y369" s="486"/>
      <c r="Z369" s="486"/>
    </row>
    <row r="370" spans="1:26" ht="15.75" customHeight="1">
      <c r="A370" s="486"/>
      <c r="B370" s="486"/>
      <c r="C370" s="486"/>
      <c r="D370" s="486"/>
      <c r="E370" s="486"/>
      <c r="F370" s="486"/>
      <c r="G370" s="486"/>
      <c r="H370" s="486"/>
      <c r="I370" s="486"/>
      <c r="J370" s="486"/>
      <c r="K370" s="486"/>
      <c r="L370" s="486"/>
      <c r="M370" s="486"/>
      <c r="N370" s="486"/>
      <c r="O370" s="486"/>
      <c r="P370" s="486"/>
      <c r="Q370" s="486"/>
      <c r="R370" s="486"/>
      <c r="S370" s="486"/>
      <c r="T370" s="486"/>
      <c r="U370" s="486"/>
      <c r="V370" s="486"/>
      <c r="W370" s="486"/>
      <c r="X370" s="486"/>
      <c r="Y370" s="486"/>
      <c r="Z370" s="486"/>
    </row>
    <row r="371" spans="1:26" ht="15.75" customHeight="1">
      <c r="A371" s="486"/>
      <c r="B371" s="486"/>
      <c r="C371" s="486"/>
      <c r="D371" s="486"/>
      <c r="E371" s="486"/>
      <c r="F371" s="486"/>
      <c r="G371" s="486"/>
      <c r="H371" s="486"/>
      <c r="I371" s="486"/>
      <c r="J371" s="486"/>
      <c r="K371" s="486"/>
      <c r="L371" s="486"/>
      <c r="M371" s="486"/>
      <c r="N371" s="486"/>
      <c r="O371" s="486"/>
      <c r="P371" s="486"/>
      <c r="Q371" s="486"/>
      <c r="R371" s="486"/>
      <c r="S371" s="486"/>
      <c r="T371" s="486"/>
      <c r="U371" s="486"/>
      <c r="V371" s="486"/>
      <c r="W371" s="486"/>
      <c r="X371" s="486"/>
      <c r="Y371" s="486"/>
      <c r="Z371" s="486"/>
    </row>
    <row r="372" spans="1:26" ht="15.75" customHeight="1">
      <c r="A372" s="486"/>
      <c r="B372" s="486"/>
      <c r="C372" s="486"/>
      <c r="D372" s="486"/>
      <c r="E372" s="486"/>
      <c r="F372" s="486"/>
      <c r="G372" s="486"/>
      <c r="H372" s="486"/>
      <c r="I372" s="486"/>
      <c r="J372" s="486"/>
      <c r="K372" s="486"/>
      <c r="L372" s="486"/>
      <c r="M372" s="486"/>
      <c r="N372" s="486"/>
      <c r="O372" s="486"/>
      <c r="P372" s="486"/>
      <c r="Q372" s="486"/>
      <c r="R372" s="486"/>
      <c r="S372" s="486"/>
      <c r="T372" s="486"/>
      <c r="U372" s="486"/>
      <c r="V372" s="486"/>
      <c r="W372" s="486"/>
      <c r="X372" s="486"/>
      <c r="Y372" s="486"/>
      <c r="Z372" s="486"/>
    </row>
    <row r="373" spans="1:26" ht="15.75" customHeight="1">
      <c r="A373" s="486"/>
      <c r="B373" s="486"/>
      <c r="C373" s="486"/>
      <c r="D373" s="486"/>
      <c r="E373" s="486"/>
      <c r="F373" s="486"/>
      <c r="G373" s="486"/>
      <c r="H373" s="486"/>
      <c r="I373" s="486"/>
      <c r="J373" s="486"/>
      <c r="K373" s="486"/>
      <c r="L373" s="486"/>
      <c r="M373" s="486"/>
      <c r="N373" s="486"/>
      <c r="O373" s="486"/>
      <c r="P373" s="486"/>
      <c r="Q373" s="486"/>
      <c r="R373" s="486"/>
      <c r="S373" s="486"/>
      <c r="T373" s="486"/>
      <c r="U373" s="486"/>
      <c r="V373" s="486"/>
      <c r="W373" s="486"/>
      <c r="X373" s="486"/>
      <c r="Y373" s="486"/>
      <c r="Z373" s="486"/>
    </row>
    <row r="374" spans="1:26" ht="15.75" customHeight="1">
      <c r="A374" s="486"/>
      <c r="B374" s="486"/>
      <c r="C374" s="486"/>
      <c r="D374" s="486"/>
      <c r="E374" s="486"/>
      <c r="F374" s="486"/>
      <c r="G374" s="486"/>
      <c r="H374" s="486"/>
      <c r="I374" s="486"/>
      <c r="J374" s="486"/>
      <c r="K374" s="486"/>
      <c r="L374" s="486"/>
      <c r="M374" s="486"/>
      <c r="N374" s="486"/>
      <c r="O374" s="486"/>
      <c r="P374" s="486"/>
      <c r="Q374" s="486"/>
      <c r="R374" s="486"/>
      <c r="S374" s="486"/>
      <c r="T374" s="486"/>
      <c r="U374" s="486"/>
      <c r="V374" s="486"/>
      <c r="W374" s="486"/>
      <c r="X374" s="486"/>
      <c r="Y374" s="486"/>
      <c r="Z374" s="486"/>
    </row>
    <row r="375" spans="1:26" ht="15.75" customHeight="1">
      <c r="A375" s="486"/>
      <c r="B375" s="486"/>
      <c r="C375" s="486"/>
      <c r="D375" s="486"/>
      <c r="E375" s="486"/>
      <c r="F375" s="486"/>
      <c r="G375" s="486"/>
      <c r="H375" s="486"/>
      <c r="I375" s="486"/>
      <c r="J375" s="486"/>
      <c r="K375" s="486"/>
      <c r="L375" s="486"/>
      <c r="M375" s="486"/>
      <c r="N375" s="486"/>
      <c r="O375" s="486"/>
      <c r="P375" s="486"/>
      <c r="Q375" s="486"/>
      <c r="R375" s="486"/>
      <c r="S375" s="486"/>
      <c r="T375" s="486"/>
      <c r="U375" s="486"/>
      <c r="V375" s="486"/>
      <c r="W375" s="486"/>
      <c r="X375" s="486"/>
      <c r="Y375" s="486"/>
      <c r="Z375" s="486"/>
    </row>
    <row r="376" spans="1:26" ht="15.75" customHeight="1">
      <c r="A376" s="486"/>
      <c r="B376" s="486"/>
      <c r="C376" s="486"/>
      <c r="D376" s="486"/>
      <c r="E376" s="486"/>
      <c r="F376" s="486"/>
      <c r="G376" s="486"/>
      <c r="H376" s="486"/>
      <c r="I376" s="486"/>
      <c r="J376" s="486"/>
      <c r="K376" s="486"/>
      <c r="L376" s="486"/>
      <c r="M376" s="486"/>
      <c r="N376" s="486"/>
      <c r="O376" s="486"/>
      <c r="P376" s="486"/>
      <c r="Q376" s="486"/>
      <c r="R376" s="486"/>
      <c r="S376" s="486"/>
      <c r="T376" s="486"/>
      <c r="U376" s="486"/>
      <c r="V376" s="486"/>
      <c r="W376" s="486"/>
      <c r="X376" s="486"/>
      <c r="Y376" s="486"/>
      <c r="Z376" s="486"/>
    </row>
    <row r="377" spans="1:26" ht="15.75" customHeight="1">
      <c r="A377" s="486"/>
      <c r="B377" s="486"/>
      <c r="C377" s="486"/>
      <c r="D377" s="486"/>
      <c r="E377" s="486"/>
      <c r="F377" s="486"/>
      <c r="G377" s="486"/>
      <c r="H377" s="486"/>
      <c r="I377" s="486"/>
      <c r="J377" s="486"/>
      <c r="K377" s="486"/>
      <c r="L377" s="486"/>
      <c r="M377" s="486"/>
      <c r="N377" s="486"/>
      <c r="O377" s="486"/>
      <c r="P377" s="486"/>
      <c r="Q377" s="486"/>
      <c r="R377" s="486"/>
      <c r="S377" s="486"/>
      <c r="T377" s="486"/>
      <c r="U377" s="486"/>
      <c r="V377" s="486"/>
      <c r="W377" s="486"/>
      <c r="X377" s="486"/>
      <c r="Y377" s="486"/>
      <c r="Z377" s="486"/>
    </row>
    <row r="378" spans="1:26" ht="15.75" customHeight="1">
      <c r="A378" s="486"/>
      <c r="B378" s="486"/>
      <c r="C378" s="486"/>
      <c r="D378" s="486"/>
      <c r="E378" s="486"/>
      <c r="F378" s="486"/>
      <c r="G378" s="486"/>
      <c r="H378" s="486"/>
      <c r="I378" s="486"/>
      <c r="J378" s="486"/>
      <c r="K378" s="486"/>
      <c r="L378" s="486"/>
      <c r="M378" s="486"/>
      <c r="N378" s="486"/>
      <c r="O378" s="486"/>
      <c r="P378" s="486"/>
      <c r="Q378" s="486"/>
      <c r="R378" s="486"/>
      <c r="S378" s="486"/>
      <c r="T378" s="486"/>
      <c r="U378" s="486"/>
      <c r="V378" s="486"/>
      <c r="W378" s="486"/>
      <c r="X378" s="486"/>
      <c r="Y378" s="486"/>
      <c r="Z378" s="486"/>
    </row>
    <row r="379" spans="1:26" ht="15.75" customHeight="1">
      <c r="A379" s="486"/>
      <c r="B379" s="486"/>
      <c r="C379" s="486"/>
      <c r="D379" s="486"/>
      <c r="E379" s="486"/>
      <c r="F379" s="486"/>
      <c r="G379" s="486"/>
      <c r="H379" s="486"/>
      <c r="I379" s="486"/>
      <c r="J379" s="486"/>
      <c r="K379" s="486"/>
      <c r="L379" s="486"/>
      <c r="M379" s="486"/>
      <c r="N379" s="486"/>
      <c r="O379" s="486"/>
      <c r="P379" s="486"/>
      <c r="Q379" s="486"/>
      <c r="R379" s="486"/>
      <c r="S379" s="486"/>
      <c r="T379" s="486"/>
      <c r="U379" s="486"/>
      <c r="V379" s="486"/>
      <c r="W379" s="486"/>
      <c r="X379" s="486"/>
      <c r="Y379" s="486"/>
      <c r="Z379" s="486"/>
    </row>
    <row r="380" spans="1:26" ht="15.75" customHeight="1">
      <c r="A380" s="486"/>
      <c r="B380" s="486"/>
      <c r="C380" s="486"/>
      <c r="D380" s="486"/>
      <c r="E380" s="486"/>
      <c r="F380" s="486"/>
      <c r="G380" s="486"/>
      <c r="H380" s="486"/>
      <c r="I380" s="486"/>
      <c r="J380" s="486"/>
      <c r="K380" s="486"/>
      <c r="L380" s="486"/>
      <c r="M380" s="486"/>
      <c r="N380" s="486"/>
      <c r="O380" s="486"/>
      <c r="P380" s="486"/>
      <c r="Q380" s="486"/>
      <c r="R380" s="486"/>
      <c r="S380" s="486"/>
      <c r="T380" s="486"/>
      <c r="U380" s="486"/>
      <c r="V380" s="486"/>
      <c r="W380" s="486"/>
      <c r="X380" s="486"/>
      <c r="Y380" s="486"/>
      <c r="Z380" s="486"/>
    </row>
    <row r="381" spans="1:26" ht="15.75" customHeight="1">
      <c r="A381" s="486"/>
      <c r="B381" s="486"/>
      <c r="C381" s="486"/>
      <c r="D381" s="486"/>
      <c r="E381" s="486"/>
      <c r="F381" s="486"/>
      <c r="G381" s="486"/>
      <c r="H381" s="486"/>
      <c r="I381" s="486"/>
      <c r="J381" s="486"/>
      <c r="K381" s="486"/>
      <c r="L381" s="486"/>
      <c r="M381" s="486"/>
      <c r="N381" s="486"/>
      <c r="O381" s="486"/>
      <c r="P381" s="486"/>
      <c r="Q381" s="486"/>
      <c r="R381" s="486"/>
      <c r="S381" s="486"/>
      <c r="T381" s="486"/>
      <c r="U381" s="486"/>
      <c r="V381" s="486"/>
      <c r="W381" s="486"/>
      <c r="X381" s="486"/>
      <c r="Y381" s="486"/>
      <c r="Z381" s="486"/>
    </row>
    <row r="382" spans="1:26" ht="15.75" customHeight="1">
      <c r="A382" s="486"/>
      <c r="B382" s="486"/>
      <c r="C382" s="486"/>
      <c r="D382" s="486"/>
      <c r="E382" s="486"/>
      <c r="F382" s="486"/>
      <c r="G382" s="486"/>
      <c r="H382" s="486"/>
      <c r="I382" s="486"/>
      <c r="J382" s="486"/>
      <c r="K382" s="486"/>
      <c r="L382" s="486"/>
      <c r="M382" s="486"/>
      <c r="N382" s="486"/>
      <c r="O382" s="486"/>
      <c r="P382" s="486"/>
      <c r="Q382" s="486"/>
      <c r="R382" s="486"/>
      <c r="S382" s="486"/>
      <c r="T382" s="486"/>
      <c r="U382" s="486"/>
      <c r="V382" s="486"/>
      <c r="W382" s="486"/>
      <c r="X382" s="486"/>
      <c r="Y382" s="486"/>
      <c r="Z382" s="486"/>
    </row>
    <row r="383" spans="1:26" ht="15.75" customHeight="1">
      <c r="A383" s="486"/>
      <c r="B383" s="486"/>
      <c r="C383" s="486"/>
      <c r="D383" s="486"/>
      <c r="E383" s="486"/>
      <c r="F383" s="486"/>
      <c r="G383" s="486"/>
      <c r="H383" s="486"/>
      <c r="I383" s="486"/>
      <c r="J383" s="486"/>
      <c r="K383" s="486"/>
      <c r="L383" s="486"/>
      <c r="M383" s="486"/>
      <c r="N383" s="486"/>
      <c r="O383" s="486"/>
      <c r="P383" s="486"/>
      <c r="Q383" s="486"/>
      <c r="R383" s="486"/>
      <c r="S383" s="486"/>
      <c r="T383" s="486"/>
      <c r="U383" s="486"/>
      <c r="V383" s="486"/>
      <c r="W383" s="486"/>
      <c r="X383" s="486"/>
      <c r="Y383" s="486"/>
      <c r="Z383" s="486"/>
    </row>
    <row r="384" spans="1:26" ht="15.75" customHeight="1">
      <c r="A384" s="486"/>
      <c r="B384" s="486"/>
      <c r="C384" s="486"/>
      <c r="D384" s="486"/>
      <c r="E384" s="486"/>
      <c r="F384" s="486"/>
      <c r="G384" s="486"/>
      <c r="H384" s="486"/>
      <c r="I384" s="486"/>
      <c r="J384" s="486"/>
      <c r="K384" s="486"/>
      <c r="L384" s="486"/>
      <c r="M384" s="486"/>
      <c r="N384" s="486"/>
      <c r="O384" s="486"/>
      <c r="P384" s="486"/>
      <c r="Q384" s="486"/>
      <c r="R384" s="486"/>
      <c r="S384" s="486"/>
      <c r="T384" s="486"/>
      <c r="U384" s="486"/>
      <c r="V384" s="486"/>
      <c r="W384" s="486"/>
      <c r="X384" s="486"/>
      <c r="Y384" s="486"/>
      <c r="Z384" s="486"/>
    </row>
    <row r="385" spans="1:26" ht="15.75" customHeight="1">
      <c r="A385" s="486"/>
      <c r="B385" s="486"/>
      <c r="C385" s="486"/>
      <c r="D385" s="486"/>
      <c r="E385" s="486"/>
      <c r="F385" s="486"/>
      <c r="G385" s="486"/>
      <c r="H385" s="486"/>
      <c r="I385" s="486"/>
      <c r="J385" s="486"/>
      <c r="K385" s="486"/>
      <c r="L385" s="486"/>
      <c r="M385" s="486"/>
      <c r="N385" s="486"/>
      <c r="O385" s="486"/>
      <c r="P385" s="486"/>
      <c r="Q385" s="486"/>
      <c r="R385" s="486"/>
      <c r="S385" s="486"/>
      <c r="T385" s="486"/>
      <c r="U385" s="486"/>
      <c r="V385" s="486"/>
      <c r="W385" s="486"/>
      <c r="X385" s="486"/>
      <c r="Y385" s="486"/>
      <c r="Z385" s="486"/>
    </row>
    <row r="386" spans="1:26" ht="15.75" customHeight="1">
      <c r="A386" s="486"/>
      <c r="B386" s="486"/>
      <c r="C386" s="486"/>
      <c r="D386" s="486"/>
      <c r="E386" s="486"/>
      <c r="F386" s="486"/>
      <c r="G386" s="486"/>
      <c r="H386" s="486"/>
      <c r="I386" s="486"/>
      <c r="J386" s="486"/>
      <c r="K386" s="486"/>
      <c r="L386" s="486"/>
      <c r="M386" s="486"/>
      <c r="N386" s="486"/>
      <c r="O386" s="486"/>
      <c r="P386" s="486"/>
      <c r="Q386" s="486"/>
      <c r="R386" s="486"/>
      <c r="S386" s="486"/>
      <c r="T386" s="486"/>
      <c r="U386" s="486"/>
      <c r="V386" s="486"/>
      <c r="W386" s="486"/>
      <c r="X386" s="486"/>
      <c r="Y386" s="486"/>
      <c r="Z386" s="486"/>
    </row>
    <row r="387" spans="1:26" ht="15.75" customHeight="1">
      <c r="A387" s="486"/>
      <c r="B387" s="486"/>
      <c r="C387" s="486"/>
      <c r="D387" s="486"/>
      <c r="E387" s="486"/>
      <c r="F387" s="486"/>
      <c r="G387" s="486"/>
      <c r="H387" s="486"/>
      <c r="I387" s="486"/>
      <c r="J387" s="486"/>
      <c r="K387" s="486"/>
      <c r="L387" s="486"/>
      <c r="M387" s="486"/>
      <c r="N387" s="486"/>
      <c r="O387" s="486"/>
      <c r="P387" s="486"/>
      <c r="Q387" s="486"/>
      <c r="R387" s="486"/>
      <c r="S387" s="486"/>
      <c r="T387" s="486"/>
      <c r="U387" s="486"/>
      <c r="V387" s="486"/>
      <c r="W387" s="486"/>
      <c r="X387" s="486"/>
      <c r="Y387" s="486"/>
      <c r="Z387" s="486"/>
    </row>
    <row r="388" spans="1:26" ht="15.75" customHeight="1">
      <c r="A388" s="486"/>
      <c r="B388" s="486"/>
      <c r="C388" s="486"/>
      <c r="D388" s="486"/>
      <c r="E388" s="486"/>
      <c r="F388" s="486"/>
      <c r="G388" s="486"/>
      <c r="H388" s="486"/>
      <c r="I388" s="486"/>
      <c r="J388" s="486"/>
      <c r="K388" s="486"/>
      <c r="L388" s="486"/>
      <c r="M388" s="486"/>
      <c r="N388" s="486"/>
      <c r="O388" s="486"/>
      <c r="P388" s="486"/>
      <c r="Q388" s="486"/>
      <c r="R388" s="486"/>
      <c r="S388" s="486"/>
      <c r="T388" s="486"/>
      <c r="U388" s="486"/>
      <c r="V388" s="486"/>
      <c r="W388" s="486"/>
      <c r="X388" s="486"/>
      <c r="Y388" s="486"/>
      <c r="Z388" s="486"/>
    </row>
    <row r="389" spans="1:26" ht="15.75" customHeight="1">
      <c r="A389" s="486"/>
      <c r="B389" s="486"/>
      <c r="C389" s="486"/>
      <c r="D389" s="486"/>
      <c r="E389" s="486"/>
      <c r="F389" s="486"/>
      <c r="G389" s="486"/>
      <c r="H389" s="486"/>
      <c r="I389" s="486"/>
      <c r="J389" s="486"/>
      <c r="K389" s="486"/>
      <c r="L389" s="486"/>
      <c r="M389" s="486"/>
      <c r="N389" s="486"/>
      <c r="O389" s="486"/>
      <c r="P389" s="486"/>
      <c r="Q389" s="486"/>
      <c r="R389" s="486"/>
      <c r="S389" s="486"/>
      <c r="T389" s="486"/>
      <c r="U389" s="486"/>
      <c r="V389" s="486"/>
      <c r="W389" s="486"/>
      <c r="X389" s="486"/>
      <c r="Y389" s="486"/>
      <c r="Z389" s="486"/>
    </row>
    <row r="390" spans="1:26" ht="15.75" customHeight="1">
      <c r="A390" s="486"/>
      <c r="B390" s="486"/>
      <c r="C390" s="486"/>
      <c r="D390" s="486"/>
      <c r="E390" s="486"/>
      <c r="F390" s="486"/>
      <c r="G390" s="486"/>
      <c r="H390" s="486"/>
      <c r="I390" s="486"/>
      <c r="J390" s="486"/>
      <c r="K390" s="486"/>
      <c r="L390" s="486"/>
      <c r="M390" s="486"/>
      <c r="N390" s="486"/>
      <c r="O390" s="486"/>
      <c r="P390" s="486"/>
      <c r="Q390" s="486"/>
      <c r="R390" s="486"/>
      <c r="S390" s="486"/>
      <c r="T390" s="486"/>
      <c r="U390" s="486"/>
      <c r="V390" s="486"/>
      <c r="W390" s="486"/>
      <c r="X390" s="486"/>
      <c r="Y390" s="486"/>
      <c r="Z390" s="486"/>
    </row>
    <row r="391" spans="1:26" ht="15.75" customHeight="1">
      <c r="A391" s="486"/>
      <c r="B391" s="486"/>
      <c r="C391" s="486"/>
      <c r="D391" s="486"/>
      <c r="E391" s="486"/>
      <c r="F391" s="486"/>
      <c r="G391" s="486"/>
      <c r="H391" s="486"/>
      <c r="I391" s="486"/>
      <c r="J391" s="486"/>
      <c r="K391" s="486"/>
      <c r="L391" s="486"/>
      <c r="M391" s="486"/>
      <c r="N391" s="486"/>
      <c r="O391" s="486"/>
      <c r="P391" s="486"/>
      <c r="Q391" s="486"/>
      <c r="R391" s="486"/>
      <c r="S391" s="486"/>
      <c r="T391" s="486"/>
      <c r="U391" s="486"/>
      <c r="V391" s="486"/>
      <c r="W391" s="486"/>
      <c r="X391" s="486"/>
      <c r="Y391" s="486"/>
      <c r="Z391" s="486"/>
    </row>
    <row r="392" spans="1:26" ht="15.75" customHeight="1">
      <c r="A392" s="486"/>
      <c r="B392" s="486"/>
      <c r="C392" s="486"/>
      <c r="D392" s="486"/>
      <c r="E392" s="486"/>
      <c r="F392" s="486"/>
      <c r="G392" s="486"/>
      <c r="H392" s="486"/>
      <c r="I392" s="486"/>
      <c r="J392" s="486"/>
      <c r="K392" s="486"/>
      <c r="L392" s="486"/>
      <c r="M392" s="486"/>
      <c r="N392" s="486"/>
      <c r="O392" s="486"/>
      <c r="P392" s="486"/>
      <c r="Q392" s="486"/>
      <c r="R392" s="486"/>
      <c r="S392" s="486"/>
      <c r="T392" s="486"/>
      <c r="U392" s="486"/>
      <c r="V392" s="486"/>
      <c r="W392" s="486"/>
      <c r="X392" s="486"/>
      <c r="Y392" s="486"/>
      <c r="Z392" s="486"/>
    </row>
    <row r="393" spans="1:26" ht="15.75" customHeight="1">
      <c r="A393" s="486"/>
      <c r="B393" s="486"/>
      <c r="C393" s="486"/>
      <c r="D393" s="486"/>
      <c r="E393" s="486"/>
      <c r="F393" s="486"/>
      <c r="G393" s="486"/>
      <c r="H393" s="486"/>
      <c r="I393" s="486"/>
      <c r="J393" s="486"/>
      <c r="K393" s="486"/>
      <c r="L393" s="486"/>
      <c r="M393" s="486"/>
      <c r="N393" s="486"/>
      <c r="O393" s="486"/>
      <c r="P393" s="486"/>
      <c r="Q393" s="486"/>
      <c r="R393" s="486"/>
      <c r="S393" s="486"/>
      <c r="T393" s="486"/>
      <c r="U393" s="486"/>
      <c r="V393" s="486"/>
      <c r="W393" s="486"/>
      <c r="X393" s="486"/>
      <c r="Y393" s="486"/>
      <c r="Z393" s="486"/>
    </row>
    <row r="394" spans="1:26" ht="15.75" customHeight="1">
      <c r="A394" s="486"/>
      <c r="B394" s="486"/>
      <c r="C394" s="486"/>
      <c r="D394" s="486"/>
      <c r="E394" s="486"/>
      <c r="F394" s="486"/>
      <c r="G394" s="486"/>
      <c r="H394" s="486"/>
      <c r="I394" s="486"/>
      <c r="J394" s="486"/>
      <c r="K394" s="486"/>
      <c r="L394" s="486"/>
      <c r="M394" s="486"/>
      <c r="N394" s="486"/>
      <c r="O394" s="486"/>
      <c r="P394" s="486"/>
      <c r="Q394" s="486"/>
      <c r="R394" s="486"/>
      <c r="S394" s="486"/>
      <c r="T394" s="486"/>
      <c r="U394" s="486"/>
      <c r="V394" s="486"/>
      <c r="W394" s="486"/>
      <c r="X394" s="486"/>
      <c r="Y394" s="486"/>
      <c r="Z394" s="486"/>
    </row>
    <row r="395" spans="1:26" ht="15.75" customHeight="1">
      <c r="A395" s="486"/>
      <c r="B395" s="486"/>
      <c r="C395" s="486"/>
      <c r="D395" s="486"/>
      <c r="E395" s="486"/>
      <c r="F395" s="486"/>
      <c r="G395" s="486"/>
      <c r="H395" s="486"/>
      <c r="I395" s="486"/>
      <c r="J395" s="486"/>
      <c r="K395" s="486"/>
      <c r="L395" s="486"/>
      <c r="M395" s="486"/>
      <c r="N395" s="486"/>
      <c r="O395" s="486"/>
      <c r="P395" s="486"/>
      <c r="Q395" s="486"/>
      <c r="R395" s="486"/>
      <c r="S395" s="486"/>
      <c r="T395" s="486"/>
      <c r="U395" s="486"/>
      <c r="V395" s="486"/>
      <c r="W395" s="486"/>
      <c r="X395" s="486"/>
      <c r="Y395" s="486"/>
      <c r="Z395" s="486"/>
    </row>
    <row r="396" spans="1:26" ht="15.75" customHeight="1">
      <c r="A396" s="486"/>
      <c r="B396" s="486"/>
      <c r="C396" s="486"/>
      <c r="D396" s="486"/>
      <c r="E396" s="486"/>
      <c r="F396" s="486"/>
      <c r="G396" s="486"/>
      <c r="H396" s="486"/>
      <c r="I396" s="486"/>
      <c r="J396" s="486"/>
      <c r="K396" s="486"/>
      <c r="L396" s="486"/>
      <c r="M396" s="486"/>
      <c r="N396" s="486"/>
      <c r="O396" s="486"/>
      <c r="P396" s="486"/>
      <c r="Q396" s="486"/>
      <c r="R396" s="486"/>
      <c r="S396" s="486"/>
      <c r="T396" s="486"/>
      <c r="U396" s="486"/>
      <c r="V396" s="486"/>
      <c r="W396" s="486"/>
      <c r="X396" s="486"/>
      <c r="Y396" s="486"/>
      <c r="Z396" s="486"/>
    </row>
    <row r="397" spans="1:26" ht="15.75" customHeight="1">
      <c r="A397" s="486"/>
      <c r="B397" s="486"/>
      <c r="C397" s="486"/>
      <c r="D397" s="486"/>
      <c r="E397" s="486"/>
      <c r="F397" s="486"/>
      <c r="G397" s="486"/>
      <c r="H397" s="486"/>
      <c r="I397" s="486"/>
      <c r="J397" s="486"/>
      <c r="K397" s="486"/>
      <c r="L397" s="486"/>
      <c r="M397" s="486"/>
      <c r="N397" s="486"/>
      <c r="O397" s="486"/>
      <c r="P397" s="486"/>
      <c r="Q397" s="486"/>
      <c r="R397" s="486"/>
      <c r="S397" s="486"/>
      <c r="T397" s="486"/>
      <c r="U397" s="486"/>
      <c r="V397" s="486"/>
      <c r="W397" s="486"/>
      <c r="X397" s="486"/>
      <c r="Y397" s="486"/>
      <c r="Z397" s="486"/>
    </row>
    <row r="398" spans="1:26" ht="15.75" customHeight="1">
      <c r="A398" s="486"/>
      <c r="B398" s="486"/>
      <c r="C398" s="486"/>
      <c r="D398" s="486"/>
      <c r="E398" s="486"/>
      <c r="F398" s="486"/>
      <c r="G398" s="486"/>
      <c r="H398" s="486"/>
      <c r="I398" s="486"/>
      <c r="J398" s="486"/>
      <c r="K398" s="486"/>
      <c r="L398" s="486"/>
      <c r="M398" s="486"/>
      <c r="N398" s="486"/>
      <c r="O398" s="486"/>
      <c r="P398" s="486"/>
      <c r="Q398" s="486"/>
      <c r="R398" s="486"/>
      <c r="S398" s="486"/>
      <c r="T398" s="486"/>
      <c r="U398" s="486"/>
      <c r="V398" s="486"/>
      <c r="W398" s="486"/>
      <c r="X398" s="486"/>
      <c r="Y398" s="486"/>
      <c r="Z398" s="486"/>
    </row>
    <row r="399" spans="1:26" ht="15.75" customHeight="1">
      <c r="A399" s="486"/>
      <c r="B399" s="486"/>
      <c r="C399" s="486"/>
      <c r="D399" s="486"/>
      <c r="E399" s="486"/>
      <c r="F399" s="486"/>
      <c r="G399" s="486"/>
      <c r="H399" s="486"/>
      <c r="I399" s="486"/>
      <c r="J399" s="486"/>
      <c r="K399" s="486"/>
      <c r="L399" s="486"/>
      <c r="M399" s="486"/>
      <c r="N399" s="486"/>
      <c r="O399" s="486"/>
      <c r="P399" s="486"/>
      <c r="Q399" s="486"/>
      <c r="R399" s="486"/>
      <c r="S399" s="486"/>
      <c r="T399" s="486"/>
      <c r="U399" s="486"/>
      <c r="V399" s="486"/>
      <c r="W399" s="486"/>
      <c r="X399" s="486"/>
      <c r="Y399" s="486"/>
      <c r="Z399" s="486"/>
    </row>
    <row r="400" spans="1:26" ht="15.75" customHeight="1">
      <c r="A400" s="486"/>
      <c r="B400" s="486"/>
      <c r="C400" s="486"/>
      <c r="D400" s="486"/>
      <c r="E400" s="486"/>
      <c r="F400" s="486"/>
      <c r="G400" s="486"/>
      <c r="H400" s="486"/>
      <c r="I400" s="486"/>
      <c r="J400" s="486"/>
      <c r="K400" s="486"/>
      <c r="L400" s="486"/>
      <c r="M400" s="486"/>
      <c r="N400" s="486"/>
      <c r="O400" s="486"/>
      <c r="P400" s="486"/>
      <c r="Q400" s="486"/>
      <c r="R400" s="486"/>
      <c r="S400" s="486"/>
      <c r="T400" s="486"/>
      <c r="U400" s="486"/>
      <c r="V400" s="486"/>
      <c r="W400" s="486"/>
      <c r="X400" s="486"/>
      <c r="Y400" s="486"/>
      <c r="Z400" s="486"/>
    </row>
    <row r="401" spans="1:26" ht="15.75" customHeight="1">
      <c r="A401" s="486"/>
      <c r="B401" s="486"/>
      <c r="C401" s="486"/>
      <c r="D401" s="486"/>
      <c r="E401" s="486"/>
      <c r="F401" s="486"/>
      <c r="G401" s="486"/>
      <c r="H401" s="486"/>
      <c r="I401" s="486"/>
      <c r="J401" s="486"/>
      <c r="K401" s="486"/>
      <c r="L401" s="486"/>
      <c r="M401" s="486"/>
      <c r="N401" s="486"/>
      <c r="O401" s="486"/>
      <c r="P401" s="486"/>
      <c r="Q401" s="486"/>
      <c r="R401" s="486"/>
      <c r="S401" s="486"/>
      <c r="T401" s="486"/>
      <c r="U401" s="486"/>
      <c r="V401" s="486"/>
      <c r="W401" s="486"/>
      <c r="X401" s="486"/>
      <c r="Y401" s="486"/>
      <c r="Z401" s="486"/>
    </row>
    <row r="402" spans="1:26" ht="15.75" customHeight="1">
      <c r="A402" s="486"/>
      <c r="B402" s="486"/>
      <c r="C402" s="486"/>
      <c r="D402" s="486"/>
      <c r="E402" s="486"/>
      <c r="F402" s="486"/>
      <c r="G402" s="486"/>
      <c r="H402" s="486"/>
      <c r="I402" s="486"/>
      <c r="J402" s="486"/>
      <c r="K402" s="486"/>
      <c r="L402" s="486"/>
      <c r="M402" s="486"/>
      <c r="N402" s="486"/>
      <c r="O402" s="486"/>
      <c r="P402" s="486"/>
      <c r="Q402" s="486"/>
      <c r="R402" s="486"/>
      <c r="S402" s="486"/>
      <c r="T402" s="486"/>
      <c r="U402" s="486"/>
      <c r="V402" s="486"/>
      <c r="W402" s="486"/>
      <c r="X402" s="486"/>
      <c r="Y402" s="486"/>
      <c r="Z402" s="486"/>
    </row>
    <row r="403" spans="1:26" ht="15.75" customHeight="1">
      <c r="A403" s="486"/>
      <c r="B403" s="486"/>
      <c r="C403" s="486"/>
      <c r="D403" s="486"/>
      <c r="E403" s="486"/>
      <c r="F403" s="486"/>
      <c r="G403" s="486"/>
      <c r="H403" s="486"/>
      <c r="I403" s="486"/>
      <c r="J403" s="486"/>
      <c r="K403" s="486"/>
      <c r="L403" s="486"/>
      <c r="M403" s="486"/>
      <c r="N403" s="486"/>
      <c r="O403" s="486"/>
      <c r="P403" s="486"/>
      <c r="Q403" s="486"/>
      <c r="R403" s="486"/>
      <c r="S403" s="486"/>
      <c r="T403" s="486"/>
      <c r="U403" s="486"/>
      <c r="V403" s="486"/>
      <c r="W403" s="486"/>
      <c r="X403" s="486"/>
      <c r="Y403" s="486"/>
      <c r="Z403" s="486"/>
    </row>
    <row r="404" spans="1:26" ht="15.75" customHeight="1">
      <c r="A404" s="486"/>
      <c r="B404" s="486"/>
      <c r="C404" s="486"/>
      <c r="D404" s="486"/>
      <c r="E404" s="486"/>
      <c r="F404" s="486"/>
      <c r="G404" s="486"/>
      <c r="H404" s="486"/>
      <c r="I404" s="486"/>
      <c r="J404" s="486"/>
      <c r="K404" s="486"/>
      <c r="L404" s="486"/>
      <c r="M404" s="486"/>
      <c r="N404" s="486"/>
      <c r="O404" s="486"/>
      <c r="P404" s="486"/>
      <c r="Q404" s="486"/>
      <c r="R404" s="486"/>
      <c r="S404" s="486"/>
      <c r="T404" s="486"/>
      <c r="U404" s="486"/>
      <c r="V404" s="486"/>
      <c r="W404" s="486"/>
      <c r="X404" s="486"/>
      <c r="Y404" s="486"/>
      <c r="Z404" s="486"/>
    </row>
    <row r="405" spans="1:26" ht="15.75" customHeight="1">
      <c r="A405" s="486"/>
      <c r="B405" s="486"/>
      <c r="C405" s="486"/>
      <c r="D405" s="486"/>
      <c r="E405" s="486"/>
      <c r="F405" s="486"/>
      <c r="G405" s="486"/>
      <c r="H405" s="486"/>
      <c r="I405" s="486"/>
      <c r="J405" s="486"/>
      <c r="K405" s="486"/>
      <c r="L405" s="486"/>
      <c r="M405" s="486"/>
      <c r="N405" s="486"/>
      <c r="O405" s="486"/>
      <c r="P405" s="486"/>
      <c r="Q405" s="486"/>
      <c r="R405" s="486"/>
      <c r="S405" s="486"/>
      <c r="T405" s="486"/>
      <c r="U405" s="486"/>
      <c r="V405" s="486"/>
      <c r="W405" s="486"/>
      <c r="X405" s="486"/>
      <c r="Y405" s="486"/>
      <c r="Z405" s="486"/>
    </row>
    <row r="406" spans="1:26" ht="15.75" customHeight="1">
      <c r="A406" s="486"/>
      <c r="B406" s="486"/>
      <c r="C406" s="486"/>
      <c r="D406" s="486"/>
      <c r="E406" s="486"/>
      <c r="F406" s="486"/>
      <c r="G406" s="486"/>
      <c r="H406" s="486"/>
      <c r="I406" s="486"/>
      <c r="J406" s="486"/>
      <c r="K406" s="486"/>
      <c r="L406" s="486"/>
      <c r="M406" s="486"/>
      <c r="N406" s="486"/>
      <c r="O406" s="486"/>
      <c r="P406" s="486"/>
      <c r="Q406" s="486"/>
      <c r="R406" s="486"/>
      <c r="S406" s="486"/>
      <c r="T406" s="486"/>
      <c r="U406" s="486"/>
      <c r="V406" s="486"/>
      <c r="W406" s="486"/>
      <c r="X406" s="486"/>
      <c r="Y406" s="486"/>
      <c r="Z406" s="486"/>
    </row>
    <row r="407" spans="1:26" ht="15.75" customHeight="1">
      <c r="A407" s="486"/>
      <c r="B407" s="486"/>
      <c r="C407" s="486"/>
      <c r="D407" s="486"/>
      <c r="E407" s="486"/>
      <c r="F407" s="486"/>
      <c r="G407" s="486"/>
      <c r="H407" s="486"/>
      <c r="I407" s="486"/>
      <c r="J407" s="486"/>
      <c r="K407" s="486"/>
      <c r="L407" s="486"/>
      <c r="M407" s="486"/>
      <c r="N407" s="486"/>
      <c r="O407" s="486"/>
      <c r="P407" s="486"/>
      <c r="Q407" s="486"/>
      <c r="R407" s="486"/>
      <c r="S407" s="486"/>
      <c r="T407" s="486"/>
      <c r="U407" s="486"/>
      <c r="V407" s="486"/>
      <c r="W407" s="486"/>
      <c r="X407" s="486"/>
      <c r="Y407" s="486"/>
      <c r="Z407" s="486"/>
    </row>
    <row r="408" spans="1:26" ht="15.75" customHeight="1">
      <c r="A408" s="486"/>
      <c r="B408" s="486"/>
      <c r="C408" s="486"/>
      <c r="D408" s="486"/>
      <c r="E408" s="486"/>
      <c r="F408" s="486"/>
      <c r="G408" s="486"/>
      <c r="H408" s="486"/>
      <c r="I408" s="486"/>
      <c r="J408" s="486"/>
      <c r="K408" s="486"/>
      <c r="L408" s="486"/>
      <c r="M408" s="486"/>
      <c r="N408" s="486"/>
      <c r="O408" s="486"/>
      <c r="P408" s="486"/>
      <c r="Q408" s="486"/>
      <c r="R408" s="486"/>
      <c r="S408" s="486"/>
      <c r="T408" s="486"/>
      <c r="U408" s="486"/>
      <c r="V408" s="486"/>
      <c r="W408" s="486"/>
      <c r="X408" s="486"/>
      <c r="Y408" s="486"/>
      <c r="Z408" s="486"/>
    </row>
    <row r="409" spans="1:26" ht="15.75" customHeight="1">
      <c r="A409" s="486"/>
      <c r="B409" s="486"/>
      <c r="C409" s="486"/>
      <c r="D409" s="486"/>
      <c r="E409" s="486"/>
      <c r="F409" s="486"/>
      <c r="G409" s="486"/>
      <c r="H409" s="486"/>
      <c r="I409" s="486"/>
      <c r="J409" s="486"/>
      <c r="K409" s="486"/>
      <c r="L409" s="486"/>
      <c r="M409" s="486"/>
      <c r="N409" s="486"/>
      <c r="O409" s="486"/>
      <c r="P409" s="486"/>
      <c r="Q409" s="486"/>
      <c r="R409" s="486"/>
      <c r="S409" s="486"/>
      <c r="T409" s="486"/>
      <c r="U409" s="486"/>
      <c r="V409" s="486"/>
      <c r="W409" s="486"/>
      <c r="X409" s="486"/>
      <c r="Y409" s="486"/>
      <c r="Z409" s="486"/>
    </row>
    <row r="410" spans="1:26" ht="15.75" customHeight="1">
      <c r="A410" s="486"/>
      <c r="B410" s="486"/>
      <c r="C410" s="486"/>
      <c r="D410" s="486"/>
      <c r="E410" s="486"/>
      <c r="F410" s="486"/>
      <c r="G410" s="486"/>
      <c r="H410" s="486"/>
      <c r="I410" s="486"/>
      <c r="J410" s="486"/>
      <c r="K410" s="486"/>
      <c r="L410" s="486"/>
      <c r="M410" s="486"/>
      <c r="N410" s="486"/>
      <c r="O410" s="486"/>
      <c r="P410" s="486"/>
      <c r="Q410" s="486"/>
      <c r="R410" s="486"/>
      <c r="S410" s="486"/>
      <c r="T410" s="486"/>
      <c r="U410" s="486"/>
      <c r="V410" s="486"/>
      <c r="W410" s="486"/>
      <c r="X410" s="486"/>
      <c r="Y410" s="486"/>
      <c r="Z410" s="486"/>
    </row>
    <row r="411" spans="1:26" ht="15.75" customHeight="1">
      <c r="A411" s="486"/>
      <c r="B411" s="486"/>
      <c r="C411" s="486"/>
      <c r="D411" s="486"/>
      <c r="E411" s="486"/>
      <c r="F411" s="486"/>
      <c r="G411" s="486"/>
      <c r="H411" s="486"/>
      <c r="I411" s="486"/>
      <c r="J411" s="486"/>
      <c r="K411" s="486"/>
      <c r="L411" s="486"/>
      <c r="M411" s="486"/>
      <c r="N411" s="486"/>
      <c r="O411" s="486"/>
      <c r="P411" s="486"/>
      <c r="Q411" s="486"/>
      <c r="R411" s="486"/>
      <c r="S411" s="486"/>
      <c r="T411" s="486"/>
      <c r="U411" s="486"/>
      <c r="V411" s="486"/>
      <c r="W411" s="486"/>
      <c r="X411" s="486"/>
      <c r="Y411" s="486"/>
      <c r="Z411" s="486"/>
    </row>
    <row r="412" spans="1:26" ht="15.75" customHeight="1">
      <c r="A412" s="486"/>
      <c r="B412" s="486"/>
      <c r="C412" s="486"/>
      <c r="D412" s="486"/>
      <c r="E412" s="486"/>
      <c r="F412" s="486"/>
      <c r="G412" s="486"/>
      <c r="H412" s="486"/>
      <c r="I412" s="486"/>
      <c r="J412" s="486"/>
      <c r="K412" s="486"/>
      <c r="L412" s="486"/>
      <c r="M412" s="486"/>
      <c r="N412" s="486"/>
      <c r="O412" s="486"/>
      <c r="P412" s="486"/>
      <c r="Q412" s="486"/>
      <c r="R412" s="486"/>
      <c r="S412" s="486"/>
      <c r="T412" s="486"/>
      <c r="U412" s="486"/>
      <c r="V412" s="486"/>
      <c r="W412" s="486"/>
      <c r="X412" s="486"/>
      <c r="Y412" s="486"/>
      <c r="Z412" s="486"/>
    </row>
    <row r="413" spans="1:26" ht="15.75" customHeight="1">
      <c r="A413" s="486"/>
      <c r="B413" s="486"/>
      <c r="C413" s="486"/>
      <c r="D413" s="486"/>
      <c r="E413" s="486"/>
      <c r="F413" s="486"/>
      <c r="G413" s="486"/>
      <c r="H413" s="486"/>
      <c r="I413" s="486"/>
      <c r="J413" s="486"/>
      <c r="K413" s="486"/>
      <c r="L413" s="486"/>
      <c r="M413" s="486"/>
      <c r="N413" s="486"/>
      <c r="O413" s="486"/>
      <c r="P413" s="486"/>
      <c r="Q413" s="486"/>
      <c r="R413" s="486"/>
      <c r="S413" s="486"/>
      <c r="T413" s="486"/>
      <c r="U413" s="486"/>
      <c r="V413" s="486"/>
      <c r="W413" s="486"/>
      <c r="X413" s="486"/>
      <c r="Y413" s="486"/>
      <c r="Z413" s="486"/>
    </row>
    <row r="414" spans="1:26" ht="15.75" customHeight="1">
      <c r="A414" s="486"/>
      <c r="B414" s="486"/>
      <c r="C414" s="486"/>
      <c r="D414" s="486"/>
      <c r="E414" s="486"/>
      <c r="F414" s="486"/>
      <c r="G414" s="486"/>
      <c r="H414" s="486"/>
      <c r="I414" s="486"/>
      <c r="J414" s="486"/>
      <c r="K414" s="486"/>
      <c r="L414" s="486"/>
      <c r="M414" s="486"/>
      <c r="N414" s="486"/>
      <c r="O414" s="486"/>
      <c r="P414" s="486"/>
      <c r="Q414" s="486"/>
      <c r="R414" s="486"/>
      <c r="S414" s="486"/>
      <c r="T414" s="486"/>
      <c r="U414" s="486"/>
      <c r="V414" s="486"/>
      <c r="W414" s="486"/>
      <c r="X414" s="486"/>
      <c r="Y414" s="486"/>
      <c r="Z414" s="486"/>
    </row>
    <row r="415" spans="1:26" ht="15.75" customHeight="1">
      <c r="A415" s="486"/>
      <c r="B415" s="486"/>
      <c r="C415" s="486"/>
      <c r="D415" s="486"/>
      <c r="E415" s="486"/>
      <c r="F415" s="486"/>
      <c r="G415" s="486"/>
      <c r="H415" s="486"/>
      <c r="I415" s="486"/>
      <c r="J415" s="486"/>
      <c r="K415" s="486"/>
      <c r="L415" s="486"/>
      <c r="M415" s="486"/>
      <c r="N415" s="486"/>
      <c r="O415" s="486"/>
      <c r="P415" s="486"/>
      <c r="Q415" s="486"/>
      <c r="R415" s="486"/>
      <c r="S415" s="486"/>
      <c r="T415" s="486"/>
      <c r="U415" s="486"/>
      <c r="V415" s="486"/>
      <c r="W415" s="486"/>
      <c r="X415" s="486"/>
      <c r="Y415" s="486"/>
      <c r="Z415" s="486"/>
    </row>
    <row r="416" spans="1:26" ht="15.75" customHeight="1">
      <c r="A416" s="486"/>
      <c r="B416" s="486"/>
      <c r="C416" s="486"/>
      <c r="D416" s="486"/>
      <c r="E416" s="486"/>
      <c r="F416" s="486"/>
      <c r="G416" s="486"/>
      <c r="H416" s="486"/>
      <c r="I416" s="486"/>
      <c r="J416" s="486"/>
      <c r="K416" s="486"/>
      <c r="L416" s="486"/>
      <c r="M416" s="486"/>
      <c r="N416" s="486"/>
      <c r="O416" s="486"/>
      <c r="P416" s="486"/>
      <c r="Q416" s="486"/>
      <c r="R416" s="486"/>
      <c r="S416" s="486"/>
      <c r="T416" s="486"/>
      <c r="U416" s="486"/>
      <c r="V416" s="486"/>
      <c r="W416" s="486"/>
      <c r="X416" s="486"/>
      <c r="Y416" s="486"/>
      <c r="Z416" s="486"/>
    </row>
    <row r="417" spans="1:26" ht="15.75" customHeight="1">
      <c r="A417" s="486"/>
      <c r="B417" s="486"/>
      <c r="C417" s="486"/>
      <c r="D417" s="486"/>
      <c r="E417" s="486"/>
      <c r="F417" s="486"/>
      <c r="G417" s="486"/>
      <c r="H417" s="486"/>
      <c r="I417" s="486"/>
      <c r="J417" s="486"/>
      <c r="K417" s="486"/>
      <c r="L417" s="486"/>
      <c r="M417" s="486"/>
      <c r="N417" s="486"/>
      <c r="O417" s="486"/>
      <c r="P417" s="486"/>
      <c r="Q417" s="486"/>
      <c r="R417" s="486"/>
      <c r="S417" s="486"/>
      <c r="T417" s="486"/>
      <c r="U417" s="486"/>
      <c r="V417" s="486"/>
      <c r="W417" s="486"/>
      <c r="X417" s="486"/>
      <c r="Y417" s="486"/>
      <c r="Z417" s="486"/>
    </row>
    <row r="418" spans="1:26" ht="15.75" customHeight="1">
      <c r="A418" s="486"/>
      <c r="B418" s="486"/>
      <c r="C418" s="486"/>
      <c r="D418" s="486"/>
      <c r="E418" s="486"/>
      <c r="F418" s="486"/>
      <c r="G418" s="486"/>
      <c r="H418" s="486"/>
      <c r="I418" s="486"/>
      <c r="J418" s="486"/>
      <c r="K418" s="486"/>
      <c r="L418" s="486"/>
      <c r="M418" s="486"/>
      <c r="N418" s="486"/>
      <c r="O418" s="486"/>
      <c r="P418" s="486"/>
      <c r="Q418" s="486"/>
      <c r="R418" s="486"/>
      <c r="S418" s="486"/>
      <c r="T418" s="486"/>
      <c r="U418" s="486"/>
      <c r="V418" s="486"/>
      <c r="W418" s="486"/>
      <c r="X418" s="486"/>
      <c r="Y418" s="486"/>
      <c r="Z418" s="486"/>
    </row>
    <row r="419" spans="1:26" ht="15.75" customHeight="1">
      <c r="A419" s="486"/>
      <c r="B419" s="486"/>
      <c r="C419" s="486"/>
      <c r="D419" s="486"/>
      <c r="E419" s="486"/>
      <c r="F419" s="486"/>
      <c r="G419" s="486"/>
      <c r="H419" s="486"/>
      <c r="I419" s="486"/>
      <c r="J419" s="486"/>
      <c r="K419" s="486"/>
      <c r="L419" s="486"/>
      <c r="M419" s="486"/>
      <c r="N419" s="486"/>
      <c r="O419" s="486"/>
      <c r="P419" s="486"/>
      <c r="Q419" s="486"/>
      <c r="R419" s="486"/>
      <c r="S419" s="486"/>
      <c r="T419" s="486"/>
      <c r="U419" s="486"/>
      <c r="V419" s="486"/>
      <c r="W419" s="486"/>
      <c r="X419" s="486"/>
      <c r="Y419" s="486"/>
      <c r="Z419" s="486"/>
    </row>
    <row r="420" spans="1:26" ht="15.75" customHeight="1">
      <c r="A420" s="486"/>
      <c r="B420" s="486"/>
      <c r="C420" s="486"/>
      <c r="D420" s="486"/>
      <c r="E420" s="486"/>
      <c r="F420" s="486"/>
      <c r="G420" s="486"/>
      <c r="H420" s="486"/>
      <c r="I420" s="486"/>
      <c r="J420" s="486"/>
      <c r="K420" s="486"/>
      <c r="L420" s="486"/>
      <c r="M420" s="486"/>
      <c r="N420" s="486"/>
      <c r="O420" s="486"/>
      <c r="P420" s="486"/>
      <c r="Q420" s="486"/>
      <c r="R420" s="486"/>
      <c r="S420" s="486"/>
      <c r="T420" s="486"/>
      <c r="U420" s="486"/>
      <c r="V420" s="486"/>
      <c r="W420" s="486"/>
      <c r="X420" s="486"/>
      <c r="Y420" s="486"/>
      <c r="Z420" s="486"/>
    </row>
    <row r="421" spans="1:26" ht="15.75" customHeight="1">
      <c r="A421" s="486"/>
      <c r="B421" s="486"/>
      <c r="C421" s="486"/>
      <c r="D421" s="486"/>
      <c r="E421" s="486"/>
      <c r="F421" s="486"/>
      <c r="G421" s="486"/>
      <c r="H421" s="486"/>
      <c r="I421" s="486"/>
      <c r="J421" s="486"/>
      <c r="K421" s="486"/>
      <c r="L421" s="486"/>
      <c r="M421" s="486"/>
      <c r="N421" s="486"/>
      <c r="O421" s="486"/>
      <c r="P421" s="486"/>
      <c r="Q421" s="486"/>
      <c r="R421" s="486"/>
      <c r="S421" s="486"/>
      <c r="T421" s="486"/>
      <c r="U421" s="486"/>
      <c r="V421" s="486"/>
      <c r="W421" s="486"/>
      <c r="X421" s="486"/>
      <c r="Y421" s="486"/>
      <c r="Z421" s="486"/>
    </row>
    <row r="422" spans="1:26" ht="15.75" customHeight="1">
      <c r="A422" s="486"/>
      <c r="B422" s="486"/>
      <c r="C422" s="486"/>
      <c r="D422" s="486"/>
      <c r="E422" s="486"/>
      <c r="F422" s="486"/>
      <c r="G422" s="486"/>
      <c r="H422" s="486"/>
      <c r="I422" s="486"/>
      <c r="J422" s="486"/>
      <c r="K422" s="486"/>
      <c r="L422" s="486"/>
      <c r="M422" s="486"/>
      <c r="N422" s="486"/>
      <c r="O422" s="486"/>
      <c r="P422" s="486"/>
      <c r="Q422" s="486"/>
      <c r="R422" s="486"/>
      <c r="S422" s="486"/>
      <c r="T422" s="486"/>
      <c r="U422" s="486"/>
      <c r="V422" s="486"/>
      <c r="W422" s="486"/>
      <c r="X422" s="486"/>
      <c r="Y422" s="486"/>
      <c r="Z422" s="486"/>
    </row>
    <row r="423" spans="1:26" ht="15.75" customHeight="1">
      <c r="A423" s="486"/>
      <c r="B423" s="486"/>
      <c r="C423" s="486"/>
      <c r="D423" s="486"/>
      <c r="E423" s="486"/>
      <c r="F423" s="486"/>
      <c r="G423" s="486"/>
      <c r="H423" s="486"/>
      <c r="I423" s="486"/>
      <c r="J423" s="486"/>
      <c r="K423" s="486"/>
      <c r="L423" s="486"/>
      <c r="M423" s="486"/>
      <c r="N423" s="486"/>
      <c r="O423" s="486"/>
      <c r="P423" s="486"/>
      <c r="Q423" s="486"/>
      <c r="R423" s="486"/>
      <c r="S423" s="486"/>
      <c r="T423" s="486"/>
      <c r="U423" s="486"/>
      <c r="V423" s="486"/>
      <c r="W423" s="486"/>
      <c r="X423" s="486"/>
      <c r="Y423" s="486"/>
      <c r="Z423" s="486"/>
    </row>
    <row r="424" spans="1:26" ht="15.75" customHeight="1">
      <c r="A424" s="486"/>
      <c r="B424" s="486"/>
      <c r="C424" s="486"/>
      <c r="D424" s="486"/>
      <c r="E424" s="486"/>
      <c r="F424" s="486"/>
      <c r="G424" s="486"/>
      <c r="H424" s="486"/>
      <c r="I424" s="486"/>
      <c r="J424" s="486"/>
      <c r="K424" s="486"/>
      <c r="L424" s="486"/>
      <c r="M424" s="486"/>
      <c r="N424" s="486"/>
      <c r="O424" s="486"/>
      <c r="P424" s="486"/>
      <c r="Q424" s="486"/>
      <c r="R424" s="486"/>
      <c r="S424" s="486"/>
      <c r="T424" s="486"/>
      <c r="U424" s="486"/>
      <c r="V424" s="486"/>
      <c r="W424" s="486"/>
      <c r="X424" s="486"/>
      <c r="Y424" s="486"/>
      <c r="Z424" s="486"/>
    </row>
    <row r="425" spans="1:26" ht="15.75" customHeight="1">
      <c r="A425" s="486"/>
      <c r="B425" s="486"/>
      <c r="C425" s="486"/>
      <c r="D425" s="486"/>
      <c r="E425" s="486"/>
      <c r="F425" s="486"/>
      <c r="G425" s="486"/>
      <c r="H425" s="486"/>
      <c r="I425" s="486"/>
      <c r="J425" s="486"/>
      <c r="K425" s="486"/>
      <c r="L425" s="486"/>
      <c r="M425" s="486"/>
      <c r="N425" s="486"/>
      <c r="O425" s="486"/>
      <c r="P425" s="486"/>
      <c r="Q425" s="486"/>
      <c r="R425" s="486"/>
      <c r="S425" s="486"/>
      <c r="T425" s="486"/>
      <c r="U425" s="486"/>
      <c r="V425" s="486"/>
      <c r="W425" s="486"/>
      <c r="X425" s="486"/>
      <c r="Y425" s="486"/>
      <c r="Z425" s="486"/>
    </row>
    <row r="426" spans="1:26" ht="15.75" customHeight="1">
      <c r="A426" s="486"/>
      <c r="B426" s="486"/>
      <c r="C426" s="486"/>
      <c r="D426" s="486"/>
      <c r="E426" s="486"/>
      <c r="F426" s="486"/>
      <c r="G426" s="486"/>
      <c r="H426" s="486"/>
      <c r="I426" s="486"/>
      <c r="J426" s="486"/>
      <c r="K426" s="486"/>
      <c r="L426" s="486"/>
      <c r="M426" s="486"/>
      <c r="N426" s="486"/>
      <c r="O426" s="486"/>
      <c r="P426" s="486"/>
      <c r="Q426" s="486"/>
      <c r="R426" s="486"/>
      <c r="S426" s="486"/>
      <c r="T426" s="486"/>
      <c r="U426" s="486"/>
      <c r="V426" s="486"/>
      <c r="W426" s="486"/>
      <c r="X426" s="486"/>
      <c r="Y426" s="486"/>
      <c r="Z426" s="486"/>
    </row>
    <row r="427" spans="1:26" ht="15.75" customHeight="1">
      <c r="A427" s="486"/>
      <c r="B427" s="486"/>
      <c r="C427" s="486"/>
      <c r="D427" s="486"/>
      <c r="E427" s="486"/>
      <c r="F427" s="486"/>
      <c r="G427" s="486"/>
      <c r="H427" s="486"/>
      <c r="I427" s="486"/>
      <c r="J427" s="486"/>
      <c r="K427" s="486"/>
      <c r="L427" s="486"/>
      <c r="M427" s="486"/>
      <c r="N427" s="486"/>
      <c r="O427" s="486"/>
      <c r="P427" s="486"/>
      <c r="Q427" s="486"/>
      <c r="R427" s="486"/>
      <c r="S427" s="486"/>
      <c r="T427" s="486"/>
      <c r="U427" s="486"/>
      <c r="V427" s="486"/>
      <c r="W427" s="486"/>
      <c r="X427" s="486"/>
      <c r="Y427" s="486"/>
      <c r="Z427" s="486"/>
    </row>
    <row r="428" spans="1:26" ht="15.75" customHeight="1">
      <c r="A428" s="486"/>
      <c r="B428" s="486"/>
      <c r="C428" s="486"/>
      <c r="D428" s="486"/>
      <c r="E428" s="486"/>
      <c r="F428" s="486"/>
      <c r="G428" s="486"/>
      <c r="H428" s="486"/>
      <c r="I428" s="486"/>
      <c r="J428" s="486"/>
      <c r="K428" s="486"/>
      <c r="L428" s="486"/>
      <c r="M428" s="486"/>
      <c r="N428" s="486"/>
      <c r="O428" s="486"/>
      <c r="P428" s="486"/>
      <c r="Q428" s="486"/>
      <c r="R428" s="486"/>
      <c r="S428" s="486"/>
      <c r="T428" s="486"/>
      <c r="U428" s="486"/>
      <c r="V428" s="486"/>
      <c r="W428" s="486"/>
      <c r="X428" s="486"/>
      <c r="Y428" s="486"/>
      <c r="Z428" s="486"/>
    </row>
    <row r="429" spans="1:26" ht="15.75" customHeight="1">
      <c r="A429" s="486"/>
      <c r="B429" s="486"/>
      <c r="C429" s="486"/>
      <c r="D429" s="486"/>
      <c r="E429" s="486"/>
      <c r="F429" s="486"/>
      <c r="G429" s="486"/>
      <c r="H429" s="486"/>
      <c r="I429" s="486"/>
      <c r="J429" s="486"/>
      <c r="K429" s="486"/>
      <c r="L429" s="486"/>
      <c r="M429" s="486"/>
      <c r="N429" s="486"/>
      <c r="O429" s="486"/>
      <c r="P429" s="486"/>
      <c r="Q429" s="486"/>
      <c r="R429" s="486"/>
      <c r="S429" s="486"/>
      <c r="T429" s="486"/>
      <c r="U429" s="486"/>
      <c r="V429" s="486"/>
      <c r="W429" s="486"/>
      <c r="X429" s="486"/>
      <c r="Y429" s="486"/>
      <c r="Z429" s="486"/>
    </row>
    <row r="430" spans="1:26" ht="15.75" customHeight="1">
      <c r="A430" s="486"/>
      <c r="B430" s="486"/>
      <c r="C430" s="486"/>
      <c r="D430" s="486"/>
      <c r="E430" s="486"/>
      <c r="F430" s="486"/>
      <c r="G430" s="486"/>
      <c r="H430" s="486"/>
      <c r="I430" s="486"/>
      <c r="J430" s="486"/>
      <c r="K430" s="486"/>
      <c r="L430" s="486"/>
      <c r="M430" s="486"/>
      <c r="N430" s="486"/>
      <c r="O430" s="486"/>
      <c r="P430" s="486"/>
      <c r="Q430" s="486"/>
      <c r="R430" s="486"/>
      <c r="S430" s="486"/>
      <c r="T430" s="486"/>
      <c r="U430" s="486"/>
      <c r="V430" s="486"/>
      <c r="W430" s="486"/>
      <c r="X430" s="486"/>
      <c r="Y430" s="486"/>
      <c r="Z430" s="486"/>
    </row>
    <row r="431" spans="1:26" ht="15.75" customHeight="1">
      <c r="A431" s="486"/>
      <c r="B431" s="486"/>
      <c r="C431" s="486"/>
      <c r="D431" s="486"/>
      <c r="E431" s="486"/>
      <c r="F431" s="486"/>
      <c r="G431" s="486"/>
      <c r="H431" s="486"/>
      <c r="I431" s="486"/>
      <c r="J431" s="486"/>
      <c r="K431" s="486"/>
      <c r="L431" s="486"/>
      <c r="M431" s="486"/>
      <c r="N431" s="486"/>
      <c r="O431" s="486"/>
      <c r="P431" s="486"/>
      <c r="Q431" s="486"/>
      <c r="R431" s="486"/>
      <c r="S431" s="486"/>
      <c r="T431" s="486"/>
      <c r="U431" s="486"/>
      <c r="V431" s="486"/>
      <c r="W431" s="486"/>
      <c r="X431" s="486"/>
      <c r="Y431" s="486"/>
      <c r="Z431" s="486"/>
    </row>
    <row r="432" spans="1:26" ht="15.75" customHeight="1">
      <c r="A432" s="486"/>
      <c r="B432" s="486"/>
      <c r="C432" s="486"/>
      <c r="D432" s="486"/>
      <c r="E432" s="486"/>
      <c r="F432" s="486"/>
      <c r="G432" s="486"/>
      <c r="H432" s="486"/>
      <c r="I432" s="486"/>
      <c r="J432" s="486"/>
      <c r="K432" s="486"/>
      <c r="L432" s="486"/>
      <c r="M432" s="486"/>
      <c r="N432" s="486"/>
      <c r="O432" s="486"/>
      <c r="P432" s="486"/>
      <c r="Q432" s="486"/>
      <c r="R432" s="486"/>
      <c r="S432" s="486"/>
      <c r="T432" s="486"/>
      <c r="U432" s="486"/>
      <c r="V432" s="486"/>
      <c r="W432" s="486"/>
      <c r="X432" s="486"/>
      <c r="Y432" s="486"/>
      <c r="Z432" s="486"/>
    </row>
    <row r="433" spans="1:26" ht="15.75" customHeight="1">
      <c r="A433" s="486"/>
      <c r="B433" s="486"/>
      <c r="C433" s="486"/>
      <c r="D433" s="486"/>
      <c r="E433" s="486"/>
      <c r="F433" s="486"/>
      <c r="G433" s="486"/>
      <c r="H433" s="486"/>
      <c r="I433" s="486"/>
      <c r="J433" s="486"/>
      <c r="K433" s="486"/>
      <c r="L433" s="486"/>
      <c r="M433" s="486"/>
      <c r="N433" s="486"/>
      <c r="O433" s="486"/>
      <c r="P433" s="486"/>
      <c r="Q433" s="486"/>
      <c r="R433" s="486"/>
      <c r="S433" s="486"/>
      <c r="T433" s="486"/>
      <c r="U433" s="486"/>
      <c r="V433" s="486"/>
      <c r="W433" s="486"/>
      <c r="X433" s="486"/>
      <c r="Y433" s="486"/>
      <c r="Z433" s="486"/>
    </row>
    <row r="434" spans="1:26" ht="15.75" customHeight="1">
      <c r="A434" s="486"/>
      <c r="B434" s="486"/>
      <c r="C434" s="486"/>
      <c r="D434" s="486"/>
      <c r="E434" s="486"/>
      <c r="F434" s="486"/>
      <c r="G434" s="486"/>
      <c r="H434" s="486"/>
      <c r="I434" s="486"/>
      <c r="J434" s="486"/>
      <c r="K434" s="486"/>
      <c r="L434" s="486"/>
      <c r="M434" s="486"/>
      <c r="N434" s="486"/>
      <c r="O434" s="486"/>
      <c r="P434" s="486"/>
      <c r="Q434" s="486"/>
      <c r="R434" s="486"/>
      <c r="S434" s="486"/>
      <c r="T434" s="486"/>
      <c r="U434" s="486"/>
      <c r="V434" s="486"/>
      <c r="W434" s="486"/>
      <c r="X434" s="486"/>
      <c r="Y434" s="486"/>
      <c r="Z434" s="486"/>
    </row>
    <row r="435" spans="1:26" ht="15.75" customHeight="1">
      <c r="A435" s="486"/>
      <c r="B435" s="486"/>
      <c r="C435" s="486"/>
      <c r="D435" s="486"/>
      <c r="E435" s="486"/>
      <c r="F435" s="486"/>
      <c r="G435" s="486"/>
      <c r="H435" s="486"/>
      <c r="I435" s="486"/>
      <c r="J435" s="486"/>
      <c r="K435" s="486"/>
      <c r="L435" s="486"/>
      <c r="M435" s="486"/>
      <c r="N435" s="486"/>
      <c r="O435" s="486"/>
      <c r="P435" s="486"/>
      <c r="Q435" s="486"/>
      <c r="R435" s="486"/>
      <c r="S435" s="486"/>
      <c r="T435" s="486"/>
      <c r="U435" s="486"/>
      <c r="V435" s="486"/>
      <c r="W435" s="486"/>
      <c r="X435" s="486"/>
      <c r="Y435" s="486"/>
      <c r="Z435" s="486"/>
    </row>
    <row r="436" spans="1:26" ht="15.75" customHeight="1">
      <c r="A436" s="486"/>
      <c r="B436" s="486"/>
      <c r="C436" s="486"/>
      <c r="D436" s="486"/>
      <c r="E436" s="486"/>
      <c r="F436" s="486"/>
      <c r="G436" s="486"/>
      <c r="H436" s="486"/>
      <c r="I436" s="486"/>
      <c r="J436" s="486"/>
      <c r="K436" s="486"/>
      <c r="L436" s="486"/>
      <c r="M436" s="486"/>
      <c r="N436" s="486"/>
      <c r="O436" s="486"/>
      <c r="P436" s="486"/>
      <c r="Q436" s="486"/>
      <c r="R436" s="486"/>
      <c r="S436" s="486"/>
      <c r="T436" s="486"/>
      <c r="U436" s="486"/>
      <c r="V436" s="486"/>
      <c r="W436" s="486"/>
      <c r="X436" s="486"/>
      <c r="Y436" s="486"/>
      <c r="Z436" s="486"/>
    </row>
    <row r="437" spans="1:26" ht="15.75" customHeight="1">
      <c r="A437" s="486"/>
      <c r="B437" s="486"/>
      <c r="C437" s="486"/>
      <c r="D437" s="486"/>
      <c r="E437" s="486"/>
      <c r="F437" s="486"/>
      <c r="G437" s="486"/>
      <c r="H437" s="486"/>
      <c r="I437" s="486"/>
      <c r="J437" s="486"/>
      <c r="K437" s="486"/>
      <c r="L437" s="486"/>
      <c r="M437" s="486"/>
      <c r="N437" s="486"/>
      <c r="O437" s="486"/>
      <c r="P437" s="486"/>
      <c r="Q437" s="486"/>
      <c r="R437" s="486"/>
      <c r="S437" s="486"/>
      <c r="T437" s="486"/>
      <c r="U437" s="486"/>
      <c r="V437" s="486"/>
      <c r="W437" s="486"/>
      <c r="X437" s="486"/>
      <c r="Y437" s="486"/>
      <c r="Z437" s="486"/>
    </row>
    <row r="438" spans="1:26" ht="15.75" customHeight="1">
      <c r="A438" s="486"/>
      <c r="B438" s="486"/>
      <c r="C438" s="486"/>
      <c r="D438" s="486"/>
      <c r="E438" s="486"/>
      <c r="F438" s="486"/>
      <c r="G438" s="486"/>
      <c r="H438" s="486"/>
      <c r="I438" s="486"/>
      <c r="J438" s="486"/>
      <c r="K438" s="486"/>
      <c r="L438" s="486"/>
      <c r="M438" s="486"/>
      <c r="N438" s="486"/>
      <c r="O438" s="486"/>
      <c r="P438" s="486"/>
      <c r="Q438" s="486"/>
      <c r="R438" s="486"/>
      <c r="S438" s="486"/>
      <c r="T438" s="486"/>
      <c r="U438" s="486"/>
      <c r="V438" s="486"/>
      <c r="W438" s="486"/>
      <c r="X438" s="486"/>
      <c r="Y438" s="486"/>
      <c r="Z438" s="486"/>
    </row>
    <row r="439" spans="1:26" ht="15.75" customHeight="1">
      <c r="A439" s="486"/>
      <c r="B439" s="486"/>
      <c r="C439" s="486"/>
      <c r="D439" s="486"/>
      <c r="E439" s="486"/>
      <c r="F439" s="486"/>
      <c r="G439" s="486"/>
      <c r="H439" s="486"/>
      <c r="I439" s="486"/>
      <c r="J439" s="486"/>
      <c r="K439" s="486"/>
      <c r="L439" s="486"/>
      <c r="M439" s="486"/>
      <c r="N439" s="486"/>
      <c r="O439" s="486"/>
      <c r="P439" s="486"/>
      <c r="Q439" s="486"/>
      <c r="R439" s="486"/>
      <c r="S439" s="486"/>
      <c r="T439" s="486"/>
      <c r="U439" s="486"/>
      <c r="V439" s="486"/>
      <c r="W439" s="486"/>
      <c r="X439" s="486"/>
      <c r="Y439" s="486"/>
      <c r="Z439" s="486"/>
    </row>
    <row r="440" spans="1:26" ht="15.75" customHeight="1">
      <c r="A440" s="486"/>
      <c r="B440" s="486"/>
      <c r="C440" s="486"/>
      <c r="D440" s="486"/>
      <c r="E440" s="486"/>
      <c r="F440" s="486"/>
      <c r="G440" s="486"/>
      <c r="H440" s="486"/>
      <c r="I440" s="486"/>
      <c r="J440" s="486"/>
      <c r="K440" s="486"/>
      <c r="L440" s="486"/>
      <c r="M440" s="486"/>
      <c r="N440" s="486"/>
      <c r="O440" s="486"/>
      <c r="P440" s="486"/>
      <c r="Q440" s="486"/>
      <c r="R440" s="486"/>
      <c r="S440" s="486"/>
      <c r="T440" s="486"/>
      <c r="U440" s="486"/>
      <c r="V440" s="486"/>
      <c r="W440" s="486"/>
      <c r="X440" s="486"/>
      <c r="Y440" s="486"/>
      <c r="Z440" s="486"/>
    </row>
    <row r="441" spans="1:26" ht="15.75" customHeight="1">
      <c r="A441" s="486"/>
      <c r="B441" s="486"/>
      <c r="C441" s="486"/>
      <c r="D441" s="486"/>
      <c r="E441" s="486"/>
      <c r="F441" s="486"/>
      <c r="G441" s="486"/>
      <c r="H441" s="486"/>
      <c r="I441" s="486"/>
      <c r="J441" s="486"/>
      <c r="K441" s="486"/>
      <c r="L441" s="486"/>
      <c r="M441" s="486"/>
      <c r="N441" s="486"/>
      <c r="O441" s="486"/>
      <c r="P441" s="486"/>
      <c r="Q441" s="486"/>
      <c r="R441" s="486"/>
      <c r="S441" s="486"/>
      <c r="T441" s="486"/>
      <c r="U441" s="486"/>
      <c r="V441" s="486"/>
      <c r="W441" s="486"/>
      <c r="X441" s="486"/>
      <c r="Y441" s="486"/>
      <c r="Z441" s="486"/>
    </row>
    <row r="442" spans="1:26" ht="15.75" customHeight="1">
      <c r="A442" s="486"/>
      <c r="B442" s="486"/>
      <c r="C442" s="486"/>
      <c r="D442" s="486"/>
      <c r="E442" s="486"/>
      <c r="F442" s="486"/>
      <c r="G442" s="486"/>
      <c r="H442" s="486"/>
      <c r="I442" s="486"/>
      <c r="J442" s="486"/>
      <c r="K442" s="486"/>
      <c r="L442" s="486"/>
      <c r="M442" s="486"/>
      <c r="N442" s="486"/>
      <c r="O442" s="486"/>
      <c r="P442" s="486"/>
      <c r="Q442" s="486"/>
      <c r="R442" s="486"/>
      <c r="S442" s="486"/>
      <c r="T442" s="486"/>
      <c r="U442" s="486"/>
      <c r="V442" s="486"/>
      <c r="W442" s="486"/>
      <c r="X442" s="486"/>
      <c r="Y442" s="486"/>
      <c r="Z442" s="486"/>
    </row>
    <row r="443" spans="1:26" ht="15.75" customHeight="1">
      <c r="A443" s="486"/>
      <c r="B443" s="486"/>
      <c r="C443" s="486"/>
      <c r="D443" s="486"/>
      <c r="E443" s="486"/>
      <c r="F443" s="486"/>
      <c r="G443" s="486"/>
      <c r="H443" s="486"/>
      <c r="I443" s="486"/>
      <c r="J443" s="486"/>
      <c r="K443" s="486"/>
      <c r="L443" s="486"/>
      <c r="M443" s="486"/>
      <c r="N443" s="486"/>
      <c r="O443" s="486"/>
      <c r="P443" s="486"/>
      <c r="Q443" s="486"/>
      <c r="R443" s="486"/>
      <c r="S443" s="486"/>
      <c r="T443" s="486"/>
      <c r="U443" s="486"/>
      <c r="V443" s="486"/>
      <c r="W443" s="486"/>
      <c r="X443" s="486"/>
      <c r="Y443" s="486"/>
      <c r="Z443" s="486"/>
    </row>
    <row r="444" spans="1:26" ht="15.75" customHeight="1">
      <c r="A444" s="486"/>
      <c r="B444" s="486"/>
      <c r="C444" s="486"/>
      <c r="D444" s="486"/>
      <c r="E444" s="486"/>
      <c r="F444" s="486"/>
      <c r="G444" s="486"/>
      <c r="H444" s="486"/>
      <c r="I444" s="486"/>
      <c r="J444" s="486"/>
      <c r="K444" s="486"/>
      <c r="L444" s="486"/>
      <c r="M444" s="486"/>
      <c r="N444" s="486"/>
      <c r="O444" s="486"/>
      <c r="P444" s="486"/>
      <c r="Q444" s="486"/>
      <c r="R444" s="486"/>
      <c r="S444" s="486"/>
      <c r="T444" s="486"/>
      <c r="U444" s="486"/>
      <c r="V444" s="486"/>
      <c r="W444" s="486"/>
      <c r="X444" s="486"/>
      <c r="Y444" s="486"/>
      <c r="Z444" s="486"/>
    </row>
    <row r="445" spans="1:26" ht="15.75" customHeight="1">
      <c r="A445" s="486"/>
      <c r="B445" s="486"/>
      <c r="C445" s="486"/>
      <c r="D445" s="486"/>
      <c r="E445" s="486"/>
      <c r="F445" s="486"/>
      <c r="G445" s="486"/>
      <c r="H445" s="486"/>
      <c r="I445" s="486"/>
      <c r="J445" s="486"/>
      <c r="K445" s="486"/>
      <c r="L445" s="486"/>
      <c r="M445" s="486"/>
      <c r="N445" s="486"/>
      <c r="O445" s="486"/>
      <c r="P445" s="486"/>
      <c r="Q445" s="486"/>
      <c r="R445" s="486"/>
      <c r="S445" s="486"/>
      <c r="T445" s="486"/>
      <c r="U445" s="486"/>
      <c r="V445" s="486"/>
      <c r="W445" s="486"/>
      <c r="X445" s="486"/>
      <c r="Y445" s="486"/>
      <c r="Z445" s="486"/>
    </row>
    <row r="446" spans="1:26" ht="15.75" customHeight="1">
      <c r="A446" s="486"/>
      <c r="B446" s="486"/>
      <c r="C446" s="486"/>
      <c r="D446" s="486"/>
      <c r="E446" s="486"/>
      <c r="F446" s="486"/>
      <c r="G446" s="486"/>
      <c r="H446" s="486"/>
      <c r="I446" s="486"/>
      <c r="J446" s="486"/>
      <c r="K446" s="486"/>
      <c r="L446" s="486"/>
      <c r="M446" s="486"/>
      <c r="N446" s="486"/>
      <c r="O446" s="486"/>
      <c r="P446" s="486"/>
      <c r="Q446" s="486"/>
      <c r="R446" s="486"/>
      <c r="S446" s="486"/>
      <c r="T446" s="486"/>
      <c r="U446" s="486"/>
      <c r="V446" s="486"/>
      <c r="W446" s="486"/>
      <c r="X446" s="486"/>
      <c r="Y446" s="486"/>
      <c r="Z446" s="486"/>
    </row>
    <row r="447" spans="1:26" ht="15.75" customHeight="1">
      <c r="A447" s="486"/>
      <c r="B447" s="486"/>
      <c r="C447" s="486"/>
      <c r="D447" s="486"/>
      <c r="E447" s="486"/>
      <c r="F447" s="486"/>
      <c r="G447" s="486"/>
      <c r="H447" s="486"/>
      <c r="I447" s="486"/>
      <c r="J447" s="486"/>
      <c r="K447" s="486"/>
      <c r="L447" s="486"/>
      <c r="M447" s="486"/>
      <c r="N447" s="486"/>
      <c r="O447" s="486"/>
      <c r="P447" s="486"/>
      <c r="Q447" s="486"/>
      <c r="R447" s="486"/>
      <c r="S447" s="486"/>
      <c r="T447" s="486"/>
      <c r="U447" s="486"/>
      <c r="V447" s="486"/>
      <c r="W447" s="486"/>
      <c r="X447" s="486"/>
      <c r="Y447" s="486"/>
      <c r="Z447" s="486"/>
    </row>
    <row r="448" spans="1:26" ht="15.75" customHeight="1">
      <c r="A448" s="486"/>
      <c r="B448" s="486"/>
      <c r="C448" s="486"/>
      <c r="D448" s="486"/>
      <c r="E448" s="486"/>
      <c r="F448" s="486"/>
      <c r="G448" s="486"/>
      <c r="H448" s="486"/>
      <c r="I448" s="486"/>
      <c r="J448" s="486"/>
      <c r="K448" s="486"/>
      <c r="L448" s="486"/>
      <c r="M448" s="486"/>
      <c r="N448" s="486"/>
      <c r="O448" s="486"/>
      <c r="P448" s="486"/>
      <c r="Q448" s="486"/>
      <c r="R448" s="486"/>
      <c r="S448" s="486"/>
      <c r="T448" s="486"/>
      <c r="U448" s="486"/>
      <c r="V448" s="486"/>
      <c r="W448" s="486"/>
      <c r="X448" s="486"/>
      <c r="Y448" s="486"/>
      <c r="Z448" s="486"/>
    </row>
    <row r="449" spans="1:26" ht="15.75" customHeight="1">
      <c r="A449" s="486"/>
      <c r="B449" s="486"/>
      <c r="C449" s="486"/>
      <c r="D449" s="486"/>
      <c r="E449" s="486"/>
      <c r="F449" s="486"/>
      <c r="G449" s="486"/>
      <c r="H449" s="486"/>
      <c r="I449" s="486"/>
      <c r="J449" s="486"/>
      <c r="K449" s="486"/>
      <c r="L449" s="486"/>
      <c r="M449" s="486"/>
      <c r="N449" s="486"/>
      <c r="O449" s="486"/>
      <c r="P449" s="486"/>
      <c r="Q449" s="486"/>
      <c r="R449" s="486"/>
      <c r="S449" s="486"/>
      <c r="T449" s="486"/>
      <c r="U449" s="486"/>
      <c r="V449" s="486"/>
      <c r="W449" s="486"/>
      <c r="X449" s="486"/>
      <c r="Y449" s="486"/>
      <c r="Z449" s="486"/>
    </row>
    <row r="450" spans="1:26" ht="15.75" customHeight="1">
      <c r="A450" s="486"/>
      <c r="B450" s="486"/>
      <c r="C450" s="486"/>
      <c r="D450" s="486"/>
      <c r="E450" s="486"/>
      <c r="F450" s="486"/>
      <c r="G450" s="486"/>
      <c r="H450" s="486"/>
      <c r="I450" s="486"/>
      <c r="J450" s="486"/>
      <c r="K450" s="486"/>
      <c r="L450" s="486"/>
      <c r="M450" s="486"/>
      <c r="N450" s="486"/>
      <c r="O450" s="486"/>
      <c r="P450" s="486"/>
      <c r="Q450" s="486"/>
      <c r="R450" s="486"/>
      <c r="S450" s="486"/>
      <c r="T450" s="486"/>
      <c r="U450" s="486"/>
      <c r="V450" s="486"/>
      <c r="W450" s="486"/>
      <c r="X450" s="486"/>
      <c r="Y450" s="486"/>
      <c r="Z450" s="486"/>
    </row>
    <row r="451" spans="1:26" ht="15.75" customHeight="1">
      <c r="A451" s="486"/>
      <c r="B451" s="486"/>
      <c r="C451" s="486"/>
      <c r="D451" s="486"/>
      <c r="E451" s="486"/>
      <c r="F451" s="486"/>
      <c r="G451" s="486"/>
      <c r="H451" s="486"/>
      <c r="I451" s="486"/>
      <c r="J451" s="486"/>
      <c r="K451" s="486"/>
      <c r="L451" s="486"/>
      <c r="M451" s="486"/>
      <c r="N451" s="486"/>
      <c r="O451" s="486"/>
      <c r="P451" s="486"/>
      <c r="Q451" s="486"/>
      <c r="R451" s="486"/>
      <c r="S451" s="486"/>
      <c r="T451" s="486"/>
      <c r="U451" s="486"/>
      <c r="V451" s="486"/>
      <c r="W451" s="486"/>
      <c r="X451" s="486"/>
      <c r="Y451" s="486"/>
      <c r="Z451" s="486"/>
    </row>
    <row r="452" spans="1:26" ht="15.75" customHeight="1">
      <c r="A452" s="486"/>
      <c r="B452" s="486"/>
      <c r="C452" s="486"/>
      <c r="D452" s="486"/>
      <c r="E452" s="486"/>
      <c r="F452" s="486"/>
      <c r="G452" s="486"/>
      <c r="H452" s="486"/>
      <c r="I452" s="486"/>
      <c r="J452" s="486"/>
      <c r="K452" s="486"/>
      <c r="L452" s="486"/>
      <c r="M452" s="486"/>
      <c r="N452" s="486"/>
      <c r="O452" s="486"/>
      <c r="P452" s="486"/>
      <c r="Q452" s="486"/>
      <c r="R452" s="486"/>
      <c r="S452" s="486"/>
      <c r="T452" s="486"/>
      <c r="U452" s="486"/>
      <c r="V452" s="486"/>
      <c r="W452" s="486"/>
      <c r="X452" s="486"/>
      <c r="Y452" s="486"/>
      <c r="Z452" s="486"/>
    </row>
    <row r="453" spans="1:26" ht="15.75" customHeight="1">
      <c r="A453" s="486"/>
      <c r="B453" s="486"/>
      <c r="C453" s="486"/>
      <c r="D453" s="486"/>
      <c r="E453" s="486"/>
      <c r="F453" s="486"/>
      <c r="G453" s="486"/>
      <c r="H453" s="486"/>
      <c r="I453" s="486"/>
      <c r="J453" s="486"/>
      <c r="K453" s="486"/>
      <c r="L453" s="486"/>
      <c r="M453" s="486"/>
      <c r="N453" s="486"/>
      <c r="O453" s="486"/>
      <c r="P453" s="486"/>
      <c r="Q453" s="486"/>
      <c r="R453" s="486"/>
      <c r="S453" s="486"/>
      <c r="T453" s="486"/>
      <c r="U453" s="486"/>
      <c r="V453" s="486"/>
      <c r="W453" s="486"/>
      <c r="X453" s="486"/>
      <c r="Y453" s="486"/>
      <c r="Z453" s="486"/>
    </row>
    <row r="454" spans="1:26" ht="15.75" customHeight="1">
      <c r="A454" s="486"/>
      <c r="B454" s="486"/>
      <c r="C454" s="486"/>
      <c r="D454" s="486"/>
      <c r="E454" s="486"/>
      <c r="F454" s="486"/>
      <c r="G454" s="486"/>
      <c r="H454" s="486"/>
      <c r="I454" s="486"/>
      <c r="J454" s="486"/>
      <c r="K454" s="486"/>
      <c r="L454" s="486"/>
      <c r="M454" s="486"/>
      <c r="N454" s="486"/>
      <c r="O454" s="486"/>
      <c r="P454" s="486"/>
      <c r="Q454" s="486"/>
      <c r="R454" s="486"/>
      <c r="S454" s="486"/>
      <c r="T454" s="486"/>
      <c r="U454" s="486"/>
      <c r="V454" s="486"/>
      <c r="W454" s="486"/>
      <c r="X454" s="486"/>
      <c r="Y454" s="486"/>
      <c r="Z454" s="486"/>
    </row>
    <row r="455" spans="1:26" ht="15.75" customHeight="1">
      <c r="A455" s="486"/>
      <c r="B455" s="486"/>
      <c r="C455" s="486"/>
      <c r="D455" s="486"/>
      <c r="E455" s="486"/>
      <c r="F455" s="486"/>
      <c r="G455" s="486"/>
      <c r="H455" s="486"/>
      <c r="I455" s="486"/>
      <c r="J455" s="486"/>
      <c r="K455" s="486"/>
      <c r="L455" s="486"/>
      <c r="M455" s="486"/>
      <c r="N455" s="486"/>
      <c r="O455" s="486"/>
      <c r="P455" s="486"/>
      <c r="Q455" s="486"/>
      <c r="R455" s="486"/>
      <c r="S455" s="486"/>
      <c r="T455" s="486"/>
      <c r="U455" s="486"/>
      <c r="V455" s="486"/>
      <c r="W455" s="486"/>
      <c r="X455" s="486"/>
      <c r="Y455" s="486"/>
      <c r="Z455" s="486"/>
    </row>
    <row r="456" spans="1:26" ht="15.75" customHeight="1">
      <c r="A456" s="486"/>
      <c r="B456" s="486"/>
      <c r="C456" s="486"/>
      <c r="D456" s="486"/>
      <c r="E456" s="486"/>
      <c r="F456" s="486"/>
      <c r="G456" s="486"/>
      <c r="H456" s="486"/>
      <c r="I456" s="486"/>
      <c r="J456" s="486"/>
      <c r="K456" s="486"/>
      <c r="L456" s="486"/>
      <c r="M456" s="486"/>
      <c r="N456" s="486"/>
      <c r="O456" s="486"/>
      <c r="P456" s="486"/>
      <c r="Q456" s="486"/>
      <c r="R456" s="486"/>
      <c r="S456" s="486"/>
      <c r="T456" s="486"/>
      <c r="U456" s="486"/>
      <c r="V456" s="486"/>
      <c r="W456" s="486"/>
      <c r="X456" s="486"/>
      <c r="Y456" s="486"/>
      <c r="Z456" s="486"/>
    </row>
    <row r="457" spans="1:26" ht="15.75" customHeight="1">
      <c r="A457" s="486"/>
      <c r="B457" s="486"/>
      <c r="C457" s="486"/>
      <c r="D457" s="486"/>
      <c r="E457" s="486"/>
      <c r="F457" s="486"/>
      <c r="G457" s="486"/>
      <c r="H457" s="486"/>
      <c r="I457" s="486"/>
      <c r="J457" s="486"/>
      <c r="K457" s="486"/>
      <c r="L457" s="486"/>
      <c r="M457" s="486"/>
      <c r="N457" s="486"/>
      <c r="O457" s="486"/>
      <c r="P457" s="486"/>
      <c r="Q457" s="486"/>
      <c r="R457" s="486"/>
      <c r="S457" s="486"/>
      <c r="T457" s="486"/>
      <c r="U457" s="486"/>
      <c r="V457" s="486"/>
      <c r="W457" s="486"/>
      <c r="X457" s="486"/>
      <c r="Y457" s="486"/>
      <c r="Z457" s="486"/>
    </row>
    <row r="458" spans="1:26" ht="15.75" customHeight="1">
      <c r="A458" s="486"/>
      <c r="B458" s="486"/>
      <c r="C458" s="486"/>
      <c r="D458" s="486"/>
      <c r="E458" s="486"/>
      <c r="F458" s="486"/>
      <c r="G458" s="486"/>
      <c r="H458" s="486"/>
      <c r="I458" s="486"/>
      <c r="J458" s="486"/>
      <c r="K458" s="486"/>
      <c r="L458" s="486"/>
      <c r="M458" s="486"/>
      <c r="N458" s="486"/>
      <c r="O458" s="486"/>
      <c r="P458" s="486"/>
      <c r="Q458" s="486"/>
      <c r="R458" s="486"/>
      <c r="S458" s="486"/>
      <c r="T458" s="486"/>
      <c r="U458" s="486"/>
      <c r="V458" s="486"/>
      <c r="W458" s="486"/>
      <c r="X458" s="486"/>
      <c r="Y458" s="486"/>
      <c r="Z458" s="486"/>
    </row>
    <row r="459" spans="1:26" ht="15.75" customHeight="1">
      <c r="A459" s="486"/>
      <c r="B459" s="486"/>
      <c r="C459" s="486"/>
      <c r="D459" s="486"/>
      <c r="E459" s="486"/>
      <c r="F459" s="486"/>
      <c r="G459" s="486"/>
      <c r="H459" s="486"/>
      <c r="I459" s="486"/>
      <c r="J459" s="486"/>
      <c r="K459" s="486"/>
      <c r="L459" s="486"/>
      <c r="M459" s="486"/>
      <c r="N459" s="486"/>
      <c r="O459" s="486"/>
      <c r="P459" s="486"/>
      <c r="Q459" s="486"/>
      <c r="R459" s="486"/>
      <c r="S459" s="486"/>
      <c r="T459" s="486"/>
      <c r="U459" s="486"/>
      <c r="V459" s="486"/>
      <c r="W459" s="486"/>
      <c r="X459" s="486"/>
      <c r="Y459" s="486"/>
      <c r="Z459" s="486"/>
    </row>
    <row r="460" spans="1:26" ht="15.75" customHeight="1">
      <c r="A460" s="486"/>
      <c r="B460" s="486"/>
      <c r="C460" s="486"/>
      <c r="D460" s="486"/>
      <c r="E460" s="486"/>
      <c r="F460" s="486"/>
      <c r="G460" s="486"/>
      <c r="H460" s="486"/>
      <c r="I460" s="486"/>
      <c r="J460" s="486"/>
      <c r="K460" s="486"/>
      <c r="L460" s="486"/>
      <c r="M460" s="486"/>
      <c r="N460" s="486"/>
      <c r="O460" s="486"/>
      <c r="P460" s="486"/>
      <c r="Q460" s="486"/>
      <c r="R460" s="486"/>
      <c r="S460" s="486"/>
      <c r="T460" s="486"/>
      <c r="U460" s="486"/>
      <c r="V460" s="486"/>
      <c r="W460" s="486"/>
      <c r="X460" s="486"/>
      <c r="Y460" s="486"/>
      <c r="Z460" s="486"/>
    </row>
    <row r="461" spans="1:26" ht="15.75" customHeight="1">
      <c r="A461" s="486"/>
      <c r="B461" s="486"/>
      <c r="C461" s="486"/>
      <c r="D461" s="486"/>
      <c r="E461" s="486"/>
      <c r="F461" s="486"/>
      <c r="G461" s="486"/>
      <c r="H461" s="486"/>
      <c r="I461" s="486"/>
      <c r="J461" s="486"/>
      <c r="K461" s="486"/>
      <c r="L461" s="486"/>
      <c r="M461" s="486"/>
      <c r="N461" s="486"/>
      <c r="O461" s="486"/>
      <c r="P461" s="486"/>
      <c r="Q461" s="486"/>
      <c r="R461" s="486"/>
      <c r="S461" s="486"/>
      <c r="T461" s="486"/>
      <c r="U461" s="486"/>
      <c r="V461" s="486"/>
      <c r="W461" s="486"/>
      <c r="X461" s="486"/>
      <c r="Y461" s="486"/>
      <c r="Z461" s="486"/>
    </row>
    <row r="462" spans="1:26" ht="15.75" customHeight="1">
      <c r="A462" s="486"/>
      <c r="B462" s="486"/>
      <c r="C462" s="486"/>
      <c r="D462" s="486"/>
      <c r="E462" s="486"/>
      <c r="F462" s="486"/>
      <c r="G462" s="486"/>
      <c r="H462" s="486"/>
      <c r="I462" s="486"/>
      <c r="J462" s="486"/>
      <c r="K462" s="486"/>
      <c r="L462" s="486"/>
      <c r="M462" s="486"/>
      <c r="N462" s="486"/>
      <c r="O462" s="486"/>
      <c r="P462" s="486"/>
      <c r="Q462" s="486"/>
      <c r="R462" s="486"/>
      <c r="S462" s="486"/>
      <c r="T462" s="486"/>
      <c r="U462" s="486"/>
      <c r="V462" s="486"/>
      <c r="W462" s="486"/>
      <c r="X462" s="486"/>
      <c r="Y462" s="486"/>
      <c r="Z462" s="486"/>
    </row>
    <row r="463" spans="1:26" ht="15.75" customHeight="1">
      <c r="A463" s="486"/>
      <c r="B463" s="486"/>
      <c r="C463" s="486"/>
      <c r="D463" s="486"/>
      <c r="E463" s="486"/>
      <c r="F463" s="486"/>
      <c r="G463" s="486"/>
      <c r="H463" s="486"/>
      <c r="I463" s="486"/>
      <c r="J463" s="486"/>
      <c r="K463" s="486"/>
      <c r="L463" s="486"/>
      <c r="M463" s="486"/>
      <c r="N463" s="486"/>
      <c r="O463" s="486"/>
      <c r="P463" s="486"/>
      <c r="Q463" s="486"/>
      <c r="R463" s="486"/>
      <c r="S463" s="486"/>
      <c r="T463" s="486"/>
      <c r="U463" s="486"/>
      <c r="V463" s="486"/>
      <c r="W463" s="486"/>
      <c r="X463" s="486"/>
      <c r="Y463" s="486"/>
      <c r="Z463" s="486"/>
    </row>
    <row r="464" spans="1:26" ht="15.75" customHeight="1">
      <c r="A464" s="486"/>
      <c r="B464" s="486"/>
      <c r="C464" s="486"/>
      <c r="D464" s="486"/>
      <c r="E464" s="486"/>
      <c r="F464" s="486"/>
      <c r="G464" s="486"/>
      <c r="H464" s="486"/>
      <c r="I464" s="486"/>
      <c r="J464" s="486"/>
      <c r="K464" s="486"/>
      <c r="L464" s="486"/>
      <c r="M464" s="486"/>
      <c r="N464" s="486"/>
      <c r="O464" s="486"/>
      <c r="P464" s="486"/>
      <c r="Q464" s="486"/>
      <c r="R464" s="486"/>
      <c r="S464" s="486"/>
      <c r="T464" s="486"/>
      <c r="U464" s="486"/>
      <c r="V464" s="486"/>
      <c r="W464" s="486"/>
      <c r="X464" s="486"/>
      <c r="Y464" s="486"/>
      <c r="Z464" s="486"/>
    </row>
    <row r="465" spans="1:26" ht="15.75" customHeight="1">
      <c r="A465" s="486"/>
      <c r="B465" s="486"/>
      <c r="C465" s="486"/>
      <c r="D465" s="486"/>
      <c r="E465" s="486"/>
      <c r="F465" s="486"/>
      <c r="G465" s="486"/>
      <c r="H465" s="486"/>
      <c r="I465" s="486"/>
      <c r="J465" s="486"/>
      <c r="K465" s="486"/>
      <c r="L465" s="486"/>
      <c r="M465" s="486"/>
      <c r="N465" s="486"/>
      <c r="O465" s="486"/>
      <c r="P465" s="486"/>
      <c r="Q465" s="486"/>
      <c r="R465" s="486"/>
      <c r="S465" s="486"/>
      <c r="T465" s="486"/>
      <c r="U465" s="486"/>
      <c r="V465" s="486"/>
      <c r="W465" s="486"/>
      <c r="X465" s="486"/>
      <c r="Y465" s="486"/>
      <c r="Z465" s="486"/>
    </row>
    <row r="466" spans="1:26" ht="15.75" customHeight="1">
      <c r="A466" s="486"/>
      <c r="B466" s="486"/>
      <c r="C466" s="486"/>
      <c r="D466" s="486"/>
      <c r="E466" s="486"/>
      <c r="F466" s="486"/>
      <c r="G466" s="486"/>
      <c r="H466" s="486"/>
      <c r="I466" s="486"/>
      <c r="J466" s="486"/>
      <c r="K466" s="486"/>
      <c r="L466" s="486"/>
      <c r="M466" s="486"/>
      <c r="N466" s="486"/>
      <c r="O466" s="486"/>
      <c r="P466" s="486"/>
      <c r="Q466" s="486"/>
      <c r="R466" s="486"/>
      <c r="S466" s="486"/>
      <c r="T466" s="486"/>
      <c r="U466" s="486"/>
      <c r="V466" s="486"/>
      <c r="W466" s="486"/>
      <c r="X466" s="486"/>
      <c r="Y466" s="486"/>
      <c r="Z466" s="486"/>
    </row>
    <row r="467" spans="1:26" ht="15.75" customHeight="1">
      <c r="A467" s="486"/>
      <c r="B467" s="486"/>
      <c r="C467" s="486"/>
      <c r="D467" s="486"/>
      <c r="E467" s="486"/>
      <c r="F467" s="486"/>
      <c r="G467" s="486"/>
      <c r="H467" s="486"/>
      <c r="I467" s="486"/>
      <c r="J467" s="486"/>
      <c r="K467" s="486"/>
      <c r="L467" s="486"/>
      <c r="M467" s="486"/>
      <c r="N467" s="486"/>
      <c r="O467" s="486"/>
      <c r="P467" s="486"/>
      <c r="Q467" s="486"/>
      <c r="R467" s="486"/>
      <c r="S467" s="486"/>
      <c r="T467" s="486"/>
      <c r="U467" s="486"/>
      <c r="V467" s="486"/>
      <c r="W467" s="486"/>
      <c r="X467" s="486"/>
      <c r="Y467" s="486"/>
      <c r="Z467" s="486"/>
    </row>
    <row r="468" spans="1:26" ht="15.75" customHeight="1">
      <c r="A468" s="486"/>
      <c r="B468" s="486"/>
      <c r="C468" s="486"/>
      <c r="D468" s="486"/>
      <c r="E468" s="486"/>
      <c r="F468" s="486"/>
      <c r="G468" s="486"/>
      <c r="H468" s="486"/>
      <c r="I468" s="486"/>
      <c r="J468" s="486"/>
      <c r="K468" s="486"/>
      <c r="L468" s="486"/>
      <c r="M468" s="486"/>
      <c r="N468" s="486"/>
      <c r="O468" s="486"/>
      <c r="P468" s="486"/>
      <c r="Q468" s="486"/>
      <c r="R468" s="486"/>
      <c r="S468" s="486"/>
      <c r="T468" s="486"/>
      <c r="U468" s="486"/>
      <c r="V468" s="486"/>
      <c r="W468" s="486"/>
      <c r="X468" s="486"/>
      <c r="Y468" s="486"/>
      <c r="Z468" s="486"/>
    </row>
    <row r="469" spans="1:26" ht="15.75" customHeight="1">
      <c r="A469" s="486"/>
      <c r="B469" s="486"/>
      <c r="C469" s="486"/>
      <c r="D469" s="486"/>
      <c r="E469" s="486"/>
      <c r="F469" s="486"/>
      <c r="G469" s="486"/>
      <c r="H469" s="486"/>
      <c r="I469" s="486"/>
      <c r="J469" s="486"/>
      <c r="K469" s="486"/>
      <c r="L469" s="486"/>
      <c r="M469" s="486"/>
      <c r="N469" s="486"/>
      <c r="O469" s="486"/>
      <c r="P469" s="486"/>
      <c r="Q469" s="486"/>
      <c r="R469" s="486"/>
      <c r="S469" s="486"/>
      <c r="T469" s="486"/>
      <c r="U469" s="486"/>
      <c r="V469" s="486"/>
      <c r="W469" s="486"/>
      <c r="X469" s="486"/>
      <c r="Y469" s="486"/>
      <c r="Z469" s="486"/>
    </row>
    <row r="470" spans="1:26" ht="15.75" customHeight="1">
      <c r="A470" s="486"/>
      <c r="B470" s="486"/>
      <c r="C470" s="486"/>
      <c r="D470" s="486"/>
      <c r="E470" s="486"/>
      <c r="F470" s="486"/>
      <c r="G470" s="486"/>
      <c r="H470" s="486"/>
      <c r="I470" s="486"/>
      <c r="J470" s="486"/>
      <c r="K470" s="486"/>
      <c r="L470" s="486"/>
      <c r="M470" s="486"/>
      <c r="N470" s="486"/>
      <c r="O470" s="486"/>
      <c r="P470" s="486"/>
      <c r="Q470" s="486"/>
      <c r="R470" s="486"/>
      <c r="S470" s="486"/>
      <c r="T470" s="486"/>
      <c r="U470" s="486"/>
      <c r="V470" s="486"/>
      <c r="W470" s="486"/>
      <c r="X470" s="486"/>
      <c r="Y470" s="486"/>
      <c r="Z470" s="486"/>
    </row>
    <row r="471" spans="1:26" ht="15.75" customHeight="1">
      <c r="A471" s="486"/>
      <c r="B471" s="486"/>
      <c r="C471" s="486"/>
      <c r="D471" s="486"/>
      <c r="E471" s="486"/>
      <c r="F471" s="486"/>
      <c r="G471" s="486"/>
      <c r="H471" s="486"/>
      <c r="I471" s="486"/>
      <c r="J471" s="486"/>
      <c r="K471" s="486"/>
      <c r="L471" s="486"/>
      <c r="M471" s="486"/>
      <c r="N471" s="486"/>
      <c r="O471" s="486"/>
      <c r="P471" s="486"/>
      <c r="Q471" s="486"/>
      <c r="R471" s="486"/>
      <c r="S471" s="486"/>
      <c r="T471" s="486"/>
      <c r="U471" s="486"/>
      <c r="V471" s="486"/>
      <c r="W471" s="486"/>
      <c r="X471" s="486"/>
      <c r="Y471" s="486"/>
      <c r="Z471" s="486"/>
    </row>
    <row r="472" spans="1:26" ht="15.75" customHeight="1">
      <c r="A472" s="486"/>
      <c r="B472" s="486"/>
      <c r="C472" s="486"/>
      <c r="D472" s="486"/>
      <c r="E472" s="486"/>
      <c r="F472" s="486"/>
      <c r="G472" s="486"/>
      <c r="H472" s="486"/>
      <c r="I472" s="486"/>
      <c r="J472" s="486"/>
      <c r="K472" s="486"/>
      <c r="L472" s="486"/>
      <c r="M472" s="486"/>
      <c r="N472" s="486"/>
      <c r="O472" s="486"/>
      <c r="P472" s="486"/>
      <c r="Q472" s="486"/>
      <c r="R472" s="486"/>
      <c r="S472" s="486"/>
      <c r="T472" s="486"/>
      <c r="U472" s="486"/>
      <c r="V472" s="486"/>
      <c r="W472" s="486"/>
      <c r="X472" s="486"/>
      <c r="Y472" s="486"/>
      <c r="Z472" s="486"/>
    </row>
    <row r="473" spans="1:26" ht="15.75" customHeight="1">
      <c r="A473" s="486"/>
      <c r="B473" s="486"/>
      <c r="C473" s="486"/>
      <c r="D473" s="486"/>
      <c r="E473" s="486"/>
      <c r="F473" s="486"/>
      <c r="G473" s="486"/>
      <c r="H473" s="486"/>
      <c r="I473" s="486"/>
      <c r="J473" s="486"/>
      <c r="K473" s="486"/>
      <c r="L473" s="486"/>
      <c r="M473" s="486"/>
      <c r="N473" s="486"/>
      <c r="O473" s="486"/>
      <c r="P473" s="486"/>
      <c r="Q473" s="486"/>
      <c r="R473" s="486"/>
      <c r="S473" s="486"/>
      <c r="T473" s="486"/>
      <c r="U473" s="486"/>
      <c r="V473" s="486"/>
      <c r="W473" s="486"/>
      <c r="X473" s="486"/>
      <c r="Y473" s="486"/>
      <c r="Z473" s="486"/>
    </row>
    <row r="474" spans="1:26" ht="15.75" customHeight="1">
      <c r="A474" s="486"/>
      <c r="B474" s="486"/>
      <c r="C474" s="486"/>
      <c r="D474" s="486"/>
      <c r="E474" s="486"/>
      <c r="F474" s="486"/>
      <c r="G474" s="486"/>
      <c r="H474" s="486"/>
      <c r="I474" s="486"/>
      <c r="J474" s="486"/>
      <c r="K474" s="486"/>
      <c r="L474" s="486"/>
      <c r="M474" s="486"/>
      <c r="N474" s="486"/>
      <c r="O474" s="486"/>
      <c r="P474" s="486"/>
      <c r="Q474" s="486"/>
      <c r="R474" s="486"/>
      <c r="S474" s="486"/>
      <c r="T474" s="486"/>
      <c r="U474" s="486"/>
      <c r="V474" s="486"/>
      <c r="W474" s="486"/>
      <c r="X474" s="486"/>
      <c r="Y474" s="486"/>
      <c r="Z474" s="486"/>
    </row>
    <row r="475" spans="1:26" ht="15.75" customHeight="1">
      <c r="A475" s="486"/>
      <c r="B475" s="486"/>
      <c r="C475" s="486"/>
      <c r="D475" s="486"/>
      <c r="E475" s="486"/>
      <c r="F475" s="486"/>
      <c r="G475" s="486"/>
      <c r="H475" s="486"/>
      <c r="I475" s="486"/>
      <c r="J475" s="486"/>
      <c r="K475" s="486"/>
      <c r="L475" s="486"/>
      <c r="M475" s="486"/>
      <c r="N475" s="486"/>
      <c r="O475" s="486"/>
      <c r="P475" s="486"/>
      <c r="Q475" s="486"/>
      <c r="R475" s="486"/>
      <c r="S475" s="486"/>
      <c r="T475" s="486"/>
      <c r="U475" s="486"/>
      <c r="V475" s="486"/>
      <c r="W475" s="486"/>
      <c r="X475" s="486"/>
      <c r="Y475" s="486"/>
      <c r="Z475" s="486"/>
    </row>
    <row r="476" spans="1:26" ht="15.75" customHeight="1">
      <c r="A476" s="486"/>
      <c r="B476" s="486"/>
      <c r="C476" s="486"/>
      <c r="D476" s="486"/>
      <c r="E476" s="486"/>
      <c r="F476" s="486"/>
      <c r="G476" s="486"/>
      <c r="H476" s="486"/>
      <c r="I476" s="486"/>
      <c r="J476" s="486"/>
      <c r="K476" s="486"/>
      <c r="L476" s="486"/>
      <c r="M476" s="486"/>
      <c r="N476" s="486"/>
      <c r="O476" s="486"/>
      <c r="P476" s="486"/>
      <c r="Q476" s="486"/>
      <c r="R476" s="486"/>
      <c r="S476" s="486"/>
      <c r="T476" s="486"/>
      <c r="U476" s="486"/>
      <c r="V476" s="486"/>
      <c r="W476" s="486"/>
      <c r="X476" s="486"/>
      <c r="Y476" s="486"/>
      <c r="Z476" s="486"/>
    </row>
    <row r="477" spans="1:26" ht="15.75" customHeight="1">
      <c r="A477" s="486"/>
      <c r="B477" s="486"/>
      <c r="C477" s="486"/>
      <c r="D477" s="486"/>
      <c r="E477" s="486"/>
      <c r="F477" s="486"/>
      <c r="G477" s="486"/>
      <c r="H477" s="486"/>
      <c r="I477" s="486"/>
      <c r="J477" s="486"/>
      <c r="K477" s="486"/>
      <c r="L477" s="486"/>
      <c r="M477" s="486"/>
      <c r="N477" s="486"/>
      <c r="O477" s="486"/>
      <c r="P477" s="486"/>
      <c r="Q477" s="486"/>
      <c r="R477" s="486"/>
      <c r="S477" s="486"/>
      <c r="T477" s="486"/>
      <c r="U477" s="486"/>
      <c r="V477" s="486"/>
      <c r="W477" s="486"/>
      <c r="X477" s="486"/>
      <c r="Y477" s="486"/>
      <c r="Z477" s="486"/>
    </row>
    <row r="478" spans="1:26" ht="15.75" customHeight="1">
      <c r="A478" s="486"/>
      <c r="B478" s="486"/>
      <c r="C478" s="486"/>
      <c r="D478" s="486"/>
      <c r="E478" s="486"/>
      <c r="F478" s="486"/>
      <c r="G478" s="486"/>
      <c r="H478" s="486"/>
      <c r="I478" s="486"/>
      <c r="J478" s="486"/>
      <c r="K478" s="486"/>
      <c r="L478" s="486"/>
      <c r="M478" s="486"/>
      <c r="N478" s="486"/>
      <c r="O478" s="486"/>
      <c r="P478" s="486"/>
      <c r="Q478" s="486"/>
      <c r="R478" s="486"/>
      <c r="S478" s="486"/>
      <c r="T478" s="486"/>
      <c r="U478" s="486"/>
      <c r="V478" s="486"/>
      <c r="W478" s="486"/>
      <c r="X478" s="486"/>
      <c r="Y478" s="486"/>
      <c r="Z478" s="486"/>
    </row>
    <row r="479" spans="1:26" ht="15.75" customHeight="1">
      <c r="A479" s="486"/>
      <c r="B479" s="486"/>
      <c r="C479" s="486"/>
      <c r="D479" s="486"/>
      <c r="E479" s="486"/>
      <c r="F479" s="486"/>
      <c r="G479" s="486"/>
      <c r="H479" s="486"/>
      <c r="I479" s="486"/>
      <c r="J479" s="486"/>
      <c r="K479" s="486"/>
      <c r="L479" s="486"/>
      <c r="M479" s="486"/>
      <c r="N479" s="486"/>
      <c r="O479" s="486"/>
      <c r="P479" s="486"/>
      <c r="Q479" s="486"/>
      <c r="R479" s="486"/>
      <c r="S479" s="486"/>
      <c r="T479" s="486"/>
      <c r="U479" s="486"/>
      <c r="V479" s="486"/>
      <c r="W479" s="486"/>
      <c r="X479" s="486"/>
      <c r="Y479" s="486"/>
      <c r="Z479" s="486"/>
    </row>
    <row r="480" spans="1:26" ht="15.75" customHeight="1">
      <c r="A480" s="486"/>
      <c r="B480" s="486"/>
      <c r="C480" s="486"/>
      <c r="D480" s="486"/>
      <c r="E480" s="486"/>
      <c r="F480" s="486"/>
      <c r="G480" s="486"/>
      <c r="H480" s="486"/>
      <c r="I480" s="486"/>
      <c r="J480" s="486"/>
      <c r="K480" s="486"/>
      <c r="L480" s="486"/>
      <c r="M480" s="486"/>
      <c r="N480" s="486"/>
      <c r="O480" s="486"/>
      <c r="P480" s="486"/>
      <c r="Q480" s="486"/>
      <c r="R480" s="486"/>
      <c r="S480" s="486"/>
      <c r="T480" s="486"/>
      <c r="U480" s="486"/>
      <c r="V480" s="486"/>
      <c r="W480" s="486"/>
      <c r="X480" s="486"/>
      <c r="Y480" s="486"/>
      <c r="Z480" s="486"/>
    </row>
    <row r="481" spans="1:26" ht="15.75" customHeight="1">
      <c r="A481" s="486"/>
      <c r="B481" s="486"/>
      <c r="C481" s="486"/>
      <c r="D481" s="486"/>
      <c r="E481" s="486"/>
      <c r="F481" s="486"/>
      <c r="G481" s="486"/>
      <c r="H481" s="486"/>
      <c r="I481" s="486"/>
      <c r="J481" s="486"/>
      <c r="K481" s="486"/>
      <c r="L481" s="486"/>
      <c r="M481" s="486"/>
      <c r="N481" s="486"/>
      <c r="O481" s="486"/>
      <c r="P481" s="486"/>
      <c r="Q481" s="486"/>
      <c r="R481" s="486"/>
      <c r="S481" s="486"/>
      <c r="T481" s="486"/>
      <c r="U481" s="486"/>
      <c r="V481" s="486"/>
      <c r="W481" s="486"/>
      <c r="X481" s="486"/>
      <c r="Y481" s="486"/>
      <c r="Z481" s="486"/>
    </row>
    <row r="482" spans="1:26" ht="15.75" customHeight="1">
      <c r="A482" s="486"/>
      <c r="B482" s="486"/>
      <c r="C482" s="486"/>
      <c r="D482" s="486"/>
      <c r="E482" s="486"/>
      <c r="F482" s="486"/>
      <c r="G482" s="486"/>
      <c r="H482" s="486"/>
      <c r="I482" s="486"/>
      <c r="J482" s="486"/>
      <c r="K482" s="486"/>
      <c r="L482" s="486"/>
      <c r="M482" s="486"/>
      <c r="N482" s="486"/>
      <c r="O482" s="486"/>
      <c r="P482" s="486"/>
      <c r="Q482" s="486"/>
      <c r="R482" s="486"/>
      <c r="S482" s="486"/>
      <c r="T482" s="486"/>
      <c r="U482" s="486"/>
      <c r="V482" s="486"/>
      <c r="W482" s="486"/>
      <c r="X482" s="486"/>
      <c r="Y482" s="486"/>
      <c r="Z482" s="486"/>
    </row>
    <row r="483" spans="1:26" ht="15.75" customHeight="1">
      <c r="A483" s="486"/>
      <c r="B483" s="486"/>
      <c r="C483" s="486"/>
      <c r="D483" s="486"/>
      <c r="E483" s="486"/>
      <c r="F483" s="486"/>
      <c r="G483" s="486"/>
      <c r="H483" s="486"/>
      <c r="I483" s="486"/>
      <c r="J483" s="486"/>
      <c r="K483" s="486"/>
      <c r="L483" s="486"/>
      <c r="M483" s="486"/>
      <c r="N483" s="486"/>
      <c r="O483" s="486"/>
      <c r="P483" s="486"/>
      <c r="Q483" s="486"/>
      <c r="R483" s="486"/>
      <c r="S483" s="486"/>
      <c r="T483" s="486"/>
      <c r="U483" s="486"/>
      <c r="V483" s="486"/>
      <c r="W483" s="486"/>
      <c r="X483" s="486"/>
      <c r="Y483" s="486"/>
      <c r="Z483" s="486"/>
    </row>
    <row r="484" spans="1:26" ht="15.75" customHeight="1">
      <c r="A484" s="486"/>
      <c r="B484" s="486"/>
      <c r="C484" s="486"/>
      <c r="D484" s="486"/>
      <c r="E484" s="486"/>
      <c r="F484" s="486"/>
      <c r="G484" s="486"/>
      <c r="H484" s="486"/>
      <c r="I484" s="486"/>
      <c r="J484" s="486"/>
      <c r="K484" s="486"/>
      <c r="L484" s="486"/>
      <c r="M484" s="486"/>
      <c r="N484" s="486"/>
      <c r="O484" s="486"/>
      <c r="P484" s="486"/>
      <c r="Q484" s="486"/>
      <c r="R484" s="486"/>
      <c r="S484" s="486"/>
      <c r="T484" s="486"/>
      <c r="U484" s="486"/>
      <c r="V484" s="486"/>
      <c r="W484" s="486"/>
      <c r="X484" s="486"/>
      <c r="Y484" s="486"/>
      <c r="Z484" s="486"/>
    </row>
    <row r="485" spans="1:26" ht="15.75" customHeight="1">
      <c r="A485" s="486"/>
      <c r="B485" s="486"/>
      <c r="C485" s="486"/>
      <c r="D485" s="486"/>
      <c r="E485" s="486"/>
      <c r="F485" s="486"/>
      <c r="G485" s="486"/>
      <c r="H485" s="486"/>
      <c r="I485" s="486"/>
      <c r="J485" s="486"/>
      <c r="K485" s="486"/>
      <c r="L485" s="486"/>
      <c r="M485" s="486"/>
      <c r="N485" s="486"/>
      <c r="O485" s="486"/>
      <c r="P485" s="486"/>
      <c r="Q485" s="486"/>
      <c r="R485" s="486"/>
      <c r="S485" s="486"/>
      <c r="T485" s="486"/>
      <c r="U485" s="486"/>
      <c r="V485" s="486"/>
      <c r="W485" s="486"/>
      <c r="X485" s="486"/>
      <c r="Y485" s="486"/>
      <c r="Z485" s="486"/>
    </row>
    <row r="486" spans="1:26" ht="15.75" customHeight="1">
      <c r="A486" s="486"/>
      <c r="B486" s="486"/>
      <c r="C486" s="486"/>
      <c r="D486" s="486"/>
      <c r="E486" s="486"/>
      <c r="F486" s="486"/>
      <c r="G486" s="486"/>
      <c r="H486" s="486"/>
      <c r="I486" s="486"/>
      <c r="J486" s="486"/>
      <c r="K486" s="486"/>
      <c r="L486" s="486"/>
      <c r="M486" s="486"/>
      <c r="N486" s="486"/>
      <c r="O486" s="486"/>
      <c r="P486" s="486"/>
      <c r="Q486" s="486"/>
      <c r="R486" s="486"/>
      <c r="S486" s="486"/>
      <c r="T486" s="486"/>
      <c r="U486" s="486"/>
      <c r="V486" s="486"/>
      <c r="W486" s="486"/>
      <c r="X486" s="486"/>
      <c r="Y486" s="486"/>
      <c r="Z486" s="486"/>
    </row>
    <row r="487" spans="1:26" ht="15.75" customHeight="1">
      <c r="A487" s="486"/>
      <c r="B487" s="486"/>
      <c r="C487" s="486"/>
      <c r="D487" s="486"/>
      <c r="E487" s="486"/>
      <c r="F487" s="486"/>
      <c r="G487" s="486"/>
      <c r="H487" s="486"/>
      <c r="I487" s="486"/>
      <c r="J487" s="486"/>
      <c r="K487" s="486"/>
      <c r="L487" s="486"/>
      <c r="M487" s="486"/>
      <c r="N487" s="486"/>
      <c r="O487" s="486"/>
      <c r="P487" s="486"/>
      <c r="Q487" s="486"/>
      <c r="R487" s="486"/>
      <c r="S487" s="486"/>
      <c r="T487" s="486"/>
      <c r="U487" s="486"/>
      <c r="V487" s="486"/>
      <c r="W487" s="486"/>
      <c r="X487" s="486"/>
      <c r="Y487" s="486"/>
      <c r="Z487" s="486"/>
    </row>
    <row r="488" spans="1:26" ht="15.75" customHeight="1">
      <c r="A488" s="486"/>
      <c r="B488" s="486"/>
      <c r="C488" s="486"/>
      <c r="D488" s="486"/>
      <c r="E488" s="486"/>
      <c r="F488" s="486"/>
      <c r="G488" s="486"/>
      <c r="H488" s="486"/>
      <c r="I488" s="486"/>
      <c r="J488" s="486"/>
      <c r="K488" s="486"/>
      <c r="L488" s="486"/>
      <c r="M488" s="486"/>
      <c r="N488" s="486"/>
      <c r="O488" s="486"/>
      <c r="P488" s="486"/>
      <c r="Q488" s="486"/>
      <c r="R488" s="486"/>
      <c r="S488" s="486"/>
      <c r="T488" s="486"/>
      <c r="U488" s="486"/>
      <c r="V488" s="486"/>
      <c r="W488" s="486"/>
      <c r="X488" s="486"/>
      <c r="Y488" s="486"/>
      <c r="Z488" s="486"/>
    </row>
    <row r="489" spans="1:26" ht="15.75" customHeight="1">
      <c r="A489" s="486"/>
      <c r="B489" s="486"/>
      <c r="C489" s="486"/>
      <c r="D489" s="486"/>
      <c r="E489" s="486"/>
      <c r="F489" s="486"/>
      <c r="G489" s="486"/>
      <c r="H489" s="486"/>
      <c r="I489" s="486"/>
      <c r="J489" s="486"/>
      <c r="K489" s="486"/>
      <c r="L489" s="486"/>
      <c r="M489" s="486"/>
      <c r="N489" s="486"/>
      <c r="O489" s="486"/>
      <c r="P489" s="486"/>
      <c r="Q489" s="486"/>
      <c r="R489" s="486"/>
      <c r="S489" s="486"/>
      <c r="T489" s="486"/>
      <c r="U489" s="486"/>
      <c r="V489" s="486"/>
      <c r="W489" s="486"/>
      <c r="X489" s="486"/>
      <c r="Y489" s="486"/>
      <c r="Z489" s="486"/>
    </row>
    <row r="490" spans="1:26" ht="15.75" customHeight="1">
      <c r="A490" s="486"/>
      <c r="B490" s="486"/>
      <c r="C490" s="486"/>
      <c r="D490" s="486"/>
      <c r="E490" s="486"/>
      <c r="F490" s="486"/>
      <c r="G490" s="486"/>
      <c r="H490" s="486"/>
      <c r="I490" s="486"/>
      <c r="J490" s="486"/>
      <c r="K490" s="486"/>
      <c r="L490" s="486"/>
      <c r="M490" s="486"/>
      <c r="N490" s="486"/>
      <c r="O490" s="486"/>
      <c r="P490" s="486"/>
      <c r="Q490" s="486"/>
      <c r="R490" s="486"/>
      <c r="S490" s="486"/>
      <c r="T490" s="486"/>
      <c r="U490" s="486"/>
      <c r="V490" s="486"/>
      <c r="W490" s="486"/>
      <c r="X490" s="486"/>
      <c r="Y490" s="486"/>
      <c r="Z490" s="486"/>
    </row>
    <row r="491" spans="1:26" ht="15.75" customHeight="1">
      <c r="A491" s="486"/>
      <c r="B491" s="486"/>
      <c r="C491" s="486"/>
      <c r="D491" s="486"/>
      <c r="E491" s="486"/>
      <c r="F491" s="486"/>
      <c r="G491" s="486"/>
      <c r="H491" s="486"/>
      <c r="I491" s="486"/>
      <c r="J491" s="486"/>
      <c r="K491" s="486"/>
      <c r="L491" s="486"/>
      <c r="M491" s="486"/>
      <c r="N491" s="486"/>
      <c r="O491" s="486"/>
      <c r="P491" s="486"/>
      <c r="Q491" s="486"/>
      <c r="R491" s="486"/>
      <c r="S491" s="486"/>
      <c r="T491" s="486"/>
      <c r="U491" s="486"/>
      <c r="V491" s="486"/>
      <c r="W491" s="486"/>
      <c r="X491" s="486"/>
      <c r="Y491" s="486"/>
      <c r="Z491" s="486"/>
    </row>
    <row r="492" spans="1:26" ht="15.75" customHeight="1">
      <c r="A492" s="486"/>
      <c r="B492" s="486"/>
      <c r="C492" s="486"/>
      <c r="D492" s="486"/>
      <c r="E492" s="486"/>
      <c r="F492" s="486"/>
      <c r="G492" s="486"/>
      <c r="H492" s="486"/>
      <c r="I492" s="486"/>
      <c r="J492" s="486"/>
      <c r="K492" s="486"/>
      <c r="L492" s="486"/>
      <c r="M492" s="486"/>
      <c r="N492" s="486"/>
      <c r="O492" s="486"/>
      <c r="P492" s="486"/>
      <c r="Q492" s="486"/>
      <c r="R492" s="486"/>
      <c r="S492" s="486"/>
      <c r="T492" s="486"/>
      <c r="U492" s="486"/>
      <c r="V492" s="486"/>
      <c r="W492" s="486"/>
      <c r="X492" s="486"/>
      <c r="Y492" s="486"/>
      <c r="Z492" s="486"/>
    </row>
    <row r="493" spans="1:26" ht="15.75" customHeight="1">
      <c r="A493" s="486"/>
      <c r="B493" s="486"/>
      <c r="C493" s="486"/>
      <c r="D493" s="486"/>
      <c r="E493" s="486"/>
      <c r="F493" s="486"/>
      <c r="G493" s="486"/>
      <c r="H493" s="486"/>
      <c r="I493" s="486"/>
      <c r="J493" s="486"/>
      <c r="K493" s="486"/>
      <c r="L493" s="486"/>
      <c r="M493" s="486"/>
      <c r="N493" s="486"/>
      <c r="O493" s="486"/>
      <c r="P493" s="486"/>
      <c r="Q493" s="486"/>
      <c r="R493" s="486"/>
      <c r="S493" s="486"/>
      <c r="T493" s="486"/>
      <c r="U493" s="486"/>
      <c r="V493" s="486"/>
      <c r="W493" s="486"/>
      <c r="X493" s="486"/>
      <c r="Y493" s="486"/>
      <c r="Z493" s="486"/>
    </row>
    <row r="494" spans="1:26" ht="15.75" customHeight="1">
      <c r="A494" s="486"/>
      <c r="B494" s="486"/>
      <c r="C494" s="486"/>
      <c r="D494" s="486"/>
      <c r="E494" s="486"/>
      <c r="F494" s="486"/>
      <c r="G494" s="486"/>
      <c r="H494" s="486"/>
      <c r="I494" s="486"/>
      <c r="J494" s="486"/>
      <c r="K494" s="486"/>
      <c r="L494" s="486"/>
      <c r="M494" s="486"/>
      <c r="N494" s="486"/>
      <c r="O494" s="486"/>
      <c r="P494" s="486"/>
      <c r="Q494" s="486"/>
      <c r="R494" s="486"/>
      <c r="S494" s="486"/>
      <c r="T494" s="486"/>
      <c r="U494" s="486"/>
      <c r="V494" s="486"/>
      <c r="W494" s="486"/>
      <c r="X494" s="486"/>
      <c r="Y494" s="486"/>
      <c r="Z494" s="486"/>
    </row>
    <row r="495" spans="1:26" ht="15.75" customHeight="1">
      <c r="A495" s="486"/>
      <c r="B495" s="486"/>
      <c r="C495" s="486"/>
      <c r="D495" s="486"/>
      <c r="E495" s="486"/>
      <c r="F495" s="486"/>
      <c r="G495" s="486"/>
      <c r="H495" s="486"/>
      <c r="I495" s="486"/>
      <c r="J495" s="486"/>
      <c r="K495" s="486"/>
      <c r="L495" s="486"/>
      <c r="M495" s="486"/>
      <c r="N495" s="486"/>
      <c r="O495" s="486"/>
      <c r="P495" s="486"/>
      <c r="Q495" s="486"/>
      <c r="R495" s="486"/>
      <c r="S495" s="486"/>
      <c r="T495" s="486"/>
      <c r="U495" s="486"/>
      <c r="V495" s="486"/>
      <c r="W495" s="486"/>
      <c r="X495" s="486"/>
      <c r="Y495" s="486"/>
      <c r="Z495" s="486"/>
    </row>
    <row r="496" spans="1:26" ht="15.75" customHeight="1">
      <c r="A496" s="486"/>
      <c r="B496" s="486"/>
      <c r="C496" s="486"/>
      <c r="D496" s="486"/>
      <c r="E496" s="486"/>
      <c r="F496" s="486"/>
      <c r="G496" s="486"/>
      <c r="H496" s="486"/>
      <c r="I496" s="486"/>
      <c r="J496" s="486"/>
      <c r="K496" s="486"/>
      <c r="L496" s="486"/>
      <c r="M496" s="486"/>
      <c r="N496" s="486"/>
      <c r="O496" s="486"/>
      <c r="P496" s="486"/>
      <c r="Q496" s="486"/>
      <c r="R496" s="486"/>
      <c r="S496" s="486"/>
      <c r="T496" s="486"/>
      <c r="U496" s="486"/>
      <c r="V496" s="486"/>
      <c r="W496" s="486"/>
      <c r="X496" s="486"/>
      <c r="Y496" s="486"/>
      <c r="Z496" s="486"/>
    </row>
    <row r="497" spans="1:26" ht="15.75" customHeight="1">
      <c r="A497" s="486"/>
      <c r="B497" s="486"/>
      <c r="C497" s="486"/>
      <c r="D497" s="486"/>
      <c r="E497" s="486"/>
      <c r="F497" s="486"/>
      <c r="G497" s="486"/>
      <c r="H497" s="486"/>
      <c r="I497" s="486"/>
      <c r="J497" s="486"/>
      <c r="K497" s="486"/>
      <c r="L497" s="486"/>
      <c r="M497" s="486"/>
      <c r="N497" s="486"/>
      <c r="O497" s="486"/>
      <c r="P497" s="486"/>
      <c r="Q497" s="486"/>
      <c r="R497" s="486"/>
      <c r="S497" s="486"/>
      <c r="T497" s="486"/>
      <c r="U497" s="486"/>
      <c r="V497" s="486"/>
      <c r="W497" s="486"/>
      <c r="X497" s="486"/>
      <c r="Y497" s="486"/>
      <c r="Z497" s="486"/>
    </row>
    <row r="498" spans="1:26" ht="15.75" customHeight="1">
      <c r="A498" s="486"/>
      <c r="B498" s="486"/>
      <c r="C498" s="486"/>
      <c r="D498" s="486"/>
      <c r="E498" s="486"/>
      <c r="F498" s="486"/>
      <c r="G498" s="486"/>
      <c r="H498" s="486"/>
      <c r="I498" s="486"/>
      <c r="J498" s="486"/>
      <c r="K498" s="486"/>
      <c r="L498" s="486"/>
      <c r="M498" s="486"/>
      <c r="N498" s="486"/>
      <c r="O498" s="486"/>
      <c r="P498" s="486"/>
      <c r="Q498" s="486"/>
      <c r="R498" s="486"/>
      <c r="S498" s="486"/>
      <c r="T498" s="486"/>
      <c r="U498" s="486"/>
      <c r="V498" s="486"/>
      <c r="W498" s="486"/>
      <c r="X498" s="486"/>
      <c r="Y498" s="486"/>
      <c r="Z498" s="486"/>
    </row>
    <row r="499" spans="1:26" ht="15.75" customHeight="1">
      <c r="A499" s="486"/>
      <c r="B499" s="486"/>
      <c r="C499" s="486"/>
      <c r="D499" s="486"/>
      <c r="E499" s="486"/>
      <c r="F499" s="486"/>
      <c r="G499" s="486"/>
      <c r="H499" s="486"/>
      <c r="I499" s="486"/>
      <c r="J499" s="486"/>
      <c r="K499" s="486"/>
      <c r="L499" s="486"/>
      <c r="M499" s="486"/>
      <c r="N499" s="486"/>
      <c r="O499" s="486"/>
      <c r="P499" s="486"/>
      <c r="Q499" s="486"/>
      <c r="R499" s="486"/>
      <c r="S499" s="486"/>
      <c r="T499" s="486"/>
      <c r="U499" s="486"/>
      <c r="V499" s="486"/>
      <c r="W499" s="486"/>
      <c r="X499" s="486"/>
      <c r="Y499" s="486"/>
      <c r="Z499" s="486"/>
    </row>
    <row r="500" spans="1:26" ht="15.75" customHeight="1">
      <c r="A500" s="486"/>
      <c r="B500" s="486"/>
      <c r="C500" s="486"/>
      <c r="D500" s="486"/>
      <c r="E500" s="486"/>
      <c r="F500" s="486"/>
      <c r="G500" s="486"/>
      <c r="H500" s="486"/>
      <c r="I500" s="486"/>
      <c r="J500" s="486"/>
      <c r="K500" s="486"/>
      <c r="L500" s="486"/>
      <c r="M500" s="486"/>
      <c r="N500" s="486"/>
      <c r="O500" s="486"/>
      <c r="P500" s="486"/>
      <c r="Q500" s="486"/>
      <c r="R500" s="486"/>
      <c r="S500" s="486"/>
      <c r="T500" s="486"/>
      <c r="U500" s="486"/>
      <c r="V500" s="486"/>
      <c r="W500" s="486"/>
      <c r="X500" s="486"/>
      <c r="Y500" s="486"/>
      <c r="Z500" s="486"/>
    </row>
    <row r="501" spans="1:26" ht="15.75" customHeight="1">
      <c r="A501" s="486"/>
      <c r="B501" s="486"/>
      <c r="C501" s="486"/>
      <c r="D501" s="486"/>
      <c r="E501" s="486"/>
      <c r="F501" s="486"/>
      <c r="G501" s="486"/>
      <c r="H501" s="486"/>
      <c r="I501" s="486"/>
      <c r="J501" s="486"/>
      <c r="K501" s="486"/>
      <c r="L501" s="486"/>
      <c r="M501" s="486"/>
      <c r="N501" s="486"/>
      <c r="O501" s="486"/>
      <c r="P501" s="486"/>
      <c r="Q501" s="486"/>
      <c r="R501" s="486"/>
      <c r="S501" s="486"/>
      <c r="T501" s="486"/>
      <c r="U501" s="486"/>
      <c r="V501" s="486"/>
      <c r="W501" s="486"/>
      <c r="X501" s="486"/>
      <c r="Y501" s="486"/>
      <c r="Z501" s="486"/>
    </row>
    <row r="502" spans="1:26" ht="15.75" customHeight="1">
      <c r="A502" s="486"/>
      <c r="B502" s="486"/>
      <c r="C502" s="486"/>
      <c r="D502" s="486"/>
      <c r="E502" s="486"/>
      <c r="F502" s="486"/>
      <c r="G502" s="486"/>
      <c r="H502" s="486"/>
      <c r="I502" s="486"/>
      <c r="J502" s="486"/>
      <c r="K502" s="486"/>
      <c r="L502" s="486"/>
      <c r="M502" s="486"/>
      <c r="N502" s="486"/>
      <c r="O502" s="486"/>
      <c r="P502" s="486"/>
      <c r="Q502" s="486"/>
      <c r="R502" s="486"/>
      <c r="S502" s="486"/>
      <c r="T502" s="486"/>
      <c r="U502" s="486"/>
      <c r="V502" s="486"/>
      <c r="W502" s="486"/>
      <c r="X502" s="486"/>
      <c r="Y502" s="486"/>
      <c r="Z502" s="486"/>
    </row>
    <row r="503" spans="1:26" ht="15.75" customHeight="1">
      <c r="A503" s="486"/>
      <c r="B503" s="486"/>
      <c r="C503" s="486"/>
      <c r="D503" s="486"/>
      <c r="E503" s="486"/>
      <c r="F503" s="486"/>
      <c r="G503" s="486"/>
      <c r="H503" s="486"/>
      <c r="I503" s="486"/>
      <c r="J503" s="486"/>
      <c r="K503" s="486"/>
      <c r="L503" s="486"/>
      <c r="M503" s="486"/>
      <c r="N503" s="486"/>
      <c r="O503" s="486"/>
      <c r="P503" s="486"/>
      <c r="Q503" s="486"/>
      <c r="R503" s="486"/>
      <c r="S503" s="486"/>
      <c r="T503" s="486"/>
      <c r="U503" s="486"/>
      <c r="V503" s="486"/>
      <c r="W503" s="486"/>
      <c r="X503" s="486"/>
      <c r="Y503" s="486"/>
      <c r="Z503" s="486"/>
    </row>
    <row r="504" spans="1:26" ht="15.75" customHeight="1">
      <c r="A504" s="486"/>
      <c r="B504" s="486"/>
      <c r="C504" s="486"/>
      <c r="D504" s="486"/>
      <c r="E504" s="486"/>
      <c r="F504" s="486"/>
      <c r="G504" s="486"/>
      <c r="H504" s="486"/>
      <c r="I504" s="486"/>
      <c r="J504" s="486"/>
      <c r="K504" s="486"/>
      <c r="L504" s="486"/>
      <c r="M504" s="486"/>
      <c r="N504" s="486"/>
      <c r="O504" s="486"/>
      <c r="P504" s="486"/>
      <c r="Q504" s="486"/>
      <c r="R504" s="486"/>
      <c r="S504" s="486"/>
      <c r="T504" s="486"/>
      <c r="U504" s="486"/>
      <c r="V504" s="486"/>
      <c r="W504" s="486"/>
      <c r="X504" s="486"/>
      <c r="Y504" s="486"/>
      <c r="Z504" s="486"/>
    </row>
    <row r="505" spans="1:26" ht="15.75" customHeight="1">
      <c r="A505" s="486"/>
      <c r="B505" s="486"/>
      <c r="C505" s="486"/>
      <c r="D505" s="486"/>
      <c r="E505" s="486"/>
      <c r="F505" s="486"/>
      <c r="G505" s="486"/>
      <c r="H505" s="486"/>
      <c r="I505" s="486"/>
      <c r="J505" s="486"/>
      <c r="K505" s="486"/>
      <c r="L505" s="486"/>
      <c r="M505" s="486"/>
      <c r="N505" s="486"/>
      <c r="O505" s="486"/>
      <c r="P505" s="486"/>
      <c r="Q505" s="486"/>
      <c r="R505" s="486"/>
      <c r="S505" s="486"/>
      <c r="T505" s="486"/>
      <c r="U505" s="486"/>
      <c r="V505" s="486"/>
      <c r="W505" s="486"/>
      <c r="X505" s="486"/>
      <c r="Y505" s="486"/>
      <c r="Z505" s="486"/>
    </row>
    <row r="506" spans="1:26" ht="15.75" customHeight="1">
      <c r="A506" s="486"/>
      <c r="B506" s="486"/>
      <c r="C506" s="486"/>
      <c r="D506" s="486"/>
      <c r="E506" s="486"/>
      <c r="F506" s="486"/>
      <c r="G506" s="486"/>
      <c r="H506" s="486"/>
      <c r="I506" s="486"/>
      <c r="J506" s="486"/>
      <c r="K506" s="486"/>
      <c r="L506" s="486"/>
      <c r="M506" s="486"/>
      <c r="N506" s="486"/>
      <c r="O506" s="486"/>
      <c r="P506" s="486"/>
      <c r="Q506" s="486"/>
      <c r="R506" s="486"/>
      <c r="S506" s="486"/>
      <c r="T506" s="486"/>
      <c r="U506" s="486"/>
      <c r="V506" s="486"/>
      <c r="W506" s="486"/>
      <c r="X506" s="486"/>
      <c r="Y506" s="486"/>
      <c r="Z506" s="486"/>
    </row>
    <row r="507" spans="1:26" ht="15.75" customHeight="1">
      <c r="A507" s="486"/>
      <c r="B507" s="486"/>
      <c r="C507" s="486"/>
      <c r="D507" s="486"/>
      <c r="E507" s="486"/>
      <c r="F507" s="486"/>
      <c r="G507" s="486"/>
      <c r="H507" s="486"/>
      <c r="I507" s="486"/>
      <c r="J507" s="486"/>
      <c r="K507" s="486"/>
      <c r="L507" s="486"/>
      <c r="M507" s="486"/>
      <c r="N507" s="486"/>
      <c r="O507" s="486"/>
      <c r="P507" s="486"/>
      <c r="Q507" s="486"/>
      <c r="R507" s="486"/>
      <c r="S507" s="486"/>
      <c r="T507" s="486"/>
      <c r="U507" s="486"/>
      <c r="V507" s="486"/>
      <c r="W507" s="486"/>
      <c r="X507" s="486"/>
      <c r="Y507" s="486"/>
      <c r="Z507" s="486"/>
    </row>
    <row r="508" spans="1:26" ht="15.75" customHeight="1">
      <c r="A508" s="486"/>
      <c r="B508" s="486"/>
      <c r="C508" s="486"/>
      <c r="D508" s="486"/>
      <c r="E508" s="486"/>
      <c r="F508" s="486"/>
      <c r="G508" s="486"/>
      <c r="H508" s="486"/>
      <c r="I508" s="486"/>
      <c r="J508" s="486"/>
      <c r="K508" s="486"/>
      <c r="L508" s="486"/>
      <c r="M508" s="486"/>
      <c r="N508" s="486"/>
      <c r="O508" s="486"/>
      <c r="P508" s="486"/>
      <c r="Q508" s="486"/>
      <c r="R508" s="486"/>
      <c r="S508" s="486"/>
      <c r="T508" s="486"/>
      <c r="U508" s="486"/>
      <c r="V508" s="486"/>
      <c r="W508" s="486"/>
      <c r="X508" s="486"/>
      <c r="Y508" s="486"/>
      <c r="Z508" s="486"/>
    </row>
    <row r="509" spans="1:26" ht="15.75" customHeight="1">
      <c r="A509" s="486"/>
      <c r="B509" s="486"/>
      <c r="C509" s="486"/>
      <c r="D509" s="486"/>
      <c r="E509" s="486"/>
      <c r="F509" s="486"/>
      <c r="G509" s="486"/>
      <c r="H509" s="486"/>
      <c r="I509" s="486"/>
      <c r="J509" s="486"/>
      <c r="K509" s="486"/>
      <c r="L509" s="486"/>
      <c r="M509" s="486"/>
      <c r="N509" s="486"/>
      <c r="O509" s="486"/>
      <c r="P509" s="486"/>
      <c r="Q509" s="486"/>
      <c r="R509" s="486"/>
      <c r="S509" s="486"/>
      <c r="T509" s="486"/>
      <c r="U509" s="486"/>
      <c r="V509" s="486"/>
      <c r="W509" s="486"/>
      <c r="X509" s="486"/>
      <c r="Y509" s="486"/>
      <c r="Z509" s="486"/>
    </row>
    <row r="510" spans="1:26" ht="15.75" customHeight="1">
      <c r="A510" s="486"/>
      <c r="B510" s="486"/>
      <c r="C510" s="486"/>
      <c r="D510" s="486"/>
      <c r="E510" s="486"/>
      <c r="F510" s="486"/>
      <c r="G510" s="486"/>
      <c r="H510" s="486"/>
      <c r="I510" s="486"/>
      <c r="J510" s="486"/>
      <c r="K510" s="486"/>
      <c r="L510" s="486"/>
      <c r="M510" s="486"/>
      <c r="N510" s="486"/>
      <c r="O510" s="486"/>
      <c r="P510" s="486"/>
      <c r="Q510" s="486"/>
      <c r="R510" s="486"/>
      <c r="S510" s="486"/>
      <c r="T510" s="486"/>
      <c r="U510" s="486"/>
      <c r="V510" s="486"/>
      <c r="W510" s="486"/>
      <c r="X510" s="486"/>
      <c r="Y510" s="486"/>
      <c r="Z510" s="486"/>
    </row>
    <row r="511" spans="1:26" ht="15.75" customHeight="1">
      <c r="A511" s="486"/>
      <c r="B511" s="486"/>
      <c r="C511" s="486"/>
      <c r="D511" s="486"/>
      <c r="E511" s="486"/>
      <c r="F511" s="486"/>
      <c r="G511" s="486"/>
      <c r="H511" s="486"/>
      <c r="I511" s="486"/>
      <c r="J511" s="486"/>
      <c r="K511" s="486"/>
      <c r="L511" s="486"/>
      <c r="M511" s="486"/>
      <c r="N511" s="486"/>
      <c r="O511" s="486"/>
      <c r="P511" s="486"/>
      <c r="Q511" s="486"/>
      <c r="R511" s="486"/>
      <c r="S511" s="486"/>
      <c r="T511" s="486"/>
      <c r="U511" s="486"/>
      <c r="V511" s="486"/>
      <c r="W511" s="486"/>
      <c r="X511" s="486"/>
      <c r="Y511" s="486"/>
      <c r="Z511" s="486"/>
    </row>
    <row r="512" spans="1:26" ht="15.75" customHeight="1">
      <c r="A512" s="486"/>
      <c r="B512" s="486"/>
      <c r="C512" s="486"/>
      <c r="D512" s="486"/>
      <c r="E512" s="486"/>
      <c r="F512" s="486"/>
      <c r="G512" s="486"/>
      <c r="H512" s="486"/>
      <c r="I512" s="486"/>
      <c r="J512" s="486"/>
      <c r="K512" s="486"/>
      <c r="L512" s="486"/>
      <c r="M512" s="486"/>
      <c r="N512" s="486"/>
      <c r="O512" s="486"/>
      <c r="P512" s="486"/>
      <c r="Q512" s="486"/>
      <c r="R512" s="486"/>
      <c r="S512" s="486"/>
      <c r="T512" s="486"/>
      <c r="U512" s="486"/>
      <c r="V512" s="486"/>
      <c r="W512" s="486"/>
      <c r="X512" s="486"/>
      <c r="Y512" s="486"/>
      <c r="Z512" s="486"/>
    </row>
    <row r="513" spans="1:26" ht="15.75" customHeight="1">
      <c r="A513" s="486"/>
      <c r="B513" s="486"/>
      <c r="C513" s="486"/>
      <c r="D513" s="486"/>
      <c r="E513" s="486"/>
      <c r="F513" s="486"/>
      <c r="G513" s="486"/>
      <c r="H513" s="486"/>
      <c r="I513" s="486"/>
      <c r="J513" s="486"/>
      <c r="K513" s="486"/>
      <c r="L513" s="486"/>
      <c r="M513" s="486"/>
      <c r="N513" s="486"/>
      <c r="O513" s="486"/>
      <c r="P513" s="486"/>
      <c r="Q513" s="486"/>
      <c r="R513" s="486"/>
      <c r="S513" s="486"/>
      <c r="T513" s="486"/>
      <c r="U513" s="486"/>
      <c r="V513" s="486"/>
      <c r="W513" s="486"/>
      <c r="X513" s="486"/>
      <c r="Y513" s="486"/>
      <c r="Z513" s="486"/>
    </row>
    <row r="514" spans="1:26" ht="15.75" customHeight="1">
      <c r="A514" s="486"/>
      <c r="B514" s="486"/>
      <c r="C514" s="486"/>
      <c r="D514" s="486"/>
      <c r="E514" s="486"/>
      <c r="F514" s="486"/>
      <c r="G514" s="486"/>
      <c r="H514" s="486"/>
      <c r="I514" s="486"/>
      <c r="J514" s="486"/>
      <c r="K514" s="486"/>
      <c r="L514" s="486"/>
      <c r="M514" s="486"/>
      <c r="N514" s="486"/>
      <c r="O514" s="486"/>
      <c r="P514" s="486"/>
      <c r="Q514" s="486"/>
      <c r="R514" s="486"/>
      <c r="S514" s="486"/>
      <c r="T514" s="486"/>
      <c r="U514" s="486"/>
      <c r="V514" s="486"/>
      <c r="W514" s="486"/>
      <c r="X514" s="486"/>
      <c r="Y514" s="486"/>
      <c r="Z514" s="486"/>
    </row>
    <row r="515" spans="1:26" ht="15.75" customHeight="1">
      <c r="A515" s="486"/>
      <c r="B515" s="486"/>
      <c r="C515" s="486"/>
      <c r="D515" s="486"/>
      <c r="E515" s="486"/>
      <c r="F515" s="486"/>
      <c r="G515" s="486"/>
      <c r="H515" s="486"/>
      <c r="I515" s="486"/>
      <c r="J515" s="486"/>
      <c r="K515" s="486"/>
      <c r="L515" s="486"/>
      <c r="M515" s="486"/>
      <c r="N515" s="486"/>
      <c r="O515" s="486"/>
      <c r="P515" s="486"/>
      <c r="Q515" s="486"/>
      <c r="R515" s="486"/>
      <c r="S515" s="486"/>
      <c r="T515" s="486"/>
      <c r="U515" s="486"/>
      <c r="V515" s="486"/>
      <c r="W515" s="486"/>
      <c r="X515" s="486"/>
      <c r="Y515" s="486"/>
      <c r="Z515" s="486"/>
    </row>
    <row r="516" spans="1:26" ht="15.75" customHeight="1">
      <c r="A516" s="486"/>
      <c r="B516" s="486"/>
      <c r="C516" s="486"/>
      <c r="D516" s="486"/>
      <c r="E516" s="486"/>
      <c r="F516" s="486"/>
      <c r="G516" s="486"/>
      <c r="H516" s="486"/>
      <c r="I516" s="486"/>
      <c r="J516" s="486"/>
      <c r="K516" s="486"/>
      <c r="L516" s="486"/>
      <c r="M516" s="486"/>
      <c r="N516" s="486"/>
      <c r="O516" s="486"/>
      <c r="P516" s="486"/>
      <c r="Q516" s="486"/>
      <c r="R516" s="486"/>
      <c r="S516" s="486"/>
      <c r="T516" s="486"/>
      <c r="U516" s="486"/>
      <c r="V516" s="486"/>
      <c r="W516" s="486"/>
      <c r="X516" s="486"/>
      <c r="Y516" s="486"/>
      <c r="Z516" s="486"/>
    </row>
    <row r="517" spans="1:26" ht="15.75" customHeight="1">
      <c r="A517" s="486"/>
      <c r="B517" s="486"/>
      <c r="C517" s="486"/>
      <c r="D517" s="486"/>
      <c r="E517" s="486"/>
      <c r="F517" s="486"/>
      <c r="G517" s="486"/>
      <c r="H517" s="486"/>
      <c r="I517" s="486"/>
      <c r="J517" s="486"/>
      <c r="K517" s="486"/>
      <c r="L517" s="486"/>
      <c r="M517" s="486"/>
      <c r="N517" s="486"/>
      <c r="O517" s="486"/>
      <c r="P517" s="486"/>
      <c r="Q517" s="486"/>
      <c r="R517" s="486"/>
      <c r="S517" s="486"/>
      <c r="T517" s="486"/>
      <c r="U517" s="486"/>
      <c r="V517" s="486"/>
      <c r="W517" s="486"/>
      <c r="X517" s="486"/>
      <c r="Y517" s="486"/>
      <c r="Z517" s="486"/>
    </row>
    <row r="518" spans="1:26" ht="15.75" customHeight="1">
      <c r="A518" s="486"/>
      <c r="B518" s="486"/>
      <c r="C518" s="486"/>
      <c r="D518" s="486"/>
      <c r="E518" s="486"/>
      <c r="F518" s="486"/>
      <c r="G518" s="486"/>
      <c r="H518" s="486"/>
      <c r="I518" s="486"/>
      <c r="J518" s="486"/>
      <c r="K518" s="486"/>
      <c r="L518" s="486"/>
      <c r="M518" s="486"/>
      <c r="N518" s="486"/>
      <c r="O518" s="486"/>
      <c r="P518" s="486"/>
      <c r="Q518" s="486"/>
      <c r="R518" s="486"/>
      <c r="S518" s="486"/>
      <c r="T518" s="486"/>
      <c r="U518" s="486"/>
      <c r="V518" s="486"/>
      <c r="W518" s="486"/>
      <c r="X518" s="486"/>
      <c r="Y518" s="486"/>
      <c r="Z518" s="486"/>
    </row>
    <row r="519" spans="1:26" ht="15.75" customHeight="1">
      <c r="A519" s="486"/>
      <c r="B519" s="486"/>
      <c r="C519" s="486"/>
      <c r="D519" s="486"/>
      <c r="E519" s="486"/>
      <c r="F519" s="486"/>
      <c r="G519" s="486"/>
      <c r="H519" s="486"/>
      <c r="I519" s="486"/>
      <c r="J519" s="486"/>
      <c r="K519" s="486"/>
      <c r="L519" s="486"/>
      <c r="M519" s="486"/>
      <c r="N519" s="486"/>
      <c r="O519" s="486"/>
      <c r="P519" s="486"/>
      <c r="Q519" s="486"/>
      <c r="R519" s="486"/>
      <c r="S519" s="486"/>
      <c r="T519" s="486"/>
      <c r="U519" s="486"/>
      <c r="V519" s="486"/>
      <c r="W519" s="486"/>
      <c r="X519" s="486"/>
      <c r="Y519" s="486"/>
      <c r="Z519" s="486"/>
    </row>
    <row r="520" spans="1:26" ht="15.75" customHeight="1">
      <c r="A520" s="486"/>
      <c r="B520" s="486"/>
      <c r="C520" s="486"/>
      <c r="D520" s="486"/>
      <c r="E520" s="486"/>
      <c r="F520" s="486"/>
      <c r="G520" s="486"/>
      <c r="H520" s="486"/>
      <c r="I520" s="486"/>
      <c r="J520" s="486"/>
      <c r="K520" s="486"/>
      <c r="L520" s="486"/>
      <c r="M520" s="486"/>
      <c r="N520" s="486"/>
      <c r="O520" s="486"/>
      <c r="P520" s="486"/>
      <c r="Q520" s="486"/>
      <c r="R520" s="486"/>
      <c r="S520" s="486"/>
      <c r="T520" s="486"/>
      <c r="U520" s="486"/>
      <c r="V520" s="486"/>
      <c r="W520" s="486"/>
      <c r="X520" s="486"/>
      <c r="Y520" s="486"/>
      <c r="Z520" s="486"/>
    </row>
    <row r="521" spans="1:26" ht="15.75" customHeight="1">
      <c r="A521" s="486"/>
      <c r="B521" s="486"/>
      <c r="C521" s="486"/>
      <c r="D521" s="486"/>
      <c r="E521" s="486"/>
      <c r="F521" s="486"/>
      <c r="G521" s="486"/>
      <c r="H521" s="486"/>
      <c r="I521" s="486"/>
      <c r="J521" s="486"/>
      <c r="K521" s="486"/>
      <c r="L521" s="486"/>
      <c r="M521" s="486"/>
      <c r="N521" s="486"/>
      <c r="O521" s="486"/>
      <c r="P521" s="486"/>
      <c r="Q521" s="486"/>
      <c r="R521" s="486"/>
      <c r="S521" s="486"/>
      <c r="T521" s="486"/>
      <c r="U521" s="486"/>
      <c r="V521" s="486"/>
      <c r="W521" s="486"/>
      <c r="X521" s="486"/>
      <c r="Y521" s="486"/>
      <c r="Z521" s="486"/>
    </row>
    <row r="522" spans="1:26" ht="15.75" customHeight="1">
      <c r="A522" s="486"/>
      <c r="B522" s="486"/>
      <c r="C522" s="486"/>
      <c r="D522" s="486"/>
      <c r="E522" s="486"/>
      <c r="F522" s="486"/>
      <c r="G522" s="486"/>
      <c r="H522" s="486"/>
      <c r="I522" s="486"/>
      <c r="J522" s="486"/>
      <c r="K522" s="486"/>
      <c r="L522" s="486"/>
      <c r="M522" s="486"/>
      <c r="N522" s="486"/>
      <c r="O522" s="486"/>
      <c r="P522" s="486"/>
      <c r="Q522" s="486"/>
      <c r="R522" s="486"/>
      <c r="S522" s="486"/>
      <c r="T522" s="486"/>
      <c r="U522" s="486"/>
      <c r="V522" s="486"/>
      <c r="W522" s="486"/>
      <c r="X522" s="486"/>
      <c r="Y522" s="486"/>
      <c r="Z522" s="486"/>
    </row>
    <row r="523" spans="1:26" ht="15.75" customHeight="1">
      <c r="A523" s="486"/>
      <c r="B523" s="486"/>
      <c r="C523" s="486"/>
      <c r="D523" s="486"/>
      <c r="E523" s="486"/>
      <c r="F523" s="486"/>
      <c r="G523" s="486"/>
      <c r="H523" s="486"/>
      <c r="I523" s="486"/>
      <c r="J523" s="486"/>
      <c r="K523" s="486"/>
      <c r="L523" s="486"/>
      <c r="M523" s="486"/>
      <c r="N523" s="486"/>
      <c r="O523" s="486"/>
      <c r="P523" s="486"/>
      <c r="Q523" s="486"/>
      <c r="R523" s="486"/>
      <c r="S523" s="486"/>
      <c r="T523" s="486"/>
      <c r="U523" s="486"/>
      <c r="V523" s="486"/>
      <c r="W523" s="486"/>
      <c r="X523" s="486"/>
      <c r="Y523" s="486"/>
      <c r="Z523" s="486"/>
    </row>
    <row r="524" spans="1:26" ht="15.75" customHeight="1">
      <c r="A524" s="486"/>
      <c r="B524" s="486"/>
      <c r="C524" s="486"/>
      <c r="D524" s="486"/>
      <c r="E524" s="486"/>
      <c r="F524" s="486"/>
      <c r="G524" s="486"/>
      <c r="H524" s="486"/>
      <c r="I524" s="486"/>
      <c r="J524" s="486"/>
      <c r="K524" s="486"/>
      <c r="L524" s="486"/>
      <c r="M524" s="486"/>
      <c r="N524" s="486"/>
      <c r="O524" s="486"/>
      <c r="P524" s="486"/>
      <c r="Q524" s="486"/>
      <c r="R524" s="486"/>
      <c r="S524" s="486"/>
      <c r="T524" s="486"/>
      <c r="U524" s="486"/>
      <c r="V524" s="486"/>
      <c r="W524" s="486"/>
      <c r="X524" s="486"/>
      <c r="Y524" s="486"/>
      <c r="Z524" s="486"/>
    </row>
    <row r="525" spans="1:26" ht="15.75" customHeight="1">
      <c r="A525" s="486"/>
      <c r="B525" s="486"/>
      <c r="C525" s="486"/>
      <c r="D525" s="486"/>
      <c r="E525" s="486"/>
      <c r="F525" s="486"/>
      <c r="G525" s="486"/>
      <c r="H525" s="486"/>
      <c r="I525" s="486"/>
      <c r="J525" s="486"/>
      <c r="K525" s="486"/>
      <c r="L525" s="486"/>
      <c r="M525" s="486"/>
      <c r="N525" s="486"/>
      <c r="O525" s="486"/>
      <c r="P525" s="486"/>
      <c r="Q525" s="486"/>
      <c r="R525" s="486"/>
      <c r="S525" s="486"/>
      <c r="T525" s="486"/>
      <c r="U525" s="486"/>
      <c r="V525" s="486"/>
      <c r="W525" s="486"/>
      <c r="X525" s="486"/>
      <c r="Y525" s="486"/>
      <c r="Z525" s="486"/>
    </row>
    <row r="526" spans="1:26" ht="15.75" customHeight="1">
      <c r="A526" s="486"/>
      <c r="B526" s="486"/>
      <c r="C526" s="486"/>
      <c r="D526" s="486"/>
      <c r="E526" s="486"/>
      <c r="F526" s="486"/>
      <c r="G526" s="486"/>
      <c r="H526" s="486"/>
      <c r="I526" s="486"/>
      <c r="J526" s="486"/>
      <c r="K526" s="486"/>
      <c r="L526" s="486"/>
      <c r="M526" s="486"/>
      <c r="N526" s="486"/>
      <c r="O526" s="486"/>
      <c r="P526" s="486"/>
      <c r="Q526" s="486"/>
      <c r="R526" s="486"/>
      <c r="S526" s="486"/>
      <c r="T526" s="486"/>
      <c r="U526" s="486"/>
      <c r="V526" s="486"/>
      <c r="W526" s="486"/>
      <c r="X526" s="486"/>
      <c r="Y526" s="486"/>
      <c r="Z526" s="486"/>
    </row>
    <row r="527" spans="1:26" ht="15.75" customHeight="1">
      <c r="A527" s="486"/>
      <c r="B527" s="486"/>
      <c r="C527" s="486"/>
      <c r="D527" s="486"/>
      <c r="E527" s="486"/>
      <c r="F527" s="486"/>
      <c r="G527" s="486"/>
      <c r="H527" s="486"/>
      <c r="I527" s="486"/>
      <c r="J527" s="486"/>
      <c r="K527" s="486"/>
      <c r="L527" s="486"/>
      <c r="M527" s="486"/>
      <c r="N527" s="486"/>
      <c r="O527" s="486"/>
      <c r="P527" s="486"/>
      <c r="Q527" s="486"/>
      <c r="R527" s="486"/>
      <c r="S527" s="486"/>
      <c r="T527" s="486"/>
      <c r="U527" s="486"/>
      <c r="V527" s="486"/>
      <c r="W527" s="486"/>
      <c r="X527" s="486"/>
      <c r="Y527" s="486"/>
      <c r="Z527" s="486"/>
    </row>
    <row r="528" spans="1:26" ht="15.75" customHeight="1">
      <c r="A528" s="486"/>
      <c r="B528" s="486"/>
      <c r="C528" s="486"/>
      <c r="D528" s="486"/>
      <c r="E528" s="486"/>
      <c r="F528" s="486"/>
      <c r="G528" s="486"/>
      <c r="H528" s="486"/>
      <c r="I528" s="486"/>
      <c r="J528" s="486"/>
      <c r="K528" s="486"/>
      <c r="L528" s="486"/>
      <c r="M528" s="486"/>
      <c r="N528" s="486"/>
      <c r="O528" s="486"/>
      <c r="P528" s="486"/>
      <c r="Q528" s="486"/>
      <c r="R528" s="486"/>
      <c r="S528" s="486"/>
      <c r="T528" s="486"/>
      <c r="U528" s="486"/>
      <c r="V528" s="486"/>
      <c r="W528" s="486"/>
      <c r="X528" s="486"/>
      <c r="Y528" s="486"/>
      <c r="Z528" s="486"/>
    </row>
    <row r="529" spans="1:26" ht="15.75" customHeight="1">
      <c r="A529" s="486"/>
      <c r="B529" s="486"/>
      <c r="C529" s="486"/>
      <c r="D529" s="486"/>
      <c r="E529" s="486"/>
      <c r="F529" s="486"/>
      <c r="G529" s="486"/>
      <c r="H529" s="486"/>
      <c r="I529" s="486"/>
      <c r="J529" s="486"/>
      <c r="K529" s="486"/>
      <c r="L529" s="486"/>
      <c r="M529" s="486"/>
      <c r="N529" s="486"/>
      <c r="O529" s="486"/>
      <c r="P529" s="486"/>
      <c r="Q529" s="486"/>
      <c r="R529" s="486"/>
      <c r="S529" s="486"/>
      <c r="T529" s="486"/>
      <c r="U529" s="486"/>
      <c r="V529" s="486"/>
      <c r="W529" s="486"/>
      <c r="X529" s="486"/>
      <c r="Y529" s="486"/>
      <c r="Z529" s="486"/>
    </row>
    <row r="530" spans="1:26" ht="15.75" customHeight="1">
      <c r="A530" s="486"/>
      <c r="B530" s="486"/>
      <c r="C530" s="486"/>
      <c r="D530" s="486"/>
      <c r="E530" s="486"/>
      <c r="F530" s="486"/>
      <c r="G530" s="486"/>
      <c r="H530" s="486"/>
      <c r="I530" s="486"/>
      <c r="J530" s="486"/>
      <c r="K530" s="486"/>
      <c r="L530" s="486"/>
      <c r="M530" s="486"/>
      <c r="N530" s="486"/>
      <c r="O530" s="486"/>
      <c r="P530" s="486"/>
      <c r="Q530" s="486"/>
      <c r="R530" s="486"/>
      <c r="S530" s="486"/>
      <c r="T530" s="486"/>
      <c r="U530" s="486"/>
      <c r="V530" s="486"/>
      <c r="W530" s="486"/>
      <c r="X530" s="486"/>
      <c r="Y530" s="486"/>
      <c r="Z530" s="486"/>
    </row>
    <row r="531" spans="1:26" ht="15.75" customHeight="1">
      <c r="A531" s="486"/>
      <c r="B531" s="486"/>
      <c r="C531" s="486"/>
      <c r="D531" s="486"/>
      <c r="E531" s="486"/>
      <c r="F531" s="486"/>
      <c r="G531" s="486"/>
      <c r="H531" s="486"/>
      <c r="I531" s="486"/>
      <c r="J531" s="486"/>
      <c r="K531" s="486"/>
      <c r="L531" s="486"/>
      <c r="M531" s="486"/>
      <c r="N531" s="486"/>
      <c r="O531" s="486"/>
      <c r="P531" s="486"/>
      <c r="Q531" s="486"/>
      <c r="R531" s="486"/>
      <c r="S531" s="486"/>
      <c r="T531" s="486"/>
      <c r="U531" s="486"/>
      <c r="V531" s="486"/>
      <c r="W531" s="486"/>
      <c r="X531" s="486"/>
      <c r="Y531" s="486"/>
      <c r="Z531" s="486"/>
    </row>
    <row r="532" spans="1:26" ht="15.75" customHeight="1">
      <c r="A532" s="486"/>
      <c r="B532" s="486"/>
      <c r="C532" s="486"/>
      <c r="D532" s="486"/>
      <c r="E532" s="486"/>
      <c r="F532" s="486"/>
      <c r="G532" s="486"/>
      <c r="H532" s="486"/>
      <c r="I532" s="486"/>
      <c r="J532" s="486"/>
      <c r="K532" s="486"/>
      <c r="L532" s="486"/>
      <c r="M532" s="486"/>
      <c r="N532" s="486"/>
      <c r="O532" s="486"/>
      <c r="P532" s="486"/>
      <c r="Q532" s="486"/>
      <c r="R532" s="486"/>
      <c r="S532" s="486"/>
      <c r="T532" s="486"/>
      <c r="U532" s="486"/>
      <c r="V532" s="486"/>
      <c r="W532" s="486"/>
      <c r="X532" s="486"/>
      <c r="Y532" s="486"/>
      <c r="Z532" s="486"/>
    </row>
    <row r="533" spans="1:26" ht="15.75" customHeight="1">
      <c r="A533" s="486"/>
      <c r="B533" s="486"/>
      <c r="C533" s="486"/>
      <c r="D533" s="486"/>
      <c r="E533" s="486"/>
      <c r="F533" s="486"/>
      <c r="G533" s="486"/>
      <c r="H533" s="486"/>
      <c r="I533" s="486"/>
      <c r="J533" s="486"/>
      <c r="K533" s="486"/>
      <c r="L533" s="486"/>
      <c r="M533" s="486"/>
      <c r="N533" s="486"/>
      <c r="O533" s="486"/>
      <c r="P533" s="486"/>
      <c r="Q533" s="486"/>
      <c r="R533" s="486"/>
      <c r="S533" s="486"/>
      <c r="T533" s="486"/>
      <c r="U533" s="486"/>
      <c r="V533" s="486"/>
      <c r="W533" s="486"/>
      <c r="X533" s="486"/>
      <c r="Y533" s="486"/>
      <c r="Z533" s="486"/>
    </row>
    <row r="534" spans="1:26" ht="15.75" customHeight="1">
      <c r="A534" s="486"/>
      <c r="B534" s="486"/>
      <c r="C534" s="486"/>
      <c r="D534" s="486"/>
      <c r="E534" s="486"/>
      <c r="F534" s="486"/>
      <c r="G534" s="486"/>
      <c r="H534" s="486"/>
      <c r="I534" s="486"/>
      <c r="J534" s="486"/>
      <c r="K534" s="486"/>
      <c r="L534" s="486"/>
      <c r="M534" s="486"/>
      <c r="N534" s="486"/>
      <c r="O534" s="486"/>
      <c r="P534" s="486"/>
      <c r="Q534" s="486"/>
      <c r="R534" s="486"/>
      <c r="S534" s="486"/>
      <c r="T534" s="486"/>
      <c r="U534" s="486"/>
      <c r="V534" s="486"/>
      <c r="W534" s="486"/>
      <c r="X534" s="486"/>
      <c r="Y534" s="486"/>
      <c r="Z534" s="486"/>
    </row>
    <row r="535" spans="1:26" ht="15.75" customHeight="1">
      <c r="A535" s="486"/>
      <c r="B535" s="486"/>
      <c r="C535" s="486"/>
      <c r="D535" s="486"/>
      <c r="E535" s="486"/>
      <c r="F535" s="486"/>
      <c r="G535" s="486"/>
      <c r="H535" s="486"/>
      <c r="I535" s="486"/>
      <c r="J535" s="486"/>
      <c r="K535" s="486"/>
      <c r="L535" s="486"/>
      <c r="M535" s="486"/>
      <c r="N535" s="486"/>
      <c r="O535" s="486"/>
      <c r="P535" s="486"/>
      <c r="Q535" s="486"/>
      <c r="R535" s="486"/>
      <c r="S535" s="486"/>
      <c r="T535" s="486"/>
      <c r="U535" s="486"/>
      <c r="V535" s="486"/>
      <c r="W535" s="486"/>
      <c r="X535" s="486"/>
      <c r="Y535" s="486"/>
      <c r="Z535" s="486"/>
    </row>
    <row r="536" spans="1:26" ht="15.75" customHeight="1">
      <c r="A536" s="486"/>
      <c r="B536" s="486"/>
      <c r="C536" s="486"/>
      <c r="D536" s="486"/>
      <c r="E536" s="486"/>
      <c r="F536" s="486"/>
      <c r="G536" s="486"/>
      <c r="H536" s="486"/>
      <c r="I536" s="486"/>
      <c r="J536" s="486"/>
      <c r="K536" s="486"/>
      <c r="L536" s="486"/>
      <c r="M536" s="486"/>
      <c r="N536" s="486"/>
      <c r="O536" s="486"/>
      <c r="P536" s="486"/>
      <c r="Q536" s="486"/>
      <c r="R536" s="486"/>
      <c r="S536" s="486"/>
      <c r="T536" s="486"/>
      <c r="U536" s="486"/>
      <c r="V536" s="486"/>
      <c r="W536" s="486"/>
      <c r="X536" s="486"/>
      <c r="Y536" s="486"/>
      <c r="Z536" s="486"/>
    </row>
    <row r="537" spans="1:26" ht="15.75" customHeight="1">
      <c r="A537" s="486"/>
      <c r="B537" s="486"/>
      <c r="C537" s="486"/>
      <c r="D537" s="486"/>
      <c r="E537" s="486"/>
      <c r="F537" s="486"/>
      <c r="G537" s="486"/>
      <c r="H537" s="486"/>
      <c r="I537" s="486"/>
      <c r="J537" s="486"/>
      <c r="K537" s="486"/>
      <c r="L537" s="486"/>
      <c r="M537" s="486"/>
      <c r="N537" s="486"/>
      <c r="O537" s="486"/>
      <c r="P537" s="486"/>
      <c r="Q537" s="486"/>
      <c r="R537" s="486"/>
      <c r="S537" s="486"/>
      <c r="T537" s="486"/>
      <c r="U537" s="486"/>
      <c r="V537" s="486"/>
      <c r="W537" s="486"/>
      <c r="X537" s="486"/>
      <c r="Y537" s="486"/>
      <c r="Z537" s="486"/>
    </row>
    <row r="538" spans="1:26" ht="15.75" customHeight="1">
      <c r="A538" s="486"/>
      <c r="B538" s="486"/>
      <c r="C538" s="486"/>
      <c r="D538" s="486"/>
      <c r="E538" s="486"/>
      <c r="F538" s="486"/>
      <c r="G538" s="486"/>
      <c r="H538" s="486"/>
      <c r="I538" s="486"/>
      <c r="J538" s="486"/>
      <c r="K538" s="486"/>
      <c r="L538" s="486"/>
      <c r="M538" s="486"/>
      <c r="N538" s="486"/>
      <c r="O538" s="486"/>
      <c r="P538" s="486"/>
      <c r="Q538" s="486"/>
      <c r="R538" s="486"/>
      <c r="S538" s="486"/>
      <c r="T538" s="486"/>
      <c r="U538" s="486"/>
      <c r="V538" s="486"/>
      <c r="W538" s="486"/>
      <c r="X538" s="486"/>
      <c r="Y538" s="486"/>
      <c r="Z538" s="486"/>
    </row>
    <row r="539" spans="1:26" ht="15.75" customHeight="1">
      <c r="A539" s="486"/>
      <c r="B539" s="486"/>
      <c r="C539" s="486"/>
      <c r="D539" s="486"/>
      <c r="E539" s="486"/>
      <c r="F539" s="486"/>
      <c r="G539" s="486"/>
      <c r="H539" s="486"/>
      <c r="I539" s="486"/>
      <c r="J539" s="486"/>
      <c r="K539" s="486"/>
      <c r="L539" s="486"/>
      <c r="M539" s="486"/>
      <c r="N539" s="486"/>
      <c r="O539" s="486"/>
      <c r="P539" s="486"/>
      <c r="Q539" s="486"/>
      <c r="R539" s="486"/>
      <c r="S539" s="486"/>
      <c r="T539" s="486"/>
      <c r="U539" s="486"/>
      <c r="V539" s="486"/>
      <c r="W539" s="486"/>
      <c r="X539" s="486"/>
      <c r="Y539" s="486"/>
      <c r="Z539" s="486"/>
    </row>
    <row r="540" spans="1:26" ht="15.75" customHeight="1">
      <c r="A540" s="486"/>
      <c r="B540" s="486"/>
      <c r="C540" s="486"/>
      <c r="D540" s="486"/>
      <c r="E540" s="486"/>
      <c r="F540" s="486"/>
      <c r="G540" s="486"/>
      <c r="H540" s="486"/>
      <c r="I540" s="486"/>
      <c r="J540" s="486"/>
      <c r="K540" s="486"/>
      <c r="L540" s="486"/>
      <c r="M540" s="486"/>
      <c r="N540" s="486"/>
      <c r="O540" s="486"/>
      <c r="P540" s="486"/>
      <c r="Q540" s="486"/>
      <c r="R540" s="486"/>
      <c r="S540" s="486"/>
      <c r="T540" s="486"/>
      <c r="U540" s="486"/>
      <c r="V540" s="486"/>
      <c r="W540" s="486"/>
      <c r="X540" s="486"/>
      <c r="Y540" s="486"/>
      <c r="Z540" s="486"/>
    </row>
    <row r="541" spans="1:26" ht="15.75" customHeight="1">
      <c r="A541" s="486"/>
      <c r="B541" s="486"/>
      <c r="C541" s="486"/>
      <c r="D541" s="486"/>
      <c r="E541" s="486"/>
      <c r="F541" s="486"/>
      <c r="G541" s="486"/>
      <c r="H541" s="486"/>
      <c r="I541" s="486"/>
      <c r="J541" s="486"/>
      <c r="K541" s="486"/>
      <c r="L541" s="486"/>
      <c r="M541" s="486"/>
      <c r="N541" s="486"/>
      <c r="O541" s="486"/>
      <c r="P541" s="486"/>
      <c r="Q541" s="486"/>
      <c r="R541" s="486"/>
      <c r="S541" s="486"/>
      <c r="T541" s="486"/>
      <c r="U541" s="486"/>
      <c r="V541" s="486"/>
      <c r="W541" s="486"/>
      <c r="X541" s="486"/>
      <c r="Y541" s="486"/>
      <c r="Z541" s="486"/>
    </row>
    <row r="542" spans="1:26" ht="15.75" customHeight="1">
      <c r="A542" s="486"/>
      <c r="B542" s="486"/>
      <c r="C542" s="486"/>
      <c r="D542" s="486"/>
      <c r="E542" s="486"/>
      <c r="F542" s="486"/>
      <c r="G542" s="486"/>
      <c r="H542" s="486"/>
      <c r="I542" s="486"/>
      <c r="J542" s="486"/>
      <c r="K542" s="486"/>
      <c r="L542" s="486"/>
      <c r="M542" s="486"/>
      <c r="N542" s="486"/>
      <c r="O542" s="486"/>
      <c r="P542" s="486"/>
      <c r="Q542" s="486"/>
      <c r="R542" s="486"/>
      <c r="S542" s="486"/>
      <c r="T542" s="486"/>
      <c r="U542" s="486"/>
      <c r="V542" s="486"/>
      <c r="W542" s="486"/>
      <c r="X542" s="486"/>
      <c r="Y542" s="486"/>
      <c r="Z542" s="486"/>
    </row>
    <row r="543" spans="1:26" ht="15.75" customHeight="1">
      <c r="A543" s="486"/>
      <c r="B543" s="486"/>
      <c r="C543" s="486"/>
      <c r="D543" s="486"/>
      <c r="E543" s="486"/>
      <c r="F543" s="486"/>
      <c r="G543" s="486"/>
      <c r="H543" s="486"/>
      <c r="I543" s="486"/>
      <c r="J543" s="486"/>
      <c r="K543" s="486"/>
      <c r="L543" s="486"/>
      <c r="M543" s="486"/>
      <c r="N543" s="486"/>
      <c r="O543" s="486"/>
      <c r="P543" s="486"/>
      <c r="Q543" s="486"/>
      <c r="R543" s="486"/>
      <c r="S543" s="486"/>
      <c r="T543" s="486"/>
      <c r="U543" s="486"/>
      <c r="V543" s="486"/>
      <c r="W543" s="486"/>
      <c r="X543" s="486"/>
      <c r="Y543" s="486"/>
      <c r="Z543" s="486"/>
    </row>
    <row r="544" spans="1:26" ht="15.75" customHeight="1">
      <c r="A544" s="486"/>
      <c r="B544" s="486"/>
      <c r="C544" s="486"/>
      <c r="D544" s="486"/>
      <c r="E544" s="486"/>
      <c r="F544" s="486"/>
      <c r="G544" s="486"/>
      <c r="H544" s="486"/>
      <c r="I544" s="486"/>
      <c r="J544" s="486"/>
      <c r="K544" s="486"/>
      <c r="L544" s="486"/>
      <c r="M544" s="486"/>
      <c r="N544" s="486"/>
      <c r="O544" s="486"/>
      <c r="P544" s="486"/>
      <c r="Q544" s="486"/>
      <c r="R544" s="486"/>
      <c r="S544" s="486"/>
      <c r="T544" s="486"/>
      <c r="U544" s="486"/>
      <c r="V544" s="486"/>
      <c r="W544" s="486"/>
      <c r="X544" s="486"/>
      <c r="Y544" s="486"/>
      <c r="Z544" s="486"/>
    </row>
    <row r="545" spans="1:26" ht="15.75" customHeight="1">
      <c r="A545" s="486"/>
      <c r="B545" s="486"/>
      <c r="C545" s="486"/>
      <c r="D545" s="486"/>
      <c r="E545" s="486"/>
      <c r="F545" s="486"/>
      <c r="G545" s="486"/>
      <c r="H545" s="486"/>
      <c r="I545" s="486"/>
      <c r="J545" s="486"/>
      <c r="K545" s="486"/>
      <c r="L545" s="486"/>
      <c r="M545" s="486"/>
      <c r="N545" s="486"/>
      <c r="O545" s="486"/>
      <c r="P545" s="486"/>
      <c r="Q545" s="486"/>
      <c r="R545" s="486"/>
      <c r="S545" s="486"/>
      <c r="T545" s="486"/>
      <c r="U545" s="486"/>
      <c r="V545" s="486"/>
      <c r="W545" s="486"/>
      <c r="X545" s="486"/>
      <c r="Y545" s="486"/>
      <c r="Z545" s="486"/>
    </row>
    <row r="546" spans="1:26" ht="15.75" customHeight="1">
      <c r="A546" s="486"/>
      <c r="B546" s="486"/>
      <c r="C546" s="486"/>
      <c r="D546" s="486"/>
      <c r="E546" s="486"/>
      <c r="F546" s="486"/>
      <c r="G546" s="486"/>
      <c r="H546" s="486"/>
      <c r="I546" s="486"/>
      <c r="J546" s="486"/>
      <c r="K546" s="486"/>
      <c r="L546" s="486"/>
      <c r="M546" s="486"/>
      <c r="N546" s="486"/>
      <c r="O546" s="486"/>
      <c r="P546" s="486"/>
      <c r="Q546" s="486"/>
      <c r="R546" s="486"/>
      <c r="S546" s="486"/>
      <c r="T546" s="486"/>
      <c r="U546" s="486"/>
      <c r="V546" s="486"/>
      <c r="W546" s="486"/>
      <c r="X546" s="486"/>
      <c r="Y546" s="486"/>
      <c r="Z546" s="486"/>
    </row>
    <row r="547" spans="1:26" ht="15.75" customHeight="1">
      <c r="A547" s="486"/>
      <c r="B547" s="486"/>
      <c r="C547" s="486"/>
      <c r="D547" s="486"/>
      <c r="E547" s="486"/>
      <c r="F547" s="486"/>
      <c r="G547" s="486"/>
      <c r="H547" s="486"/>
      <c r="I547" s="486"/>
      <c r="J547" s="486"/>
      <c r="K547" s="486"/>
      <c r="L547" s="486"/>
      <c r="M547" s="486"/>
      <c r="N547" s="486"/>
      <c r="O547" s="486"/>
      <c r="P547" s="486"/>
      <c r="Q547" s="486"/>
      <c r="R547" s="486"/>
      <c r="S547" s="486"/>
      <c r="T547" s="486"/>
      <c r="U547" s="486"/>
      <c r="V547" s="486"/>
      <c r="W547" s="486"/>
      <c r="X547" s="486"/>
      <c r="Y547" s="486"/>
      <c r="Z547" s="486"/>
    </row>
    <row r="548" spans="1:26" ht="15.75" customHeight="1">
      <c r="A548" s="486"/>
      <c r="B548" s="486"/>
      <c r="C548" s="486"/>
      <c r="D548" s="486"/>
      <c r="E548" s="486"/>
      <c r="F548" s="486"/>
      <c r="G548" s="486"/>
      <c r="H548" s="486"/>
      <c r="I548" s="486"/>
      <c r="J548" s="486"/>
      <c r="K548" s="486"/>
      <c r="L548" s="486"/>
      <c r="M548" s="486"/>
      <c r="N548" s="486"/>
      <c r="O548" s="486"/>
      <c r="P548" s="486"/>
      <c r="Q548" s="486"/>
      <c r="R548" s="486"/>
      <c r="S548" s="486"/>
      <c r="T548" s="486"/>
      <c r="U548" s="486"/>
      <c r="V548" s="486"/>
      <c r="W548" s="486"/>
      <c r="X548" s="486"/>
      <c r="Y548" s="486"/>
      <c r="Z548" s="486"/>
    </row>
    <row r="549" spans="1:26" ht="15.75" customHeight="1">
      <c r="A549" s="486"/>
      <c r="B549" s="486"/>
      <c r="C549" s="486"/>
      <c r="D549" s="486"/>
      <c r="E549" s="486"/>
      <c r="F549" s="486"/>
      <c r="G549" s="486"/>
      <c r="H549" s="486"/>
      <c r="I549" s="486"/>
      <c r="J549" s="486"/>
      <c r="K549" s="486"/>
      <c r="L549" s="486"/>
      <c r="M549" s="486"/>
      <c r="N549" s="486"/>
      <c r="O549" s="486"/>
      <c r="P549" s="486"/>
      <c r="Q549" s="486"/>
      <c r="R549" s="486"/>
      <c r="S549" s="486"/>
      <c r="T549" s="486"/>
      <c r="U549" s="486"/>
      <c r="V549" s="486"/>
      <c r="W549" s="486"/>
      <c r="X549" s="486"/>
      <c r="Y549" s="486"/>
      <c r="Z549" s="486"/>
    </row>
    <row r="550" spans="1:26" ht="15.75" customHeight="1">
      <c r="A550" s="486"/>
      <c r="B550" s="486"/>
      <c r="C550" s="486"/>
      <c r="D550" s="486"/>
      <c r="E550" s="486"/>
      <c r="F550" s="486"/>
      <c r="G550" s="486"/>
      <c r="H550" s="486"/>
      <c r="I550" s="486"/>
      <c r="J550" s="486"/>
      <c r="K550" s="486"/>
      <c r="L550" s="486"/>
      <c r="M550" s="486"/>
      <c r="N550" s="486"/>
      <c r="O550" s="486"/>
      <c r="P550" s="486"/>
      <c r="Q550" s="486"/>
      <c r="R550" s="486"/>
      <c r="S550" s="486"/>
      <c r="T550" s="486"/>
      <c r="U550" s="486"/>
      <c r="V550" s="486"/>
      <c r="W550" s="486"/>
      <c r="X550" s="486"/>
      <c r="Y550" s="486"/>
      <c r="Z550" s="486"/>
    </row>
    <row r="551" spans="1:26" ht="15.75" customHeight="1">
      <c r="A551" s="486"/>
      <c r="B551" s="486"/>
      <c r="C551" s="486"/>
      <c r="D551" s="486"/>
      <c r="E551" s="486"/>
      <c r="F551" s="486"/>
      <c r="G551" s="486"/>
      <c r="H551" s="486"/>
      <c r="I551" s="486"/>
      <c r="J551" s="486"/>
      <c r="K551" s="486"/>
      <c r="L551" s="486"/>
      <c r="M551" s="486"/>
      <c r="N551" s="486"/>
      <c r="O551" s="486"/>
      <c r="P551" s="486"/>
      <c r="Q551" s="486"/>
      <c r="R551" s="486"/>
      <c r="S551" s="486"/>
      <c r="T551" s="486"/>
      <c r="U551" s="486"/>
      <c r="V551" s="486"/>
      <c r="W551" s="486"/>
      <c r="X551" s="486"/>
      <c r="Y551" s="486"/>
      <c r="Z551" s="486"/>
    </row>
    <row r="552" spans="1:26" ht="15.75" customHeight="1">
      <c r="A552" s="486"/>
      <c r="B552" s="486"/>
      <c r="C552" s="486"/>
      <c r="D552" s="486"/>
      <c r="E552" s="486"/>
      <c r="F552" s="486"/>
      <c r="G552" s="486"/>
      <c r="H552" s="486"/>
      <c r="I552" s="486"/>
      <c r="J552" s="486"/>
      <c r="K552" s="486"/>
      <c r="L552" s="486"/>
      <c r="M552" s="486"/>
      <c r="N552" s="486"/>
      <c r="O552" s="486"/>
      <c r="P552" s="486"/>
      <c r="Q552" s="486"/>
      <c r="R552" s="486"/>
      <c r="S552" s="486"/>
      <c r="T552" s="486"/>
      <c r="U552" s="486"/>
      <c r="V552" s="486"/>
      <c r="W552" s="486"/>
      <c r="X552" s="486"/>
      <c r="Y552" s="486"/>
      <c r="Z552" s="486"/>
    </row>
    <row r="553" spans="1:26" ht="15.75" customHeight="1">
      <c r="A553" s="486"/>
      <c r="B553" s="486"/>
      <c r="C553" s="486"/>
      <c r="D553" s="486"/>
      <c r="E553" s="486"/>
      <c r="F553" s="486"/>
      <c r="G553" s="486"/>
      <c r="H553" s="486"/>
      <c r="I553" s="486"/>
      <c r="J553" s="486"/>
      <c r="K553" s="486"/>
      <c r="L553" s="486"/>
      <c r="M553" s="486"/>
      <c r="N553" s="486"/>
      <c r="O553" s="486"/>
      <c r="P553" s="486"/>
      <c r="Q553" s="486"/>
      <c r="R553" s="486"/>
      <c r="S553" s="486"/>
      <c r="T553" s="486"/>
      <c r="U553" s="486"/>
      <c r="V553" s="486"/>
      <c r="W553" s="486"/>
      <c r="X553" s="486"/>
      <c r="Y553" s="486"/>
      <c r="Z553" s="486"/>
    </row>
    <row r="554" spans="1:26" ht="15.75" customHeight="1">
      <c r="A554" s="486"/>
      <c r="B554" s="486"/>
      <c r="C554" s="486"/>
      <c r="D554" s="486"/>
      <c r="E554" s="486"/>
      <c r="F554" s="486"/>
      <c r="G554" s="486"/>
      <c r="H554" s="486"/>
      <c r="I554" s="486"/>
      <c r="J554" s="486"/>
      <c r="K554" s="486"/>
      <c r="L554" s="486"/>
      <c r="M554" s="486"/>
      <c r="N554" s="486"/>
      <c r="O554" s="486"/>
      <c r="P554" s="486"/>
      <c r="Q554" s="486"/>
      <c r="R554" s="486"/>
      <c r="S554" s="486"/>
      <c r="T554" s="486"/>
      <c r="U554" s="486"/>
      <c r="V554" s="486"/>
      <c r="W554" s="486"/>
      <c r="X554" s="486"/>
      <c r="Y554" s="486"/>
      <c r="Z554" s="486"/>
    </row>
    <row r="555" spans="1:26" ht="15.75" customHeight="1">
      <c r="A555" s="486"/>
      <c r="B555" s="486"/>
      <c r="C555" s="486"/>
      <c r="D555" s="486"/>
      <c r="E555" s="486"/>
      <c r="F555" s="486"/>
      <c r="G555" s="486"/>
      <c r="H555" s="486"/>
      <c r="I555" s="486"/>
      <c r="J555" s="486"/>
      <c r="K555" s="486"/>
      <c r="L555" s="486"/>
      <c r="M555" s="486"/>
      <c r="N555" s="486"/>
      <c r="O555" s="486"/>
      <c r="P555" s="486"/>
      <c r="Q555" s="486"/>
      <c r="R555" s="486"/>
      <c r="S555" s="486"/>
      <c r="T555" s="486"/>
      <c r="U555" s="486"/>
      <c r="V555" s="486"/>
      <c r="W555" s="486"/>
      <c r="X555" s="486"/>
      <c r="Y555" s="486"/>
      <c r="Z555" s="486"/>
    </row>
    <row r="556" spans="1:26" ht="15.75" customHeight="1">
      <c r="A556" s="486"/>
      <c r="B556" s="486"/>
      <c r="C556" s="486"/>
      <c r="D556" s="486"/>
      <c r="E556" s="486"/>
      <c r="F556" s="486"/>
      <c r="G556" s="486"/>
      <c r="H556" s="486"/>
      <c r="I556" s="486"/>
      <c r="J556" s="486"/>
      <c r="K556" s="486"/>
      <c r="L556" s="486"/>
      <c r="M556" s="486"/>
      <c r="N556" s="486"/>
      <c r="O556" s="486"/>
      <c r="P556" s="486"/>
      <c r="Q556" s="486"/>
      <c r="R556" s="486"/>
      <c r="S556" s="486"/>
      <c r="T556" s="486"/>
      <c r="U556" s="486"/>
      <c r="V556" s="486"/>
      <c r="W556" s="486"/>
      <c r="X556" s="486"/>
      <c r="Y556" s="486"/>
      <c r="Z556" s="486"/>
    </row>
    <row r="557" spans="1:26" ht="15.75" customHeight="1">
      <c r="A557" s="486"/>
      <c r="B557" s="486"/>
      <c r="C557" s="486"/>
      <c r="D557" s="486"/>
      <c r="E557" s="486"/>
      <c r="F557" s="486"/>
      <c r="G557" s="486"/>
      <c r="H557" s="486"/>
      <c r="I557" s="486"/>
      <c r="J557" s="486"/>
      <c r="K557" s="486"/>
      <c r="L557" s="486"/>
      <c r="M557" s="486"/>
      <c r="N557" s="486"/>
      <c r="O557" s="486"/>
      <c r="P557" s="486"/>
      <c r="Q557" s="486"/>
      <c r="R557" s="486"/>
      <c r="S557" s="486"/>
      <c r="T557" s="486"/>
      <c r="U557" s="486"/>
      <c r="V557" s="486"/>
      <c r="W557" s="486"/>
      <c r="X557" s="486"/>
      <c r="Y557" s="486"/>
      <c r="Z557" s="486"/>
    </row>
    <row r="558" spans="1:26" ht="15.75" customHeight="1">
      <c r="A558" s="486"/>
      <c r="B558" s="486"/>
      <c r="C558" s="486"/>
      <c r="D558" s="486"/>
      <c r="E558" s="486"/>
      <c r="F558" s="486"/>
      <c r="G558" s="486"/>
      <c r="H558" s="486"/>
      <c r="I558" s="486"/>
      <c r="J558" s="486"/>
      <c r="K558" s="486"/>
      <c r="L558" s="486"/>
      <c r="M558" s="486"/>
      <c r="N558" s="486"/>
      <c r="O558" s="486"/>
      <c r="P558" s="486"/>
      <c r="Q558" s="486"/>
      <c r="R558" s="486"/>
      <c r="S558" s="486"/>
      <c r="T558" s="486"/>
      <c r="U558" s="486"/>
      <c r="V558" s="486"/>
      <c r="W558" s="486"/>
      <c r="X558" s="486"/>
      <c r="Y558" s="486"/>
      <c r="Z558" s="486"/>
    </row>
    <row r="559" spans="1:26" ht="15.75" customHeight="1">
      <c r="A559" s="486"/>
      <c r="B559" s="486"/>
      <c r="C559" s="486"/>
      <c r="D559" s="486"/>
      <c r="E559" s="486"/>
      <c r="F559" s="486"/>
      <c r="G559" s="486"/>
      <c r="H559" s="486"/>
      <c r="I559" s="486"/>
      <c r="J559" s="486"/>
      <c r="K559" s="486"/>
      <c r="L559" s="486"/>
      <c r="M559" s="486"/>
      <c r="N559" s="486"/>
      <c r="O559" s="486"/>
      <c r="P559" s="486"/>
      <c r="Q559" s="486"/>
      <c r="R559" s="486"/>
      <c r="S559" s="486"/>
      <c r="T559" s="486"/>
      <c r="U559" s="486"/>
      <c r="V559" s="486"/>
      <c r="W559" s="486"/>
      <c r="X559" s="486"/>
      <c r="Y559" s="486"/>
      <c r="Z559" s="486"/>
    </row>
    <row r="560" spans="1:26" ht="15.75" customHeight="1">
      <c r="A560" s="486"/>
      <c r="B560" s="486"/>
      <c r="C560" s="486"/>
      <c r="D560" s="486"/>
      <c r="E560" s="486"/>
      <c r="F560" s="486"/>
      <c r="G560" s="486"/>
      <c r="H560" s="486"/>
      <c r="I560" s="486"/>
      <c r="J560" s="486"/>
      <c r="K560" s="486"/>
      <c r="L560" s="486"/>
      <c r="M560" s="486"/>
      <c r="N560" s="486"/>
      <c r="O560" s="486"/>
      <c r="P560" s="486"/>
      <c r="Q560" s="486"/>
      <c r="R560" s="486"/>
      <c r="S560" s="486"/>
      <c r="T560" s="486"/>
      <c r="U560" s="486"/>
      <c r="V560" s="486"/>
      <c r="W560" s="486"/>
      <c r="X560" s="486"/>
      <c r="Y560" s="486"/>
      <c r="Z560" s="486"/>
    </row>
    <row r="561" spans="1:26" ht="15.75" customHeight="1">
      <c r="A561" s="486"/>
      <c r="B561" s="486"/>
      <c r="C561" s="486"/>
      <c r="D561" s="486"/>
      <c r="E561" s="486"/>
      <c r="F561" s="486"/>
      <c r="G561" s="486"/>
      <c r="H561" s="486"/>
      <c r="I561" s="486"/>
      <c r="J561" s="486"/>
      <c r="K561" s="486"/>
      <c r="L561" s="486"/>
      <c r="M561" s="486"/>
      <c r="N561" s="486"/>
      <c r="O561" s="486"/>
      <c r="P561" s="486"/>
      <c r="Q561" s="486"/>
      <c r="R561" s="486"/>
      <c r="S561" s="486"/>
      <c r="T561" s="486"/>
      <c r="U561" s="486"/>
      <c r="V561" s="486"/>
      <c r="W561" s="486"/>
      <c r="X561" s="486"/>
      <c r="Y561" s="486"/>
      <c r="Z561" s="486"/>
    </row>
    <row r="562" spans="1:26" ht="15.75" customHeight="1">
      <c r="A562" s="486"/>
      <c r="B562" s="486"/>
      <c r="C562" s="486"/>
      <c r="D562" s="486"/>
      <c r="E562" s="486"/>
      <c r="F562" s="486"/>
      <c r="G562" s="486"/>
      <c r="H562" s="486"/>
      <c r="I562" s="486"/>
      <c r="J562" s="486"/>
      <c r="K562" s="486"/>
      <c r="L562" s="486"/>
      <c r="M562" s="486"/>
      <c r="N562" s="486"/>
      <c r="O562" s="486"/>
      <c r="P562" s="486"/>
      <c r="Q562" s="486"/>
      <c r="R562" s="486"/>
      <c r="S562" s="486"/>
      <c r="T562" s="486"/>
      <c r="U562" s="486"/>
      <c r="V562" s="486"/>
      <c r="W562" s="486"/>
      <c r="X562" s="486"/>
      <c r="Y562" s="486"/>
      <c r="Z562" s="486"/>
    </row>
    <row r="563" spans="1:26" ht="15.75" customHeight="1">
      <c r="A563" s="486"/>
      <c r="B563" s="486"/>
      <c r="C563" s="486"/>
      <c r="D563" s="486"/>
      <c r="E563" s="486"/>
      <c r="F563" s="486"/>
      <c r="G563" s="486"/>
      <c r="H563" s="486"/>
      <c r="I563" s="486"/>
      <c r="J563" s="486"/>
      <c r="K563" s="486"/>
      <c r="L563" s="486"/>
      <c r="M563" s="486"/>
      <c r="N563" s="486"/>
      <c r="O563" s="486"/>
      <c r="P563" s="486"/>
      <c r="Q563" s="486"/>
      <c r="R563" s="486"/>
      <c r="S563" s="486"/>
      <c r="T563" s="486"/>
      <c r="U563" s="486"/>
      <c r="V563" s="486"/>
      <c r="W563" s="486"/>
      <c r="X563" s="486"/>
      <c r="Y563" s="486"/>
      <c r="Z563" s="486"/>
    </row>
    <row r="564" spans="1:26" ht="15.75" customHeight="1">
      <c r="A564" s="486"/>
      <c r="B564" s="486"/>
      <c r="C564" s="486"/>
      <c r="D564" s="486"/>
      <c r="E564" s="486"/>
      <c r="F564" s="486"/>
      <c r="G564" s="486"/>
      <c r="H564" s="486"/>
      <c r="I564" s="486"/>
      <c r="J564" s="486"/>
      <c r="K564" s="486"/>
      <c r="L564" s="486"/>
      <c r="M564" s="486"/>
      <c r="N564" s="486"/>
      <c r="O564" s="486"/>
      <c r="P564" s="486"/>
      <c r="Q564" s="486"/>
      <c r="R564" s="486"/>
      <c r="S564" s="486"/>
      <c r="T564" s="486"/>
      <c r="U564" s="486"/>
      <c r="V564" s="486"/>
      <c r="W564" s="486"/>
      <c r="X564" s="486"/>
      <c r="Y564" s="486"/>
      <c r="Z564" s="486"/>
    </row>
    <row r="565" spans="1:26" ht="15.75" customHeight="1">
      <c r="A565" s="486"/>
      <c r="B565" s="486"/>
      <c r="C565" s="486"/>
      <c r="D565" s="486"/>
      <c r="E565" s="486"/>
      <c r="F565" s="486"/>
      <c r="G565" s="486"/>
      <c r="H565" s="486"/>
      <c r="I565" s="486"/>
      <c r="J565" s="486"/>
      <c r="K565" s="486"/>
      <c r="L565" s="486"/>
      <c r="M565" s="486"/>
      <c r="N565" s="486"/>
      <c r="O565" s="486"/>
      <c r="P565" s="486"/>
      <c r="Q565" s="486"/>
      <c r="R565" s="486"/>
      <c r="S565" s="486"/>
      <c r="T565" s="486"/>
      <c r="U565" s="486"/>
      <c r="V565" s="486"/>
      <c r="W565" s="486"/>
      <c r="X565" s="486"/>
      <c r="Y565" s="486"/>
      <c r="Z565" s="486"/>
    </row>
    <row r="566" spans="1:26" ht="15.75" customHeight="1">
      <c r="A566" s="486"/>
      <c r="B566" s="486"/>
      <c r="C566" s="486"/>
      <c r="D566" s="486"/>
      <c r="E566" s="486"/>
      <c r="F566" s="486"/>
      <c r="G566" s="486"/>
      <c r="H566" s="486"/>
      <c r="I566" s="486"/>
      <c r="J566" s="486"/>
      <c r="K566" s="486"/>
      <c r="L566" s="486"/>
      <c r="M566" s="486"/>
      <c r="N566" s="486"/>
      <c r="O566" s="486"/>
      <c r="P566" s="486"/>
      <c r="Q566" s="486"/>
      <c r="R566" s="486"/>
      <c r="S566" s="486"/>
      <c r="T566" s="486"/>
      <c r="U566" s="486"/>
      <c r="V566" s="486"/>
      <c r="W566" s="486"/>
      <c r="X566" s="486"/>
      <c r="Y566" s="486"/>
      <c r="Z566" s="486"/>
    </row>
    <row r="567" spans="1:26" ht="15.75" customHeight="1">
      <c r="A567" s="486"/>
      <c r="B567" s="486"/>
      <c r="C567" s="486"/>
      <c r="D567" s="486"/>
      <c r="E567" s="486"/>
      <c r="F567" s="486"/>
      <c r="G567" s="486"/>
      <c r="H567" s="486"/>
      <c r="I567" s="486"/>
      <c r="J567" s="486"/>
      <c r="K567" s="486"/>
      <c r="L567" s="486"/>
      <c r="M567" s="486"/>
      <c r="N567" s="486"/>
      <c r="O567" s="486"/>
      <c r="P567" s="486"/>
      <c r="Q567" s="486"/>
      <c r="R567" s="486"/>
      <c r="S567" s="486"/>
      <c r="T567" s="486"/>
      <c r="U567" s="486"/>
      <c r="V567" s="486"/>
      <c r="W567" s="486"/>
      <c r="X567" s="486"/>
      <c r="Y567" s="486"/>
      <c r="Z567" s="486"/>
    </row>
    <row r="568" spans="1:26" ht="15.75" customHeight="1">
      <c r="A568" s="486"/>
      <c r="B568" s="486"/>
      <c r="C568" s="486"/>
      <c r="D568" s="486"/>
      <c r="E568" s="486"/>
      <c r="F568" s="486"/>
      <c r="G568" s="486"/>
      <c r="H568" s="486"/>
      <c r="I568" s="486"/>
      <c r="J568" s="486"/>
      <c r="K568" s="486"/>
      <c r="L568" s="486"/>
      <c r="M568" s="486"/>
      <c r="N568" s="486"/>
      <c r="O568" s="486"/>
      <c r="P568" s="486"/>
      <c r="Q568" s="486"/>
      <c r="R568" s="486"/>
      <c r="S568" s="486"/>
      <c r="T568" s="486"/>
      <c r="U568" s="486"/>
      <c r="V568" s="486"/>
      <c r="W568" s="486"/>
      <c r="X568" s="486"/>
      <c r="Y568" s="486"/>
      <c r="Z568" s="486"/>
    </row>
    <row r="569" spans="1:26" ht="15.75" customHeight="1">
      <c r="A569" s="486"/>
      <c r="B569" s="486"/>
      <c r="C569" s="486"/>
      <c r="D569" s="486"/>
      <c r="E569" s="486"/>
      <c r="F569" s="486"/>
      <c r="G569" s="486"/>
      <c r="H569" s="486"/>
      <c r="I569" s="486"/>
      <c r="J569" s="486"/>
      <c r="K569" s="486"/>
      <c r="L569" s="486"/>
      <c r="M569" s="486"/>
      <c r="N569" s="486"/>
      <c r="O569" s="486"/>
      <c r="P569" s="486"/>
      <c r="Q569" s="486"/>
      <c r="R569" s="486"/>
      <c r="S569" s="486"/>
      <c r="T569" s="486"/>
      <c r="U569" s="486"/>
      <c r="V569" s="486"/>
      <c r="W569" s="486"/>
      <c r="X569" s="486"/>
      <c r="Y569" s="486"/>
      <c r="Z569" s="486"/>
    </row>
    <row r="570" spans="1:26" ht="15.75" customHeight="1">
      <c r="A570" s="486"/>
      <c r="B570" s="486"/>
      <c r="C570" s="486"/>
      <c r="D570" s="486"/>
      <c r="E570" s="486"/>
      <c r="F570" s="486"/>
      <c r="G570" s="486"/>
      <c r="H570" s="486"/>
      <c r="I570" s="486"/>
      <c r="J570" s="486"/>
      <c r="K570" s="486"/>
      <c r="L570" s="486"/>
      <c r="M570" s="486"/>
      <c r="N570" s="486"/>
      <c r="O570" s="486"/>
      <c r="P570" s="486"/>
      <c r="Q570" s="486"/>
      <c r="R570" s="486"/>
      <c r="S570" s="486"/>
      <c r="T570" s="486"/>
      <c r="U570" s="486"/>
      <c r="V570" s="486"/>
      <c r="W570" s="486"/>
      <c r="X570" s="486"/>
      <c r="Y570" s="486"/>
      <c r="Z570" s="486"/>
    </row>
    <row r="571" spans="1:26" ht="15.75" customHeight="1">
      <c r="A571" s="486"/>
      <c r="B571" s="486"/>
      <c r="C571" s="486"/>
      <c r="D571" s="486"/>
      <c r="E571" s="486"/>
      <c r="F571" s="486"/>
      <c r="G571" s="486"/>
      <c r="H571" s="486"/>
      <c r="I571" s="486"/>
      <c r="J571" s="486"/>
      <c r="K571" s="486"/>
      <c r="L571" s="486"/>
      <c r="M571" s="486"/>
      <c r="N571" s="486"/>
      <c r="O571" s="486"/>
      <c r="P571" s="486"/>
      <c r="Q571" s="486"/>
      <c r="R571" s="486"/>
      <c r="S571" s="486"/>
      <c r="T571" s="486"/>
      <c r="U571" s="486"/>
      <c r="V571" s="486"/>
      <c r="W571" s="486"/>
      <c r="X571" s="486"/>
      <c r="Y571" s="486"/>
      <c r="Z571" s="486"/>
    </row>
    <row r="572" spans="1:26" ht="15.75" customHeight="1">
      <c r="A572" s="486"/>
      <c r="B572" s="486"/>
      <c r="C572" s="486"/>
      <c r="D572" s="486"/>
      <c r="E572" s="486"/>
      <c r="F572" s="486"/>
      <c r="G572" s="486"/>
      <c r="H572" s="486"/>
      <c r="I572" s="486"/>
      <c r="J572" s="486"/>
      <c r="K572" s="486"/>
      <c r="L572" s="486"/>
      <c r="M572" s="486"/>
      <c r="N572" s="486"/>
      <c r="O572" s="486"/>
      <c r="P572" s="486"/>
      <c r="Q572" s="486"/>
      <c r="R572" s="486"/>
      <c r="S572" s="486"/>
      <c r="T572" s="486"/>
      <c r="U572" s="486"/>
      <c r="V572" s="486"/>
      <c r="W572" s="486"/>
      <c r="X572" s="486"/>
      <c r="Y572" s="486"/>
      <c r="Z572" s="486"/>
    </row>
    <row r="573" spans="1:26" ht="15.75" customHeight="1">
      <c r="A573" s="486"/>
      <c r="B573" s="486"/>
      <c r="C573" s="486"/>
      <c r="D573" s="486"/>
      <c r="E573" s="486"/>
      <c r="F573" s="486"/>
      <c r="G573" s="486"/>
      <c r="H573" s="486"/>
      <c r="I573" s="486"/>
      <c r="J573" s="486"/>
      <c r="K573" s="486"/>
      <c r="L573" s="486"/>
      <c r="M573" s="486"/>
      <c r="N573" s="486"/>
      <c r="O573" s="486"/>
      <c r="P573" s="486"/>
      <c r="Q573" s="486"/>
      <c r="R573" s="486"/>
      <c r="S573" s="486"/>
      <c r="T573" s="486"/>
      <c r="U573" s="486"/>
      <c r="V573" s="486"/>
      <c r="W573" s="486"/>
      <c r="X573" s="486"/>
      <c r="Y573" s="486"/>
      <c r="Z573" s="486"/>
    </row>
    <row r="574" spans="1:26" ht="15.75" customHeight="1">
      <c r="A574" s="486"/>
      <c r="B574" s="486"/>
      <c r="C574" s="486"/>
      <c r="D574" s="486"/>
      <c r="E574" s="486"/>
      <c r="F574" s="486"/>
      <c r="G574" s="486"/>
      <c r="H574" s="486"/>
      <c r="I574" s="486"/>
      <c r="J574" s="486"/>
      <c r="K574" s="486"/>
      <c r="L574" s="486"/>
      <c r="M574" s="486"/>
      <c r="N574" s="486"/>
      <c r="O574" s="486"/>
      <c r="P574" s="486"/>
      <c r="Q574" s="486"/>
      <c r="R574" s="486"/>
      <c r="S574" s="486"/>
      <c r="T574" s="486"/>
      <c r="U574" s="486"/>
      <c r="V574" s="486"/>
      <c r="W574" s="486"/>
      <c r="X574" s="486"/>
      <c r="Y574" s="486"/>
      <c r="Z574" s="486"/>
    </row>
    <row r="575" spans="1:26" ht="15.75" customHeight="1">
      <c r="A575" s="486"/>
      <c r="B575" s="486"/>
      <c r="C575" s="486"/>
      <c r="D575" s="486"/>
      <c r="E575" s="486"/>
      <c r="F575" s="486"/>
      <c r="G575" s="486"/>
      <c r="H575" s="486"/>
      <c r="I575" s="486"/>
      <c r="J575" s="486"/>
      <c r="K575" s="486"/>
      <c r="L575" s="486"/>
      <c r="M575" s="486"/>
      <c r="N575" s="486"/>
      <c r="O575" s="486"/>
      <c r="P575" s="486"/>
      <c r="Q575" s="486"/>
      <c r="R575" s="486"/>
      <c r="S575" s="486"/>
      <c r="T575" s="486"/>
      <c r="U575" s="486"/>
      <c r="V575" s="486"/>
      <c r="W575" s="486"/>
      <c r="X575" s="486"/>
      <c r="Y575" s="486"/>
      <c r="Z575" s="486"/>
    </row>
    <row r="576" spans="1:26" ht="15.75" customHeight="1">
      <c r="A576" s="486"/>
      <c r="B576" s="486"/>
      <c r="C576" s="486"/>
      <c r="D576" s="486"/>
      <c r="E576" s="486"/>
      <c r="F576" s="486"/>
      <c r="G576" s="486"/>
      <c r="H576" s="486"/>
      <c r="I576" s="486"/>
      <c r="J576" s="486"/>
      <c r="K576" s="486"/>
      <c r="L576" s="486"/>
      <c r="M576" s="486"/>
      <c r="N576" s="486"/>
      <c r="O576" s="486"/>
      <c r="P576" s="486"/>
      <c r="Q576" s="486"/>
      <c r="R576" s="486"/>
      <c r="S576" s="486"/>
      <c r="T576" s="486"/>
      <c r="U576" s="486"/>
      <c r="V576" s="486"/>
      <c r="W576" s="486"/>
      <c r="X576" s="486"/>
      <c r="Y576" s="486"/>
      <c r="Z576" s="486"/>
    </row>
    <row r="577" spans="1:26" ht="15.75" customHeight="1">
      <c r="A577" s="486"/>
      <c r="B577" s="486"/>
      <c r="C577" s="486"/>
      <c r="D577" s="486"/>
      <c r="E577" s="486"/>
      <c r="F577" s="486"/>
      <c r="G577" s="486"/>
      <c r="H577" s="486"/>
      <c r="I577" s="486"/>
      <c r="J577" s="486"/>
      <c r="K577" s="486"/>
      <c r="L577" s="486"/>
      <c r="M577" s="486"/>
      <c r="N577" s="486"/>
      <c r="O577" s="486"/>
      <c r="P577" s="486"/>
      <c r="Q577" s="486"/>
      <c r="R577" s="486"/>
      <c r="S577" s="486"/>
      <c r="T577" s="486"/>
      <c r="U577" s="486"/>
      <c r="V577" s="486"/>
      <c r="W577" s="486"/>
      <c r="X577" s="486"/>
      <c r="Y577" s="486"/>
      <c r="Z577" s="486"/>
    </row>
    <row r="578" spans="1:26" ht="15.75" customHeight="1">
      <c r="A578" s="486"/>
      <c r="B578" s="486"/>
      <c r="C578" s="486"/>
      <c r="D578" s="486"/>
      <c r="E578" s="486"/>
      <c r="F578" s="486"/>
      <c r="G578" s="486"/>
      <c r="H578" s="486"/>
      <c r="I578" s="486"/>
      <c r="J578" s="486"/>
      <c r="K578" s="486"/>
      <c r="L578" s="486"/>
      <c r="M578" s="486"/>
      <c r="N578" s="486"/>
      <c r="O578" s="486"/>
      <c r="P578" s="486"/>
      <c r="Q578" s="486"/>
      <c r="R578" s="486"/>
      <c r="S578" s="486"/>
      <c r="T578" s="486"/>
      <c r="U578" s="486"/>
      <c r="V578" s="486"/>
      <c r="W578" s="486"/>
      <c r="X578" s="486"/>
      <c r="Y578" s="486"/>
      <c r="Z578" s="486"/>
    </row>
    <row r="579" spans="1:26" ht="15.75" customHeight="1">
      <c r="A579" s="486"/>
      <c r="B579" s="486"/>
      <c r="C579" s="486"/>
      <c r="D579" s="486"/>
      <c r="E579" s="486"/>
      <c r="F579" s="486"/>
      <c r="G579" s="486"/>
      <c r="H579" s="486"/>
      <c r="I579" s="486"/>
      <c r="J579" s="486"/>
      <c r="K579" s="486"/>
      <c r="L579" s="486"/>
      <c r="M579" s="486"/>
      <c r="N579" s="486"/>
      <c r="O579" s="486"/>
      <c r="P579" s="486"/>
      <c r="Q579" s="486"/>
      <c r="R579" s="486"/>
      <c r="S579" s="486"/>
      <c r="T579" s="486"/>
      <c r="U579" s="486"/>
      <c r="V579" s="486"/>
      <c r="W579" s="486"/>
      <c r="X579" s="486"/>
      <c r="Y579" s="486"/>
      <c r="Z579" s="486"/>
    </row>
    <row r="580" spans="1:26" ht="15.75" customHeight="1">
      <c r="A580" s="486"/>
      <c r="B580" s="486"/>
      <c r="C580" s="486"/>
      <c r="D580" s="486"/>
      <c r="E580" s="486"/>
      <c r="F580" s="486"/>
      <c r="G580" s="486"/>
      <c r="H580" s="486"/>
      <c r="I580" s="486"/>
      <c r="J580" s="486"/>
      <c r="K580" s="486"/>
      <c r="L580" s="486"/>
      <c r="M580" s="486"/>
      <c r="N580" s="486"/>
      <c r="O580" s="486"/>
      <c r="P580" s="486"/>
      <c r="Q580" s="486"/>
      <c r="R580" s="486"/>
      <c r="S580" s="486"/>
      <c r="T580" s="486"/>
      <c r="U580" s="486"/>
      <c r="V580" s="486"/>
      <c r="W580" s="486"/>
      <c r="X580" s="486"/>
      <c r="Y580" s="486"/>
      <c r="Z580" s="486"/>
    </row>
    <row r="581" spans="1:26" ht="15.75" customHeight="1">
      <c r="A581" s="486"/>
      <c r="B581" s="486"/>
      <c r="C581" s="486"/>
      <c r="D581" s="486"/>
      <c r="E581" s="486"/>
      <c r="F581" s="486"/>
      <c r="G581" s="486"/>
      <c r="H581" s="486"/>
      <c r="I581" s="486"/>
      <c r="J581" s="486"/>
      <c r="K581" s="486"/>
      <c r="L581" s="486"/>
      <c r="M581" s="486"/>
      <c r="N581" s="486"/>
      <c r="O581" s="486"/>
      <c r="P581" s="486"/>
      <c r="Q581" s="486"/>
      <c r="R581" s="486"/>
      <c r="S581" s="486"/>
      <c r="T581" s="486"/>
      <c r="U581" s="486"/>
      <c r="V581" s="486"/>
      <c r="W581" s="486"/>
      <c r="X581" s="486"/>
      <c r="Y581" s="486"/>
      <c r="Z581" s="486"/>
    </row>
    <row r="582" spans="1:26" ht="15.75" customHeight="1">
      <c r="A582" s="486"/>
      <c r="B582" s="486"/>
      <c r="C582" s="486"/>
      <c r="D582" s="486"/>
      <c r="E582" s="486"/>
      <c r="F582" s="486"/>
      <c r="G582" s="486"/>
      <c r="H582" s="486"/>
      <c r="I582" s="486"/>
      <c r="J582" s="486"/>
      <c r="K582" s="486"/>
      <c r="L582" s="486"/>
      <c r="M582" s="486"/>
      <c r="N582" s="486"/>
      <c r="O582" s="486"/>
      <c r="P582" s="486"/>
      <c r="Q582" s="486"/>
      <c r="R582" s="486"/>
      <c r="S582" s="486"/>
      <c r="T582" s="486"/>
      <c r="U582" s="486"/>
      <c r="V582" s="486"/>
      <c r="W582" s="486"/>
      <c r="X582" s="486"/>
      <c r="Y582" s="486"/>
      <c r="Z582" s="486"/>
    </row>
    <row r="583" spans="1:26" ht="15.75" customHeight="1">
      <c r="A583" s="486"/>
      <c r="B583" s="486"/>
      <c r="C583" s="486"/>
      <c r="D583" s="486"/>
      <c r="E583" s="486"/>
      <c r="F583" s="486"/>
      <c r="G583" s="486"/>
      <c r="H583" s="486"/>
      <c r="I583" s="486"/>
      <c r="J583" s="486"/>
      <c r="K583" s="486"/>
      <c r="L583" s="486"/>
      <c r="M583" s="486"/>
      <c r="N583" s="486"/>
      <c r="O583" s="486"/>
      <c r="P583" s="486"/>
      <c r="Q583" s="486"/>
      <c r="R583" s="486"/>
      <c r="S583" s="486"/>
      <c r="T583" s="486"/>
      <c r="U583" s="486"/>
      <c r="V583" s="486"/>
      <c r="W583" s="486"/>
      <c r="X583" s="486"/>
      <c r="Y583" s="486"/>
      <c r="Z583" s="486"/>
    </row>
    <row r="584" spans="1:26" ht="15.75" customHeight="1">
      <c r="A584" s="486"/>
      <c r="B584" s="486"/>
      <c r="C584" s="486"/>
      <c r="D584" s="486"/>
      <c r="E584" s="486"/>
      <c r="F584" s="486"/>
      <c r="G584" s="486"/>
      <c r="H584" s="486"/>
      <c r="I584" s="486"/>
      <c r="J584" s="486"/>
      <c r="K584" s="486"/>
      <c r="L584" s="486"/>
      <c r="M584" s="486"/>
      <c r="N584" s="486"/>
      <c r="O584" s="486"/>
      <c r="P584" s="486"/>
      <c r="Q584" s="486"/>
      <c r="R584" s="486"/>
      <c r="S584" s="486"/>
      <c r="T584" s="486"/>
      <c r="U584" s="486"/>
      <c r="V584" s="486"/>
      <c r="W584" s="486"/>
      <c r="X584" s="486"/>
      <c r="Y584" s="486"/>
      <c r="Z584" s="486"/>
    </row>
    <row r="585" spans="1:26" ht="15.75" customHeight="1">
      <c r="A585" s="486"/>
      <c r="B585" s="486"/>
      <c r="C585" s="486"/>
      <c r="D585" s="486"/>
      <c r="E585" s="486"/>
      <c r="F585" s="486"/>
      <c r="G585" s="486"/>
      <c r="H585" s="486"/>
      <c r="I585" s="486"/>
      <c r="J585" s="486"/>
      <c r="K585" s="486"/>
      <c r="L585" s="486"/>
      <c r="M585" s="486"/>
      <c r="N585" s="486"/>
      <c r="O585" s="486"/>
      <c r="P585" s="486"/>
      <c r="Q585" s="486"/>
      <c r="R585" s="486"/>
      <c r="S585" s="486"/>
      <c r="T585" s="486"/>
      <c r="U585" s="486"/>
      <c r="V585" s="486"/>
      <c r="W585" s="486"/>
      <c r="X585" s="486"/>
      <c r="Y585" s="486"/>
      <c r="Z585" s="486"/>
    </row>
    <row r="586" spans="1:26" ht="15.75" customHeight="1">
      <c r="A586" s="486"/>
      <c r="B586" s="486"/>
      <c r="C586" s="486"/>
      <c r="D586" s="486"/>
      <c r="E586" s="486"/>
      <c r="F586" s="486"/>
      <c r="G586" s="486"/>
      <c r="H586" s="486"/>
      <c r="I586" s="486"/>
      <c r="J586" s="486"/>
      <c r="K586" s="486"/>
      <c r="L586" s="486"/>
      <c r="M586" s="486"/>
      <c r="N586" s="486"/>
      <c r="O586" s="486"/>
      <c r="P586" s="486"/>
      <c r="Q586" s="486"/>
      <c r="R586" s="486"/>
      <c r="S586" s="486"/>
      <c r="T586" s="486"/>
      <c r="U586" s="486"/>
      <c r="V586" s="486"/>
      <c r="W586" s="486"/>
      <c r="X586" s="486"/>
      <c r="Y586" s="486"/>
      <c r="Z586" s="486"/>
    </row>
    <row r="587" spans="1:26" ht="15.75" customHeight="1">
      <c r="A587" s="486"/>
      <c r="B587" s="486"/>
      <c r="C587" s="486"/>
      <c r="D587" s="486"/>
      <c r="E587" s="486"/>
      <c r="F587" s="486"/>
      <c r="G587" s="486"/>
      <c r="H587" s="486"/>
      <c r="I587" s="486"/>
      <c r="J587" s="486"/>
      <c r="K587" s="486"/>
      <c r="L587" s="486"/>
      <c r="M587" s="486"/>
      <c r="N587" s="486"/>
      <c r="O587" s="486"/>
      <c r="P587" s="486"/>
      <c r="Q587" s="486"/>
      <c r="R587" s="486"/>
      <c r="S587" s="486"/>
      <c r="T587" s="486"/>
      <c r="U587" s="486"/>
      <c r="V587" s="486"/>
      <c r="W587" s="486"/>
      <c r="X587" s="486"/>
      <c r="Y587" s="486"/>
      <c r="Z587" s="486"/>
    </row>
    <row r="588" spans="1:26" ht="15.75" customHeight="1">
      <c r="A588" s="486"/>
      <c r="B588" s="486"/>
      <c r="C588" s="486"/>
      <c r="D588" s="486"/>
      <c r="E588" s="486"/>
      <c r="F588" s="486"/>
      <c r="G588" s="486"/>
      <c r="H588" s="486"/>
      <c r="I588" s="486"/>
      <c r="J588" s="486"/>
      <c r="K588" s="486"/>
      <c r="L588" s="486"/>
      <c r="M588" s="486"/>
      <c r="N588" s="486"/>
      <c r="O588" s="486"/>
      <c r="P588" s="486"/>
      <c r="Q588" s="486"/>
      <c r="R588" s="486"/>
      <c r="S588" s="486"/>
      <c r="T588" s="486"/>
      <c r="U588" s="486"/>
      <c r="V588" s="486"/>
      <c r="W588" s="486"/>
      <c r="X588" s="486"/>
      <c r="Y588" s="486"/>
      <c r="Z588" s="486"/>
    </row>
    <row r="589" spans="1:26" ht="15.75" customHeight="1">
      <c r="A589" s="486"/>
      <c r="B589" s="486"/>
      <c r="C589" s="486"/>
      <c r="D589" s="486"/>
      <c r="E589" s="486"/>
      <c r="F589" s="486"/>
      <c r="G589" s="486"/>
      <c r="H589" s="486"/>
      <c r="I589" s="486"/>
      <c r="J589" s="486"/>
      <c r="K589" s="486"/>
      <c r="L589" s="486"/>
      <c r="M589" s="486"/>
      <c r="N589" s="486"/>
      <c r="O589" s="486"/>
      <c r="P589" s="486"/>
      <c r="Q589" s="486"/>
      <c r="R589" s="486"/>
      <c r="S589" s="486"/>
      <c r="T589" s="486"/>
      <c r="U589" s="486"/>
      <c r="V589" s="486"/>
      <c r="W589" s="486"/>
      <c r="X589" s="486"/>
      <c r="Y589" s="486"/>
      <c r="Z589" s="486"/>
    </row>
    <row r="590" spans="1:26" ht="15.75" customHeight="1">
      <c r="A590" s="486"/>
      <c r="B590" s="486"/>
      <c r="C590" s="486"/>
      <c r="D590" s="486"/>
      <c r="E590" s="486"/>
      <c r="F590" s="486"/>
      <c r="G590" s="486"/>
      <c r="H590" s="486"/>
      <c r="I590" s="486"/>
      <c r="J590" s="486"/>
      <c r="K590" s="486"/>
      <c r="L590" s="486"/>
      <c r="M590" s="486"/>
      <c r="N590" s="486"/>
      <c r="O590" s="486"/>
      <c r="P590" s="486"/>
      <c r="Q590" s="486"/>
      <c r="R590" s="486"/>
      <c r="S590" s="486"/>
      <c r="T590" s="486"/>
      <c r="U590" s="486"/>
      <c r="V590" s="486"/>
      <c r="W590" s="486"/>
      <c r="X590" s="486"/>
      <c r="Y590" s="486"/>
      <c r="Z590" s="486"/>
    </row>
    <row r="591" spans="1:26" ht="15.75" customHeight="1">
      <c r="A591" s="486"/>
      <c r="B591" s="486"/>
      <c r="C591" s="486"/>
      <c r="D591" s="486"/>
      <c r="E591" s="486"/>
      <c r="F591" s="486"/>
      <c r="G591" s="486"/>
      <c r="H591" s="486"/>
      <c r="I591" s="486"/>
      <c r="J591" s="486"/>
      <c r="K591" s="486"/>
      <c r="L591" s="486"/>
      <c r="M591" s="486"/>
      <c r="N591" s="486"/>
      <c r="O591" s="486"/>
      <c r="P591" s="486"/>
      <c r="Q591" s="486"/>
      <c r="R591" s="486"/>
      <c r="S591" s="486"/>
      <c r="T591" s="486"/>
      <c r="U591" s="486"/>
      <c r="V591" s="486"/>
      <c r="W591" s="486"/>
      <c r="X591" s="486"/>
      <c r="Y591" s="486"/>
      <c r="Z591" s="486"/>
    </row>
    <row r="592" spans="1:26" ht="15.75" customHeight="1">
      <c r="A592" s="486"/>
      <c r="B592" s="486"/>
      <c r="C592" s="486"/>
      <c r="D592" s="486"/>
      <c r="E592" s="486"/>
      <c r="F592" s="486"/>
      <c r="G592" s="486"/>
      <c r="H592" s="486"/>
      <c r="I592" s="486"/>
      <c r="J592" s="486"/>
      <c r="K592" s="486"/>
      <c r="L592" s="486"/>
      <c r="M592" s="486"/>
      <c r="N592" s="486"/>
      <c r="O592" s="486"/>
      <c r="P592" s="486"/>
      <c r="Q592" s="486"/>
      <c r="R592" s="486"/>
      <c r="S592" s="486"/>
      <c r="T592" s="486"/>
      <c r="U592" s="486"/>
      <c r="V592" s="486"/>
      <c r="W592" s="486"/>
      <c r="X592" s="486"/>
      <c r="Y592" s="486"/>
      <c r="Z592" s="486"/>
    </row>
    <row r="593" spans="1:26" ht="15.75" customHeight="1">
      <c r="A593" s="486"/>
      <c r="B593" s="486"/>
      <c r="C593" s="486"/>
      <c r="D593" s="486"/>
      <c r="E593" s="486"/>
      <c r="F593" s="486"/>
      <c r="G593" s="486"/>
      <c r="H593" s="486"/>
      <c r="I593" s="486"/>
      <c r="J593" s="486"/>
      <c r="K593" s="486"/>
      <c r="L593" s="486"/>
      <c r="M593" s="486"/>
      <c r="N593" s="486"/>
      <c r="O593" s="486"/>
      <c r="P593" s="486"/>
      <c r="Q593" s="486"/>
      <c r="R593" s="486"/>
      <c r="S593" s="486"/>
      <c r="T593" s="486"/>
      <c r="U593" s="486"/>
      <c r="V593" s="486"/>
      <c r="W593" s="486"/>
      <c r="X593" s="486"/>
      <c r="Y593" s="486"/>
      <c r="Z593" s="486"/>
    </row>
    <row r="594" spans="1:26" ht="15.75" customHeight="1">
      <c r="A594" s="486"/>
      <c r="B594" s="486"/>
      <c r="C594" s="486"/>
      <c r="D594" s="486"/>
      <c r="E594" s="486"/>
      <c r="F594" s="486"/>
      <c r="G594" s="486"/>
      <c r="H594" s="486"/>
      <c r="I594" s="486"/>
      <c r="J594" s="486"/>
      <c r="K594" s="486"/>
      <c r="L594" s="486"/>
      <c r="M594" s="486"/>
      <c r="N594" s="486"/>
      <c r="O594" s="486"/>
      <c r="P594" s="486"/>
      <c r="Q594" s="486"/>
      <c r="R594" s="486"/>
      <c r="S594" s="486"/>
      <c r="T594" s="486"/>
      <c r="U594" s="486"/>
      <c r="V594" s="486"/>
      <c r="W594" s="486"/>
      <c r="X594" s="486"/>
      <c r="Y594" s="486"/>
      <c r="Z594" s="486"/>
    </row>
    <row r="595" spans="1:26" ht="15.75" customHeight="1">
      <c r="A595" s="486"/>
      <c r="B595" s="486"/>
      <c r="C595" s="486"/>
      <c r="D595" s="486"/>
      <c r="E595" s="486"/>
      <c r="F595" s="486"/>
      <c r="G595" s="486"/>
      <c r="H595" s="486"/>
      <c r="I595" s="486"/>
      <c r="J595" s="486"/>
      <c r="K595" s="486"/>
      <c r="L595" s="486"/>
      <c r="M595" s="486"/>
      <c r="N595" s="486"/>
      <c r="O595" s="486"/>
      <c r="P595" s="486"/>
      <c r="Q595" s="486"/>
      <c r="R595" s="486"/>
      <c r="S595" s="486"/>
      <c r="T595" s="486"/>
      <c r="U595" s="486"/>
      <c r="V595" s="486"/>
      <c r="W595" s="486"/>
      <c r="X595" s="486"/>
      <c r="Y595" s="486"/>
      <c r="Z595" s="486"/>
    </row>
    <row r="596" spans="1:26" ht="15.75" customHeight="1">
      <c r="A596" s="486"/>
      <c r="B596" s="486"/>
      <c r="C596" s="486"/>
      <c r="D596" s="486"/>
      <c r="E596" s="486"/>
      <c r="F596" s="486"/>
      <c r="G596" s="486"/>
      <c r="H596" s="486"/>
      <c r="I596" s="486"/>
      <c r="J596" s="486"/>
      <c r="K596" s="486"/>
      <c r="L596" s="486"/>
      <c r="M596" s="486"/>
      <c r="N596" s="486"/>
      <c r="O596" s="486"/>
      <c r="P596" s="486"/>
      <c r="Q596" s="486"/>
      <c r="R596" s="486"/>
      <c r="S596" s="486"/>
      <c r="T596" s="486"/>
      <c r="U596" s="486"/>
      <c r="V596" s="486"/>
      <c r="W596" s="486"/>
      <c r="X596" s="486"/>
      <c r="Y596" s="486"/>
      <c r="Z596" s="486"/>
    </row>
    <row r="597" spans="1:26" ht="15.75" customHeight="1">
      <c r="A597" s="486"/>
      <c r="B597" s="486"/>
      <c r="C597" s="486"/>
      <c r="D597" s="486"/>
      <c r="E597" s="486"/>
      <c r="F597" s="486"/>
      <c r="G597" s="486"/>
      <c r="H597" s="486"/>
      <c r="I597" s="486"/>
      <c r="J597" s="486"/>
      <c r="K597" s="486"/>
      <c r="L597" s="486"/>
      <c r="M597" s="486"/>
      <c r="N597" s="486"/>
      <c r="O597" s="486"/>
      <c r="P597" s="486"/>
      <c r="Q597" s="486"/>
      <c r="R597" s="486"/>
      <c r="S597" s="486"/>
      <c r="T597" s="486"/>
      <c r="U597" s="486"/>
      <c r="V597" s="486"/>
      <c r="W597" s="486"/>
      <c r="X597" s="486"/>
      <c r="Y597" s="486"/>
      <c r="Z597" s="486"/>
    </row>
    <row r="598" spans="1:26" ht="15.75" customHeight="1">
      <c r="A598" s="486"/>
      <c r="B598" s="486"/>
      <c r="C598" s="486"/>
      <c r="D598" s="486"/>
      <c r="E598" s="486"/>
      <c r="F598" s="486"/>
      <c r="G598" s="486"/>
      <c r="H598" s="486"/>
      <c r="I598" s="486"/>
      <c r="J598" s="486"/>
      <c r="K598" s="486"/>
      <c r="L598" s="486"/>
      <c r="M598" s="486"/>
      <c r="N598" s="486"/>
      <c r="O598" s="486"/>
      <c r="P598" s="486"/>
      <c r="Q598" s="486"/>
      <c r="R598" s="486"/>
      <c r="S598" s="486"/>
      <c r="T598" s="486"/>
      <c r="U598" s="486"/>
      <c r="V598" s="486"/>
      <c r="W598" s="486"/>
      <c r="X598" s="486"/>
      <c r="Y598" s="486"/>
      <c r="Z598" s="486"/>
    </row>
    <row r="599" spans="1:26" ht="15.75" customHeight="1">
      <c r="A599" s="486"/>
      <c r="B599" s="486"/>
      <c r="C599" s="486"/>
      <c r="D599" s="486"/>
      <c r="E599" s="486"/>
      <c r="F599" s="486"/>
      <c r="G599" s="486"/>
      <c r="H599" s="486"/>
      <c r="I599" s="486"/>
      <c r="J599" s="486"/>
      <c r="K599" s="486"/>
      <c r="L599" s="486"/>
      <c r="M599" s="486"/>
      <c r="N599" s="486"/>
      <c r="O599" s="486"/>
      <c r="P599" s="486"/>
      <c r="Q599" s="486"/>
      <c r="R599" s="486"/>
      <c r="S599" s="486"/>
      <c r="T599" s="486"/>
      <c r="U599" s="486"/>
      <c r="V599" s="486"/>
      <c r="W599" s="486"/>
      <c r="X599" s="486"/>
      <c r="Y599" s="486"/>
      <c r="Z599" s="486"/>
    </row>
    <row r="600" spans="1:26" ht="15.75" customHeight="1">
      <c r="A600" s="486"/>
      <c r="B600" s="486"/>
      <c r="C600" s="486"/>
      <c r="D600" s="486"/>
      <c r="E600" s="486"/>
      <c r="F600" s="486"/>
      <c r="G600" s="486"/>
      <c r="H600" s="486"/>
      <c r="I600" s="486"/>
      <c r="J600" s="486"/>
      <c r="K600" s="486"/>
      <c r="L600" s="486"/>
      <c r="M600" s="486"/>
      <c r="N600" s="486"/>
      <c r="O600" s="486"/>
      <c r="P600" s="486"/>
      <c r="Q600" s="486"/>
      <c r="R600" s="486"/>
      <c r="S600" s="486"/>
      <c r="T600" s="486"/>
      <c r="U600" s="486"/>
      <c r="V600" s="486"/>
      <c r="W600" s="486"/>
      <c r="X600" s="486"/>
      <c r="Y600" s="486"/>
      <c r="Z600" s="486"/>
    </row>
    <row r="601" spans="1:26" ht="15.75" customHeight="1">
      <c r="A601" s="486"/>
      <c r="B601" s="486"/>
      <c r="C601" s="486"/>
      <c r="D601" s="486"/>
      <c r="E601" s="486"/>
      <c r="F601" s="486"/>
      <c r="G601" s="486"/>
      <c r="H601" s="486"/>
      <c r="I601" s="486"/>
      <c r="J601" s="486"/>
      <c r="K601" s="486"/>
      <c r="L601" s="486"/>
      <c r="M601" s="486"/>
      <c r="N601" s="486"/>
      <c r="O601" s="486"/>
      <c r="P601" s="486"/>
      <c r="Q601" s="486"/>
      <c r="R601" s="486"/>
      <c r="S601" s="486"/>
      <c r="T601" s="486"/>
      <c r="U601" s="486"/>
      <c r="V601" s="486"/>
      <c r="W601" s="486"/>
      <c r="X601" s="486"/>
      <c r="Y601" s="486"/>
      <c r="Z601" s="486"/>
    </row>
    <row r="602" spans="1:26" ht="15.75" customHeight="1">
      <c r="A602" s="486"/>
      <c r="B602" s="486"/>
      <c r="C602" s="486"/>
      <c r="D602" s="486"/>
      <c r="E602" s="486"/>
      <c r="F602" s="486"/>
      <c r="G602" s="486"/>
      <c r="H602" s="486"/>
      <c r="I602" s="486"/>
      <c r="J602" s="486"/>
      <c r="K602" s="486"/>
      <c r="L602" s="486"/>
      <c r="M602" s="486"/>
      <c r="N602" s="486"/>
      <c r="O602" s="486"/>
      <c r="P602" s="486"/>
      <c r="Q602" s="486"/>
      <c r="R602" s="486"/>
      <c r="S602" s="486"/>
      <c r="T602" s="486"/>
      <c r="U602" s="486"/>
      <c r="V602" s="486"/>
      <c r="W602" s="486"/>
      <c r="X602" s="486"/>
      <c r="Y602" s="486"/>
      <c r="Z602" s="486"/>
    </row>
    <row r="603" spans="1:26" ht="15.75" customHeight="1">
      <c r="A603" s="486"/>
      <c r="B603" s="486"/>
      <c r="C603" s="486"/>
      <c r="D603" s="486"/>
      <c r="E603" s="486"/>
      <c r="F603" s="486"/>
      <c r="G603" s="486"/>
      <c r="H603" s="486"/>
      <c r="I603" s="486"/>
      <c r="J603" s="486"/>
      <c r="K603" s="486"/>
      <c r="L603" s="486"/>
      <c r="M603" s="486"/>
      <c r="N603" s="486"/>
      <c r="O603" s="486"/>
      <c r="P603" s="486"/>
      <c r="Q603" s="486"/>
      <c r="R603" s="486"/>
      <c r="S603" s="486"/>
      <c r="T603" s="486"/>
      <c r="U603" s="486"/>
      <c r="V603" s="486"/>
      <c r="W603" s="486"/>
      <c r="X603" s="486"/>
      <c r="Y603" s="486"/>
      <c r="Z603" s="486"/>
    </row>
    <row r="604" spans="1:26" ht="15.75" customHeight="1">
      <c r="A604" s="486"/>
      <c r="B604" s="486"/>
      <c r="C604" s="486"/>
      <c r="D604" s="486"/>
      <c r="E604" s="486"/>
      <c r="F604" s="486"/>
      <c r="G604" s="486"/>
      <c r="H604" s="486"/>
      <c r="I604" s="486"/>
      <c r="J604" s="486"/>
      <c r="K604" s="486"/>
      <c r="L604" s="486"/>
      <c r="M604" s="486"/>
      <c r="N604" s="486"/>
      <c r="O604" s="486"/>
      <c r="P604" s="486"/>
      <c r="Q604" s="486"/>
      <c r="R604" s="486"/>
      <c r="S604" s="486"/>
      <c r="T604" s="486"/>
      <c r="U604" s="486"/>
      <c r="V604" s="486"/>
      <c r="W604" s="486"/>
      <c r="X604" s="486"/>
      <c r="Y604" s="486"/>
      <c r="Z604" s="486"/>
    </row>
    <row r="605" spans="1:26" ht="15.75" customHeight="1">
      <c r="A605" s="486"/>
      <c r="B605" s="486"/>
      <c r="C605" s="486"/>
      <c r="D605" s="486"/>
      <c r="E605" s="486"/>
      <c r="F605" s="486"/>
      <c r="G605" s="486"/>
      <c r="H605" s="486"/>
      <c r="I605" s="486"/>
      <c r="J605" s="486"/>
      <c r="K605" s="486"/>
      <c r="L605" s="486"/>
      <c r="M605" s="486"/>
      <c r="N605" s="486"/>
      <c r="O605" s="486"/>
      <c r="P605" s="486"/>
      <c r="Q605" s="486"/>
      <c r="R605" s="486"/>
      <c r="S605" s="486"/>
      <c r="T605" s="486"/>
      <c r="U605" s="486"/>
      <c r="V605" s="486"/>
      <c r="W605" s="486"/>
      <c r="X605" s="486"/>
      <c r="Y605" s="486"/>
      <c r="Z605" s="486"/>
    </row>
    <row r="606" spans="1:26" ht="15.75" customHeight="1">
      <c r="A606" s="486"/>
      <c r="B606" s="486"/>
      <c r="C606" s="486"/>
      <c r="D606" s="486"/>
      <c r="E606" s="486"/>
      <c r="F606" s="486"/>
      <c r="G606" s="486"/>
      <c r="H606" s="486"/>
      <c r="I606" s="486"/>
      <c r="J606" s="486"/>
      <c r="K606" s="486"/>
      <c r="L606" s="486"/>
      <c r="M606" s="486"/>
      <c r="N606" s="486"/>
      <c r="O606" s="486"/>
      <c r="P606" s="486"/>
      <c r="Q606" s="486"/>
      <c r="R606" s="486"/>
      <c r="S606" s="486"/>
      <c r="T606" s="486"/>
      <c r="U606" s="486"/>
      <c r="V606" s="486"/>
      <c r="W606" s="486"/>
      <c r="X606" s="486"/>
      <c r="Y606" s="486"/>
      <c r="Z606" s="486"/>
    </row>
    <row r="607" spans="1:26" ht="15.75" customHeight="1">
      <c r="A607" s="486"/>
      <c r="B607" s="486"/>
      <c r="C607" s="486"/>
      <c r="D607" s="486"/>
      <c r="E607" s="486"/>
      <c r="F607" s="486"/>
      <c r="G607" s="486"/>
      <c r="H607" s="486"/>
      <c r="I607" s="486"/>
      <c r="J607" s="486"/>
      <c r="K607" s="486"/>
      <c r="L607" s="486"/>
      <c r="M607" s="486"/>
      <c r="N607" s="486"/>
      <c r="O607" s="486"/>
      <c r="P607" s="486"/>
      <c r="Q607" s="486"/>
      <c r="R607" s="486"/>
      <c r="S607" s="486"/>
      <c r="T607" s="486"/>
      <c r="U607" s="486"/>
      <c r="V607" s="486"/>
      <c r="W607" s="486"/>
      <c r="X607" s="486"/>
      <c r="Y607" s="486"/>
      <c r="Z607" s="486"/>
    </row>
    <row r="608" spans="1:26" ht="15.75" customHeight="1">
      <c r="A608" s="486"/>
      <c r="B608" s="486"/>
      <c r="C608" s="486"/>
      <c r="D608" s="486"/>
      <c r="E608" s="486"/>
      <c r="F608" s="486"/>
      <c r="G608" s="486"/>
      <c r="H608" s="486"/>
      <c r="I608" s="486"/>
      <c r="J608" s="486"/>
      <c r="K608" s="486"/>
      <c r="L608" s="486"/>
      <c r="M608" s="486"/>
      <c r="N608" s="486"/>
      <c r="O608" s="486"/>
      <c r="P608" s="486"/>
      <c r="Q608" s="486"/>
      <c r="R608" s="486"/>
      <c r="S608" s="486"/>
      <c r="T608" s="486"/>
      <c r="U608" s="486"/>
      <c r="V608" s="486"/>
      <c r="W608" s="486"/>
      <c r="X608" s="486"/>
      <c r="Y608" s="486"/>
      <c r="Z608" s="486"/>
    </row>
    <row r="609" spans="1:26" ht="15.75" customHeight="1">
      <c r="A609" s="486"/>
      <c r="B609" s="486"/>
      <c r="C609" s="486"/>
      <c r="D609" s="486"/>
      <c r="E609" s="486"/>
      <c r="F609" s="486"/>
      <c r="G609" s="486"/>
      <c r="H609" s="486"/>
      <c r="I609" s="486"/>
      <c r="J609" s="486"/>
      <c r="K609" s="486"/>
      <c r="L609" s="486"/>
      <c r="M609" s="486"/>
      <c r="N609" s="486"/>
      <c r="O609" s="486"/>
      <c r="P609" s="486"/>
      <c r="Q609" s="486"/>
      <c r="R609" s="486"/>
      <c r="S609" s="486"/>
      <c r="T609" s="486"/>
      <c r="U609" s="486"/>
      <c r="V609" s="486"/>
      <c r="W609" s="486"/>
      <c r="X609" s="486"/>
      <c r="Y609" s="486"/>
      <c r="Z609" s="486"/>
    </row>
    <row r="610" spans="1:26" ht="15.75" customHeight="1">
      <c r="A610" s="486"/>
      <c r="B610" s="486"/>
      <c r="C610" s="486"/>
      <c r="D610" s="486"/>
      <c r="E610" s="486"/>
      <c r="F610" s="486"/>
      <c r="G610" s="486"/>
      <c r="H610" s="486"/>
      <c r="I610" s="486"/>
      <c r="J610" s="486"/>
      <c r="K610" s="486"/>
      <c r="L610" s="486"/>
      <c r="M610" s="486"/>
      <c r="N610" s="486"/>
      <c r="O610" s="486"/>
      <c r="P610" s="486"/>
      <c r="Q610" s="486"/>
      <c r="R610" s="486"/>
      <c r="S610" s="486"/>
      <c r="T610" s="486"/>
      <c r="U610" s="486"/>
      <c r="V610" s="486"/>
      <c r="W610" s="486"/>
      <c r="X610" s="486"/>
      <c r="Y610" s="486"/>
      <c r="Z610" s="486"/>
    </row>
    <row r="611" spans="1:26" ht="15.75" customHeight="1">
      <c r="A611" s="486"/>
      <c r="B611" s="486"/>
      <c r="C611" s="486"/>
      <c r="D611" s="486"/>
      <c r="E611" s="486"/>
      <c r="F611" s="486"/>
      <c r="G611" s="486"/>
      <c r="H611" s="486"/>
      <c r="I611" s="486"/>
      <c r="J611" s="486"/>
      <c r="K611" s="486"/>
      <c r="L611" s="486"/>
      <c r="M611" s="486"/>
      <c r="N611" s="486"/>
      <c r="O611" s="486"/>
      <c r="P611" s="486"/>
      <c r="Q611" s="486"/>
      <c r="R611" s="486"/>
      <c r="S611" s="486"/>
      <c r="T611" s="486"/>
      <c r="U611" s="486"/>
      <c r="V611" s="486"/>
      <c r="W611" s="486"/>
      <c r="X611" s="486"/>
      <c r="Y611" s="486"/>
      <c r="Z611" s="486"/>
    </row>
    <row r="612" spans="1:26" ht="15.75" customHeight="1">
      <c r="A612" s="486"/>
      <c r="B612" s="486"/>
      <c r="C612" s="486"/>
      <c r="D612" s="486"/>
      <c r="E612" s="486"/>
      <c r="F612" s="486"/>
      <c r="G612" s="486"/>
      <c r="H612" s="486"/>
      <c r="I612" s="486"/>
      <c r="J612" s="486"/>
      <c r="K612" s="486"/>
      <c r="L612" s="486"/>
      <c r="M612" s="486"/>
      <c r="N612" s="486"/>
      <c r="O612" s="486"/>
      <c r="P612" s="486"/>
      <c r="Q612" s="486"/>
      <c r="R612" s="486"/>
      <c r="S612" s="486"/>
      <c r="T612" s="486"/>
      <c r="U612" s="486"/>
      <c r="V612" s="486"/>
      <c r="W612" s="486"/>
      <c r="X612" s="486"/>
      <c r="Y612" s="486"/>
      <c r="Z612" s="486"/>
    </row>
    <row r="613" spans="1:26" ht="15.75" customHeight="1">
      <c r="A613" s="486"/>
      <c r="B613" s="486"/>
      <c r="C613" s="486"/>
      <c r="D613" s="486"/>
      <c r="E613" s="486"/>
      <c r="F613" s="486"/>
      <c r="G613" s="486"/>
      <c r="H613" s="486"/>
      <c r="I613" s="486"/>
      <c r="J613" s="486"/>
      <c r="K613" s="486"/>
      <c r="L613" s="486"/>
      <c r="M613" s="486"/>
      <c r="N613" s="486"/>
      <c r="O613" s="486"/>
      <c r="P613" s="486"/>
      <c r="Q613" s="486"/>
      <c r="R613" s="486"/>
      <c r="S613" s="486"/>
      <c r="T613" s="486"/>
      <c r="U613" s="486"/>
      <c r="V613" s="486"/>
      <c r="W613" s="486"/>
      <c r="X613" s="486"/>
      <c r="Y613" s="486"/>
      <c r="Z613" s="486"/>
    </row>
    <row r="614" spans="1:26" ht="15.75" customHeight="1">
      <c r="A614" s="486"/>
      <c r="B614" s="486"/>
      <c r="C614" s="486"/>
      <c r="D614" s="486"/>
      <c r="E614" s="486"/>
      <c r="F614" s="486"/>
      <c r="G614" s="486"/>
      <c r="H614" s="486"/>
      <c r="I614" s="486"/>
      <c r="J614" s="486"/>
      <c r="K614" s="486"/>
      <c r="L614" s="486"/>
      <c r="M614" s="486"/>
      <c r="N614" s="486"/>
      <c r="O614" s="486"/>
      <c r="P614" s="486"/>
      <c r="Q614" s="486"/>
      <c r="R614" s="486"/>
      <c r="S614" s="486"/>
      <c r="T614" s="486"/>
      <c r="U614" s="486"/>
      <c r="V614" s="486"/>
      <c r="W614" s="486"/>
      <c r="X614" s="486"/>
      <c r="Y614" s="486"/>
      <c r="Z614" s="486"/>
    </row>
    <row r="615" spans="1:26" ht="15.75" customHeight="1">
      <c r="A615" s="486"/>
      <c r="B615" s="486"/>
      <c r="C615" s="486"/>
      <c r="D615" s="486"/>
      <c r="E615" s="486"/>
      <c r="F615" s="486"/>
      <c r="G615" s="486"/>
      <c r="H615" s="486"/>
      <c r="I615" s="486"/>
      <c r="J615" s="486"/>
      <c r="K615" s="486"/>
      <c r="L615" s="486"/>
      <c r="M615" s="486"/>
      <c r="N615" s="486"/>
      <c r="O615" s="486"/>
      <c r="P615" s="486"/>
      <c r="Q615" s="486"/>
      <c r="R615" s="486"/>
      <c r="S615" s="486"/>
      <c r="T615" s="486"/>
      <c r="U615" s="486"/>
      <c r="V615" s="486"/>
      <c r="W615" s="486"/>
      <c r="X615" s="486"/>
      <c r="Y615" s="486"/>
      <c r="Z615" s="486"/>
    </row>
    <row r="616" spans="1:26" ht="15.75" customHeight="1">
      <c r="A616" s="486"/>
      <c r="B616" s="486"/>
      <c r="C616" s="486"/>
      <c r="D616" s="486"/>
      <c r="E616" s="486"/>
      <c r="F616" s="486"/>
      <c r="G616" s="486"/>
      <c r="H616" s="486"/>
      <c r="I616" s="486"/>
      <c r="J616" s="486"/>
      <c r="K616" s="486"/>
      <c r="L616" s="486"/>
      <c r="M616" s="486"/>
      <c r="N616" s="486"/>
      <c r="O616" s="486"/>
      <c r="P616" s="486"/>
      <c r="Q616" s="486"/>
      <c r="R616" s="486"/>
      <c r="S616" s="486"/>
      <c r="T616" s="486"/>
      <c r="U616" s="486"/>
      <c r="V616" s="486"/>
      <c r="W616" s="486"/>
      <c r="X616" s="486"/>
      <c r="Y616" s="486"/>
      <c r="Z616" s="486"/>
    </row>
    <row r="617" spans="1:26" ht="15.75" customHeight="1">
      <c r="A617" s="486"/>
      <c r="B617" s="486"/>
      <c r="C617" s="486"/>
      <c r="D617" s="486"/>
      <c r="E617" s="486"/>
      <c r="F617" s="486"/>
      <c r="G617" s="486"/>
      <c r="H617" s="486"/>
      <c r="I617" s="486"/>
      <c r="J617" s="486"/>
      <c r="K617" s="486"/>
      <c r="L617" s="486"/>
      <c r="M617" s="486"/>
      <c r="N617" s="486"/>
      <c r="O617" s="486"/>
      <c r="P617" s="486"/>
      <c r="Q617" s="486"/>
      <c r="R617" s="486"/>
      <c r="S617" s="486"/>
      <c r="T617" s="486"/>
      <c r="U617" s="486"/>
      <c r="V617" s="486"/>
      <c r="W617" s="486"/>
      <c r="X617" s="486"/>
      <c r="Y617" s="486"/>
      <c r="Z617" s="486"/>
    </row>
    <row r="618" spans="1:26" ht="15.75" customHeight="1">
      <c r="A618" s="486"/>
      <c r="B618" s="486"/>
      <c r="C618" s="486"/>
      <c r="D618" s="486"/>
      <c r="E618" s="486"/>
      <c r="F618" s="486"/>
      <c r="G618" s="486"/>
      <c r="H618" s="486"/>
      <c r="I618" s="486"/>
      <c r="J618" s="486"/>
      <c r="K618" s="486"/>
      <c r="L618" s="486"/>
      <c r="M618" s="486"/>
      <c r="N618" s="486"/>
      <c r="O618" s="486"/>
      <c r="P618" s="486"/>
      <c r="Q618" s="486"/>
      <c r="R618" s="486"/>
      <c r="S618" s="486"/>
      <c r="T618" s="486"/>
      <c r="U618" s="486"/>
      <c r="V618" s="486"/>
      <c r="W618" s="486"/>
      <c r="X618" s="486"/>
      <c r="Y618" s="486"/>
      <c r="Z618" s="486"/>
    </row>
    <row r="619" spans="1:26" ht="15.75" customHeight="1">
      <c r="A619" s="486"/>
      <c r="B619" s="486"/>
      <c r="C619" s="486"/>
      <c r="D619" s="486"/>
      <c r="E619" s="486"/>
      <c r="F619" s="486"/>
      <c r="G619" s="486"/>
      <c r="H619" s="486"/>
      <c r="I619" s="486"/>
      <c r="J619" s="486"/>
      <c r="K619" s="486"/>
      <c r="L619" s="486"/>
      <c r="M619" s="486"/>
      <c r="N619" s="486"/>
      <c r="O619" s="486"/>
      <c r="P619" s="486"/>
      <c r="Q619" s="486"/>
      <c r="R619" s="486"/>
      <c r="S619" s="486"/>
      <c r="T619" s="486"/>
      <c r="U619" s="486"/>
      <c r="V619" s="486"/>
      <c r="W619" s="486"/>
      <c r="X619" s="486"/>
      <c r="Y619" s="486"/>
      <c r="Z619" s="486"/>
    </row>
    <row r="620" spans="1:26" ht="15.75" customHeight="1">
      <c r="A620" s="486"/>
      <c r="B620" s="486"/>
      <c r="C620" s="486"/>
      <c r="D620" s="486"/>
      <c r="E620" s="486"/>
      <c r="F620" s="486"/>
      <c r="G620" s="486"/>
      <c r="H620" s="486"/>
      <c r="I620" s="486"/>
      <c r="J620" s="486"/>
      <c r="K620" s="486"/>
      <c r="L620" s="486"/>
      <c r="M620" s="486"/>
      <c r="N620" s="486"/>
      <c r="O620" s="486"/>
      <c r="P620" s="486"/>
      <c r="Q620" s="486"/>
      <c r="R620" s="486"/>
      <c r="S620" s="486"/>
      <c r="T620" s="486"/>
      <c r="U620" s="486"/>
      <c r="V620" s="486"/>
      <c r="W620" s="486"/>
      <c r="X620" s="486"/>
      <c r="Y620" s="486"/>
      <c r="Z620" s="486"/>
    </row>
    <row r="621" spans="1:26" ht="15.75" customHeight="1">
      <c r="A621" s="486"/>
      <c r="B621" s="486"/>
      <c r="C621" s="486"/>
      <c r="D621" s="486"/>
      <c r="E621" s="486"/>
      <c r="F621" s="486"/>
      <c r="G621" s="486"/>
      <c r="H621" s="486"/>
      <c r="I621" s="486"/>
      <c r="J621" s="486"/>
      <c r="K621" s="486"/>
      <c r="L621" s="486"/>
      <c r="M621" s="486"/>
      <c r="N621" s="486"/>
      <c r="O621" s="486"/>
      <c r="P621" s="486"/>
      <c r="Q621" s="486"/>
      <c r="R621" s="486"/>
      <c r="S621" s="486"/>
      <c r="T621" s="486"/>
      <c r="U621" s="486"/>
      <c r="V621" s="486"/>
      <c r="W621" s="486"/>
      <c r="X621" s="486"/>
      <c r="Y621" s="486"/>
      <c r="Z621" s="486"/>
    </row>
    <row r="622" spans="1:26" ht="15.75" customHeight="1">
      <c r="A622" s="486"/>
      <c r="B622" s="486"/>
      <c r="C622" s="486"/>
      <c r="D622" s="486"/>
      <c r="E622" s="486"/>
      <c r="F622" s="486"/>
      <c r="G622" s="486"/>
      <c r="H622" s="486"/>
      <c r="I622" s="486"/>
      <c r="J622" s="486"/>
      <c r="K622" s="486"/>
      <c r="L622" s="486"/>
      <c r="M622" s="486"/>
      <c r="N622" s="486"/>
      <c r="O622" s="486"/>
      <c r="P622" s="486"/>
      <c r="Q622" s="486"/>
      <c r="R622" s="486"/>
      <c r="S622" s="486"/>
      <c r="T622" s="486"/>
      <c r="U622" s="486"/>
      <c r="V622" s="486"/>
      <c r="W622" s="486"/>
      <c r="X622" s="486"/>
      <c r="Y622" s="486"/>
      <c r="Z622" s="486"/>
    </row>
    <row r="623" spans="1:26" ht="15.75" customHeight="1">
      <c r="A623" s="486"/>
      <c r="B623" s="486"/>
      <c r="C623" s="486"/>
      <c r="D623" s="486"/>
      <c r="E623" s="486"/>
      <c r="F623" s="486"/>
      <c r="G623" s="486"/>
      <c r="H623" s="486"/>
      <c r="I623" s="486"/>
      <c r="J623" s="486"/>
      <c r="K623" s="486"/>
      <c r="L623" s="486"/>
      <c r="M623" s="486"/>
      <c r="N623" s="486"/>
      <c r="O623" s="486"/>
      <c r="P623" s="486"/>
      <c r="Q623" s="486"/>
      <c r="R623" s="486"/>
      <c r="S623" s="486"/>
      <c r="T623" s="486"/>
      <c r="U623" s="486"/>
      <c r="V623" s="486"/>
      <c r="W623" s="486"/>
      <c r="X623" s="486"/>
      <c r="Y623" s="486"/>
      <c r="Z623" s="486"/>
    </row>
    <row r="624" spans="1:26" ht="15.75" customHeight="1">
      <c r="A624" s="486"/>
      <c r="B624" s="486"/>
      <c r="C624" s="486"/>
      <c r="D624" s="486"/>
      <c r="E624" s="486"/>
      <c r="F624" s="486"/>
      <c r="G624" s="486"/>
      <c r="H624" s="486"/>
      <c r="I624" s="486"/>
      <c r="J624" s="486"/>
      <c r="K624" s="486"/>
      <c r="L624" s="486"/>
      <c r="M624" s="486"/>
      <c r="N624" s="486"/>
      <c r="O624" s="486"/>
      <c r="P624" s="486"/>
      <c r="Q624" s="486"/>
      <c r="R624" s="486"/>
      <c r="S624" s="486"/>
      <c r="T624" s="486"/>
      <c r="U624" s="486"/>
      <c r="V624" s="486"/>
      <c r="W624" s="486"/>
      <c r="X624" s="486"/>
      <c r="Y624" s="486"/>
      <c r="Z624" s="486"/>
    </row>
    <row r="625" spans="1:26" ht="15.75" customHeight="1">
      <c r="A625" s="486"/>
      <c r="B625" s="486"/>
      <c r="C625" s="486"/>
      <c r="D625" s="486"/>
      <c r="E625" s="486"/>
      <c r="F625" s="486"/>
      <c r="G625" s="486"/>
      <c r="H625" s="486"/>
      <c r="I625" s="486"/>
      <c r="J625" s="486"/>
      <c r="K625" s="486"/>
      <c r="L625" s="486"/>
      <c r="M625" s="486"/>
      <c r="N625" s="486"/>
      <c r="O625" s="486"/>
      <c r="P625" s="486"/>
      <c r="Q625" s="486"/>
      <c r="R625" s="486"/>
      <c r="S625" s="486"/>
      <c r="T625" s="486"/>
      <c r="U625" s="486"/>
      <c r="V625" s="486"/>
      <c r="W625" s="486"/>
      <c r="X625" s="486"/>
      <c r="Y625" s="486"/>
      <c r="Z625" s="486"/>
    </row>
    <row r="626" spans="1:26" ht="15.75" customHeight="1">
      <c r="A626" s="486"/>
      <c r="B626" s="486"/>
      <c r="C626" s="486"/>
      <c r="D626" s="486"/>
      <c r="E626" s="486"/>
      <c r="F626" s="486"/>
      <c r="G626" s="486"/>
      <c r="H626" s="486"/>
      <c r="I626" s="486"/>
      <c r="J626" s="486"/>
      <c r="K626" s="486"/>
      <c r="L626" s="486"/>
      <c r="M626" s="486"/>
      <c r="N626" s="486"/>
      <c r="O626" s="486"/>
      <c r="P626" s="486"/>
      <c r="Q626" s="486"/>
      <c r="R626" s="486"/>
      <c r="S626" s="486"/>
      <c r="T626" s="486"/>
      <c r="U626" s="486"/>
      <c r="V626" s="486"/>
      <c r="W626" s="486"/>
      <c r="X626" s="486"/>
      <c r="Y626" s="486"/>
      <c r="Z626" s="486"/>
    </row>
    <row r="627" spans="1:26" ht="15.75" customHeight="1">
      <c r="A627" s="486"/>
      <c r="B627" s="486"/>
      <c r="C627" s="486"/>
      <c r="D627" s="486"/>
      <c r="E627" s="486"/>
      <c r="F627" s="486"/>
      <c r="G627" s="486"/>
      <c r="H627" s="486"/>
      <c r="I627" s="486"/>
      <c r="J627" s="486"/>
      <c r="K627" s="486"/>
      <c r="L627" s="486"/>
      <c r="M627" s="486"/>
      <c r="N627" s="486"/>
      <c r="O627" s="486"/>
      <c r="P627" s="486"/>
      <c r="Q627" s="486"/>
      <c r="R627" s="486"/>
      <c r="S627" s="486"/>
      <c r="T627" s="486"/>
      <c r="U627" s="486"/>
      <c r="V627" s="486"/>
      <c r="W627" s="486"/>
      <c r="X627" s="486"/>
      <c r="Y627" s="486"/>
      <c r="Z627" s="486"/>
    </row>
    <row r="628" spans="1:26" ht="15.75" customHeight="1">
      <c r="A628" s="486"/>
      <c r="B628" s="486"/>
      <c r="C628" s="486"/>
      <c r="D628" s="486"/>
      <c r="E628" s="486"/>
      <c r="F628" s="486"/>
      <c r="G628" s="486"/>
      <c r="H628" s="486"/>
      <c r="I628" s="486"/>
      <c r="J628" s="486"/>
      <c r="K628" s="486"/>
      <c r="L628" s="486"/>
      <c r="M628" s="486"/>
      <c r="N628" s="486"/>
      <c r="O628" s="486"/>
      <c r="P628" s="486"/>
      <c r="Q628" s="486"/>
      <c r="R628" s="486"/>
      <c r="S628" s="486"/>
      <c r="T628" s="486"/>
      <c r="U628" s="486"/>
      <c r="V628" s="486"/>
      <c r="W628" s="486"/>
      <c r="X628" s="486"/>
      <c r="Y628" s="486"/>
      <c r="Z628" s="486"/>
    </row>
    <row r="629" spans="1:26" ht="15.75" customHeight="1">
      <c r="A629" s="486"/>
      <c r="B629" s="486"/>
      <c r="C629" s="486"/>
      <c r="D629" s="486"/>
      <c r="E629" s="486"/>
      <c r="F629" s="486"/>
      <c r="G629" s="486"/>
      <c r="H629" s="486"/>
      <c r="I629" s="486"/>
      <c r="J629" s="486"/>
      <c r="K629" s="486"/>
      <c r="L629" s="486"/>
      <c r="M629" s="486"/>
      <c r="N629" s="486"/>
      <c r="O629" s="486"/>
      <c r="P629" s="486"/>
      <c r="Q629" s="486"/>
      <c r="R629" s="486"/>
      <c r="S629" s="486"/>
      <c r="T629" s="486"/>
      <c r="U629" s="486"/>
      <c r="V629" s="486"/>
      <c r="W629" s="486"/>
      <c r="X629" s="486"/>
      <c r="Y629" s="486"/>
      <c r="Z629" s="486"/>
    </row>
    <row r="630" spans="1:26" ht="15.75" customHeight="1">
      <c r="A630" s="486"/>
      <c r="B630" s="486"/>
      <c r="C630" s="486"/>
      <c r="D630" s="486"/>
      <c r="E630" s="486"/>
      <c r="F630" s="486"/>
      <c r="G630" s="486"/>
      <c r="H630" s="486"/>
      <c r="I630" s="486"/>
      <c r="J630" s="486"/>
      <c r="K630" s="486"/>
      <c r="L630" s="486"/>
      <c r="M630" s="486"/>
      <c r="N630" s="486"/>
      <c r="O630" s="486"/>
      <c r="P630" s="486"/>
      <c r="Q630" s="486"/>
      <c r="R630" s="486"/>
      <c r="S630" s="486"/>
      <c r="T630" s="486"/>
      <c r="U630" s="486"/>
      <c r="V630" s="486"/>
      <c r="W630" s="486"/>
      <c r="X630" s="486"/>
      <c r="Y630" s="486"/>
      <c r="Z630" s="486"/>
    </row>
    <row r="631" spans="1:26" ht="15.75" customHeight="1">
      <c r="A631" s="486"/>
      <c r="B631" s="486"/>
      <c r="C631" s="486"/>
      <c r="D631" s="486"/>
      <c r="E631" s="486"/>
      <c r="F631" s="486"/>
      <c r="G631" s="486"/>
      <c r="H631" s="486"/>
      <c r="I631" s="486"/>
      <c r="J631" s="486"/>
      <c r="K631" s="486"/>
      <c r="L631" s="486"/>
      <c r="M631" s="486"/>
      <c r="N631" s="486"/>
      <c r="O631" s="486"/>
      <c r="P631" s="486"/>
      <c r="Q631" s="486"/>
      <c r="R631" s="486"/>
      <c r="S631" s="486"/>
      <c r="T631" s="486"/>
      <c r="U631" s="486"/>
      <c r="V631" s="486"/>
      <c r="W631" s="486"/>
      <c r="X631" s="486"/>
      <c r="Y631" s="486"/>
      <c r="Z631" s="486"/>
    </row>
    <row r="632" spans="1:26" ht="15.75" customHeight="1">
      <c r="A632" s="486"/>
      <c r="B632" s="486"/>
      <c r="C632" s="486"/>
      <c r="D632" s="486"/>
      <c r="E632" s="486"/>
      <c r="F632" s="486"/>
      <c r="G632" s="486"/>
      <c r="H632" s="486"/>
      <c r="I632" s="486"/>
      <c r="J632" s="486"/>
      <c r="K632" s="486"/>
      <c r="L632" s="486"/>
      <c r="M632" s="486"/>
      <c r="N632" s="486"/>
      <c r="O632" s="486"/>
      <c r="P632" s="486"/>
      <c r="Q632" s="486"/>
      <c r="R632" s="486"/>
      <c r="S632" s="486"/>
      <c r="T632" s="486"/>
      <c r="U632" s="486"/>
      <c r="V632" s="486"/>
      <c r="W632" s="486"/>
      <c r="X632" s="486"/>
      <c r="Y632" s="486"/>
      <c r="Z632" s="486"/>
    </row>
    <row r="633" spans="1:26" ht="15.75" customHeight="1">
      <c r="A633" s="486"/>
      <c r="B633" s="486"/>
      <c r="C633" s="486"/>
      <c r="D633" s="486"/>
      <c r="E633" s="486"/>
      <c r="F633" s="486"/>
      <c r="G633" s="486"/>
      <c r="H633" s="486"/>
      <c r="I633" s="486"/>
      <c r="J633" s="486"/>
      <c r="K633" s="486"/>
      <c r="L633" s="486"/>
      <c r="M633" s="486"/>
      <c r="N633" s="486"/>
      <c r="O633" s="486"/>
      <c r="P633" s="486"/>
      <c r="Q633" s="486"/>
      <c r="R633" s="486"/>
      <c r="S633" s="486"/>
      <c r="T633" s="486"/>
      <c r="U633" s="486"/>
      <c r="V633" s="486"/>
      <c r="W633" s="486"/>
      <c r="X633" s="486"/>
      <c r="Y633" s="486"/>
      <c r="Z633" s="486"/>
    </row>
    <row r="634" spans="1:26" ht="15.75" customHeight="1">
      <c r="A634" s="486"/>
      <c r="B634" s="486"/>
      <c r="C634" s="486"/>
      <c r="D634" s="486"/>
      <c r="E634" s="486"/>
      <c r="F634" s="486"/>
      <c r="G634" s="486"/>
      <c r="H634" s="486"/>
      <c r="I634" s="486"/>
      <c r="J634" s="486"/>
      <c r="K634" s="486"/>
      <c r="L634" s="486"/>
      <c r="M634" s="486"/>
      <c r="N634" s="486"/>
      <c r="O634" s="486"/>
      <c r="P634" s="486"/>
      <c r="Q634" s="486"/>
      <c r="R634" s="486"/>
      <c r="S634" s="486"/>
      <c r="T634" s="486"/>
      <c r="U634" s="486"/>
      <c r="V634" s="486"/>
      <c r="W634" s="486"/>
      <c r="X634" s="486"/>
      <c r="Y634" s="486"/>
      <c r="Z634" s="486"/>
    </row>
    <row r="635" spans="1:26" ht="15.75" customHeight="1">
      <c r="A635" s="486"/>
      <c r="B635" s="486"/>
      <c r="C635" s="486"/>
      <c r="D635" s="486"/>
      <c r="E635" s="486"/>
      <c r="F635" s="486"/>
      <c r="G635" s="486"/>
      <c r="H635" s="486"/>
      <c r="I635" s="486"/>
      <c r="J635" s="486"/>
      <c r="K635" s="486"/>
      <c r="L635" s="486"/>
      <c r="M635" s="486"/>
      <c r="N635" s="486"/>
      <c r="O635" s="486"/>
      <c r="P635" s="486"/>
      <c r="Q635" s="486"/>
      <c r="R635" s="486"/>
      <c r="S635" s="486"/>
      <c r="T635" s="486"/>
      <c r="U635" s="486"/>
      <c r="V635" s="486"/>
      <c r="W635" s="486"/>
      <c r="X635" s="486"/>
      <c r="Y635" s="486"/>
      <c r="Z635" s="486"/>
    </row>
    <row r="636" spans="1:26" ht="15.75" customHeight="1">
      <c r="A636" s="486"/>
      <c r="B636" s="486"/>
      <c r="C636" s="486"/>
      <c r="D636" s="486"/>
      <c r="E636" s="486"/>
      <c r="F636" s="486"/>
      <c r="G636" s="486"/>
      <c r="H636" s="486"/>
      <c r="I636" s="486"/>
      <c r="J636" s="486"/>
      <c r="K636" s="486"/>
      <c r="L636" s="486"/>
      <c r="M636" s="486"/>
      <c r="N636" s="486"/>
      <c r="O636" s="486"/>
      <c r="P636" s="486"/>
      <c r="Q636" s="486"/>
      <c r="R636" s="486"/>
      <c r="S636" s="486"/>
      <c r="T636" s="486"/>
      <c r="U636" s="486"/>
      <c r="V636" s="486"/>
      <c r="W636" s="486"/>
      <c r="X636" s="486"/>
      <c r="Y636" s="486"/>
      <c r="Z636" s="486"/>
    </row>
    <row r="637" spans="1:26" ht="15.75" customHeight="1">
      <c r="A637" s="486"/>
      <c r="B637" s="486"/>
      <c r="C637" s="486"/>
      <c r="D637" s="486"/>
      <c r="E637" s="486"/>
      <c r="F637" s="486"/>
      <c r="G637" s="486"/>
      <c r="H637" s="486"/>
      <c r="I637" s="486"/>
      <c r="J637" s="486"/>
      <c r="K637" s="486"/>
      <c r="L637" s="486"/>
      <c r="M637" s="486"/>
      <c r="N637" s="486"/>
      <c r="O637" s="486"/>
      <c r="P637" s="486"/>
      <c r="Q637" s="486"/>
      <c r="R637" s="486"/>
      <c r="S637" s="486"/>
      <c r="T637" s="486"/>
      <c r="U637" s="486"/>
      <c r="V637" s="486"/>
      <c r="W637" s="486"/>
      <c r="X637" s="486"/>
      <c r="Y637" s="486"/>
      <c r="Z637" s="486"/>
    </row>
    <row r="638" spans="1:26" ht="15.75" customHeight="1">
      <c r="A638" s="486"/>
      <c r="B638" s="486"/>
      <c r="C638" s="486"/>
      <c r="D638" s="486"/>
      <c r="E638" s="486"/>
      <c r="F638" s="486"/>
      <c r="G638" s="486"/>
      <c r="H638" s="486"/>
      <c r="I638" s="486"/>
      <c r="J638" s="486"/>
      <c r="K638" s="486"/>
      <c r="L638" s="486"/>
      <c r="M638" s="486"/>
      <c r="N638" s="486"/>
      <c r="O638" s="486"/>
      <c r="P638" s="486"/>
      <c r="Q638" s="486"/>
      <c r="R638" s="486"/>
      <c r="S638" s="486"/>
      <c r="T638" s="486"/>
      <c r="U638" s="486"/>
      <c r="V638" s="486"/>
      <c r="W638" s="486"/>
      <c r="X638" s="486"/>
      <c r="Y638" s="486"/>
      <c r="Z638" s="486"/>
    </row>
    <row r="639" spans="1:26" ht="15.75" customHeight="1">
      <c r="A639" s="486"/>
      <c r="B639" s="486"/>
      <c r="C639" s="486"/>
      <c r="D639" s="486"/>
      <c r="E639" s="486"/>
      <c r="F639" s="486"/>
      <c r="G639" s="486"/>
      <c r="H639" s="486"/>
      <c r="I639" s="486"/>
      <c r="J639" s="486"/>
      <c r="K639" s="486"/>
      <c r="L639" s="486"/>
      <c r="M639" s="486"/>
      <c r="N639" s="486"/>
      <c r="O639" s="486"/>
      <c r="P639" s="486"/>
      <c r="Q639" s="486"/>
      <c r="R639" s="486"/>
      <c r="S639" s="486"/>
      <c r="T639" s="486"/>
      <c r="U639" s="486"/>
      <c r="V639" s="486"/>
      <c r="W639" s="486"/>
      <c r="X639" s="486"/>
      <c r="Y639" s="486"/>
      <c r="Z639" s="486"/>
    </row>
    <row r="640" spans="1:26" ht="15.75" customHeight="1">
      <c r="A640" s="486"/>
      <c r="B640" s="486"/>
      <c r="C640" s="486"/>
      <c r="D640" s="486"/>
      <c r="E640" s="486"/>
      <c r="F640" s="486"/>
      <c r="G640" s="486"/>
      <c r="H640" s="486"/>
      <c r="I640" s="486"/>
      <c r="J640" s="486"/>
      <c r="K640" s="486"/>
      <c r="L640" s="486"/>
      <c r="M640" s="486"/>
      <c r="N640" s="486"/>
      <c r="O640" s="486"/>
      <c r="P640" s="486"/>
      <c r="Q640" s="486"/>
      <c r="R640" s="486"/>
      <c r="S640" s="486"/>
      <c r="T640" s="486"/>
      <c r="U640" s="486"/>
      <c r="V640" s="486"/>
      <c r="W640" s="486"/>
      <c r="X640" s="486"/>
      <c r="Y640" s="486"/>
      <c r="Z640" s="486"/>
    </row>
    <row r="641" spans="1:26" ht="15.75" customHeight="1">
      <c r="A641" s="486"/>
      <c r="B641" s="486"/>
      <c r="C641" s="486"/>
      <c r="D641" s="486"/>
      <c r="E641" s="486"/>
      <c r="F641" s="486"/>
      <c r="G641" s="486"/>
      <c r="H641" s="486"/>
      <c r="I641" s="486"/>
      <c r="J641" s="486"/>
      <c r="K641" s="486"/>
      <c r="L641" s="486"/>
      <c r="M641" s="486"/>
      <c r="N641" s="486"/>
      <c r="O641" s="486"/>
      <c r="P641" s="486"/>
      <c r="Q641" s="486"/>
      <c r="R641" s="486"/>
      <c r="S641" s="486"/>
      <c r="T641" s="486"/>
      <c r="U641" s="486"/>
      <c r="V641" s="486"/>
      <c r="W641" s="486"/>
      <c r="X641" s="486"/>
      <c r="Y641" s="486"/>
      <c r="Z641" s="486"/>
    </row>
    <row r="642" spans="1:26" ht="15.75" customHeight="1">
      <c r="A642" s="486"/>
      <c r="B642" s="486"/>
      <c r="C642" s="486"/>
      <c r="D642" s="486"/>
      <c r="E642" s="486"/>
      <c r="F642" s="486"/>
      <c r="G642" s="486"/>
      <c r="H642" s="486"/>
      <c r="I642" s="486"/>
      <c r="J642" s="486"/>
      <c r="K642" s="486"/>
      <c r="L642" s="486"/>
      <c r="M642" s="486"/>
      <c r="N642" s="486"/>
      <c r="O642" s="486"/>
      <c r="P642" s="486"/>
      <c r="Q642" s="486"/>
      <c r="R642" s="486"/>
      <c r="S642" s="486"/>
      <c r="T642" s="486"/>
      <c r="U642" s="486"/>
      <c r="V642" s="486"/>
      <c r="W642" s="486"/>
      <c r="X642" s="486"/>
      <c r="Y642" s="486"/>
      <c r="Z642" s="486"/>
    </row>
    <row r="643" spans="1:26" ht="15.75" customHeight="1">
      <c r="A643" s="486"/>
      <c r="B643" s="486"/>
      <c r="C643" s="486"/>
      <c r="D643" s="486"/>
      <c r="E643" s="486"/>
      <c r="F643" s="486"/>
      <c r="G643" s="486"/>
      <c r="H643" s="486"/>
      <c r="I643" s="486"/>
      <c r="J643" s="486"/>
      <c r="K643" s="486"/>
      <c r="L643" s="486"/>
      <c r="M643" s="486"/>
      <c r="N643" s="486"/>
      <c r="O643" s="486"/>
      <c r="P643" s="486"/>
      <c r="Q643" s="486"/>
      <c r="R643" s="486"/>
      <c r="S643" s="486"/>
      <c r="T643" s="486"/>
      <c r="U643" s="486"/>
      <c r="V643" s="486"/>
      <c r="W643" s="486"/>
      <c r="X643" s="486"/>
      <c r="Y643" s="486"/>
      <c r="Z643" s="486"/>
    </row>
    <row r="644" spans="1:26" ht="15.75" customHeight="1">
      <c r="A644" s="486"/>
      <c r="B644" s="486"/>
      <c r="C644" s="486"/>
      <c r="D644" s="486"/>
      <c r="E644" s="486"/>
      <c r="F644" s="486"/>
      <c r="G644" s="486"/>
      <c r="H644" s="486"/>
      <c r="I644" s="486"/>
      <c r="J644" s="486"/>
      <c r="K644" s="486"/>
      <c r="L644" s="486"/>
      <c r="M644" s="486"/>
      <c r="N644" s="486"/>
      <c r="O644" s="486"/>
      <c r="P644" s="486"/>
      <c r="Q644" s="486"/>
      <c r="R644" s="486"/>
      <c r="S644" s="486"/>
      <c r="T644" s="486"/>
      <c r="U644" s="486"/>
      <c r="V644" s="486"/>
      <c r="W644" s="486"/>
      <c r="X644" s="486"/>
      <c r="Y644" s="486"/>
      <c r="Z644" s="486"/>
    </row>
    <row r="645" spans="1:26" ht="15.75" customHeight="1">
      <c r="A645" s="486"/>
      <c r="B645" s="486"/>
      <c r="C645" s="486"/>
      <c r="D645" s="486"/>
      <c r="E645" s="486"/>
      <c r="F645" s="486"/>
      <c r="G645" s="486"/>
      <c r="H645" s="486"/>
      <c r="I645" s="486"/>
      <c r="J645" s="486"/>
      <c r="K645" s="486"/>
      <c r="L645" s="486"/>
      <c r="M645" s="486"/>
      <c r="N645" s="486"/>
      <c r="O645" s="486"/>
      <c r="P645" s="486"/>
      <c r="Q645" s="486"/>
      <c r="R645" s="486"/>
      <c r="S645" s="486"/>
      <c r="T645" s="486"/>
      <c r="U645" s="486"/>
      <c r="V645" s="486"/>
      <c r="W645" s="486"/>
      <c r="X645" s="486"/>
      <c r="Y645" s="486"/>
      <c r="Z645" s="486"/>
    </row>
    <row r="646" spans="1:26" ht="15.75" customHeight="1">
      <c r="A646" s="486"/>
      <c r="B646" s="486"/>
      <c r="C646" s="486"/>
      <c r="D646" s="486"/>
      <c r="E646" s="486"/>
      <c r="F646" s="486"/>
      <c r="G646" s="486"/>
      <c r="H646" s="486"/>
      <c r="I646" s="486"/>
      <c r="J646" s="486"/>
      <c r="K646" s="486"/>
      <c r="L646" s="486"/>
      <c r="M646" s="486"/>
      <c r="N646" s="486"/>
      <c r="O646" s="486"/>
      <c r="P646" s="486"/>
      <c r="Q646" s="486"/>
      <c r="R646" s="486"/>
      <c r="S646" s="486"/>
      <c r="T646" s="486"/>
      <c r="U646" s="486"/>
      <c r="V646" s="486"/>
      <c r="W646" s="486"/>
      <c r="X646" s="486"/>
      <c r="Y646" s="486"/>
      <c r="Z646" s="486"/>
    </row>
    <row r="647" spans="1:26" ht="15.75" customHeight="1">
      <c r="A647" s="486"/>
      <c r="B647" s="486"/>
      <c r="C647" s="486"/>
      <c r="D647" s="486"/>
      <c r="E647" s="486"/>
      <c r="F647" s="486"/>
      <c r="G647" s="486"/>
      <c r="H647" s="486"/>
      <c r="I647" s="486"/>
      <c r="J647" s="486"/>
      <c r="K647" s="486"/>
      <c r="L647" s="486"/>
      <c r="M647" s="486"/>
      <c r="N647" s="486"/>
      <c r="O647" s="486"/>
      <c r="P647" s="486"/>
      <c r="Q647" s="486"/>
      <c r="R647" s="486"/>
      <c r="S647" s="486"/>
      <c r="T647" s="486"/>
      <c r="U647" s="486"/>
      <c r="V647" s="486"/>
      <c r="W647" s="486"/>
      <c r="X647" s="486"/>
      <c r="Y647" s="486"/>
      <c r="Z647" s="486"/>
    </row>
    <row r="648" spans="1:26" ht="15.75" customHeight="1">
      <c r="A648" s="486"/>
      <c r="B648" s="486"/>
      <c r="C648" s="486"/>
      <c r="D648" s="486"/>
      <c r="E648" s="486"/>
      <c r="F648" s="486"/>
      <c r="G648" s="486"/>
      <c r="H648" s="486"/>
      <c r="I648" s="486"/>
      <c r="J648" s="486"/>
      <c r="K648" s="486"/>
      <c r="L648" s="486"/>
      <c r="M648" s="486"/>
      <c r="N648" s="486"/>
      <c r="O648" s="486"/>
      <c r="P648" s="486"/>
      <c r="Q648" s="486"/>
      <c r="R648" s="486"/>
      <c r="S648" s="486"/>
      <c r="T648" s="486"/>
      <c r="U648" s="486"/>
      <c r="V648" s="486"/>
      <c r="W648" s="486"/>
      <c r="X648" s="486"/>
      <c r="Y648" s="486"/>
      <c r="Z648" s="486"/>
    </row>
    <row r="649" spans="1:26" ht="15.75" customHeight="1">
      <c r="A649" s="486"/>
      <c r="B649" s="486"/>
      <c r="C649" s="486"/>
      <c r="D649" s="486"/>
      <c r="E649" s="486"/>
      <c r="F649" s="486"/>
      <c r="G649" s="486"/>
      <c r="H649" s="486"/>
      <c r="I649" s="486"/>
      <c r="J649" s="486"/>
      <c r="K649" s="486"/>
      <c r="L649" s="486"/>
      <c r="M649" s="486"/>
      <c r="N649" s="486"/>
      <c r="O649" s="486"/>
      <c r="P649" s="486"/>
      <c r="Q649" s="486"/>
      <c r="R649" s="486"/>
      <c r="S649" s="486"/>
      <c r="T649" s="486"/>
      <c r="U649" s="486"/>
      <c r="V649" s="486"/>
      <c r="W649" s="486"/>
      <c r="X649" s="486"/>
      <c r="Y649" s="486"/>
      <c r="Z649" s="486"/>
    </row>
    <row r="650" spans="1:26" ht="15.75" customHeight="1">
      <c r="A650" s="486"/>
      <c r="B650" s="486"/>
      <c r="C650" s="486"/>
      <c r="D650" s="486"/>
      <c r="E650" s="486"/>
      <c r="F650" s="486"/>
      <c r="G650" s="486"/>
      <c r="H650" s="486"/>
      <c r="I650" s="486"/>
      <c r="J650" s="486"/>
      <c r="K650" s="486"/>
      <c r="L650" s="486"/>
      <c r="M650" s="486"/>
      <c r="N650" s="486"/>
      <c r="O650" s="486"/>
      <c r="P650" s="486"/>
      <c r="Q650" s="486"/>
      <c r="R650" s="486"/>
      <c r="S650" s="486"/>
      <c r="T650" s="486"/>
      <c r="U650" s="486"/>
      <c r="V650" s="486"/>
      <c r="W650" s="486"/>
      <c r="X650" s="486"/>
      <c r="Y650" s="486"/>
      <c r="Z650" s="486"/>
    </row>
    <row r="651" spans="1:26" ht="15.75" customHeight="1">
      <c r="A651" s="486"/>
      <c r="B651" s="486"/>
      <c r="C651" s="486"/>
      <c r="D651" s="486"/>
      <c r="E651" s="486"/>
      <c r="F651" s="486"/>
      <c r="G651" s="486"/>
      <c r="H651" s="486"/>
      <c r="I651" s="486"/>
      <c r="J651" s="486"/>
      <c r="K651" s="486"/>
      <c r="L651" s="486"/>
      <c r="M651" s="486"/>
      <c r="N651" s="486"/>
      <c r="O651" s="486"/>
      <c r="P651" s="486"/>
      <c r="Q651" s="486"/>
      <c r="R651" s="486"/>
      <c r="S651" s="486"/>
      <c r="T651" s="486"/>
      <c r="U651" s="486"/>
      <c r="V651" s="486"/>
      <c r="W651" s="486"/>
      <c r="X651" s="486"/>
      <c r="Y651" s="486"/>
      <c r="Z651" s="486"/>
    </row>
    <row r="652" spans="1:26" ht="15.75" customHeight="1">
      <c r="A652" s="486"/>
      <c r="B652" s="486"/>
      <c r="C652" s="486"/>
      <c r="D652" s="486"/>
      <c r="E652" s="486"/>
      <c r="F652" s="486"/>
      <c r="G652" s="486"/>
      <c r="H652" s="486"/>
      <c r="I652" s="486"/>
      <c r="J652" s="486"/>
      <c r="K652" s="486"/>
      <c r="L652" s="486"/>
      <c r="M652" s="486"/>
      <c r="N652" s="486"/>
      <c r="O652" s="486"/>
      <c r="P652" s="486"/>
      <c r="Q652" s="486"/>
      <c r="R652" s="486"/>
      <c r="S652" s="486"/>
      <c r="T652" s="486"/>
      <c r="U652" s="486"/>
      <c r="V652" s="486"/>
      <c r="W652" s="486"/>
      <c r="X652" s="486"/>
      <c r="Y652" s="486"/>
      <c r="Z652" s="486"/>
    </row>
    <row r="653" spans="1:26" ht="15.75" customHeight="1">
      <c r="A653" s="486"/>
      <c r="B653" s="486"/>
      <c r="C653" s="486"/>
      <c r="D653" s="486"/>
      <c r="E653" s="486"/>
      <c r="F653" s="486"/>
      <c r="G653" s="486"/>
      <c r="H653" s="486"/>
      <c r="I653" s="486"/>
      <c r="J653" s="486"/>
      <c r="K653" s="486"/>
      <c r="L653" s="486"/>
      <c r="M653" s="486"/>
      <c r="N653" s="486"/>
      <c r="O653" s="486"/>
      <c r="P653" s="486"/>
      <c r="Q653" s="486"/>
      <c r="R653" s="486"/>
      <c r="S653" s="486"/>
      <c r="T653" s="486"/>
      <c r="U653" s="486"/>
      <c r="V653" s="486"/>
      <c r="W653" s="486"/>
      <c r="X653" s="486"/>
      <c r="Y653" s="486"/>
      <c r="Z653" s="486"/>
    </row>
    <row r="654" spans="1:26" ht="15.75" customHeight="1">
      <c r="A654" s="486"/>
      <c r="B654" s="486"/>
      <c r="C654" s="486"/>
      <c r="D654" s="486"/>
      <c r="E654" s="486"/>
      <c r="F654" s="486"/>
      <c r="G654" s="486"/>
      <c r="H654" s="486"/>
      <c r="I654" s="486"/>
      <c r="J654" s="486"/>
      <c r="K654" s="486"/>
      <c r="L654" s="486"/>
      <c r="M654" s="486"/>
      <c r="N654" s="486"/>
      <c r="O654" s="486"/>
      <c r="P654" s="486"/>
      <c r="Q654" s="486"/>
      <c r="R654" s="486"/>
      <c r="S654" s="486"/>
      <c r="T654" s="486"/>
      <c r="U654" s="486"/>
      <c r="V654" s="486"/>
      <c r="W654" s="486"/>
      <c r="X654" s="486"/>
      <c r="Y654" s="486"/>
      <c r="Z654" s="486"/>
    </row>
    <row r="655" spans="1:26" ht="15.75" customHeight="1">
      <c r="A655" s="486"/>
      <c r="B655" s="486"/>
      <c r="C655" s="486"/>
      <c r="D655" s="486"/>
      <c r="E655" s="486"/>
      <c r="F655" s="486"/>
      <c r="G655" s="486"/>
      <c r="H655" s="486"/>
      <c r="I655" s="486"/>
      <c r="J655" s="486"/>
      <c r="K655" s="486"/>
      <c r="L655" s="486"/>
      <c r="M655" s="486"/>
      <c r="N655" s="486"/>
      <c r="O655" s="486"/>
      <c r="P655" s="486"/>
      <c r="Q655" s="486"/>
      <c r="R655" s="486"/>
      <c r="S655" s="486"/>
      <c r="T655" s="486"/>
      <c r="U655" s="486"/>
      <c r="V655" s="486"/>
      <c r="W655" s="486"/>
      <c r="X655" s="486"/>
      <c r="Y655" s="486"/>
      <c r="Z655" s="486"/>
    </row>
    <row r="656" spans="1:26" ht="15.75" customHeight="1">
      <c r="A656" s="486"/>
      <c r="B656" s="486"/>
      <c r="C656" s="486"/>
      <c r="D656" s="486"/>
      <c r="E656" s="486"/>
      <c r="F656" s="486"/>
      <c r="G656" s="486"/>
      <c r="H656" s="486"/>
      <c r="I656" s="486"/>
      <c r="J656" s="486"/>
      <c r="K656" s="486"/>
      <c r="L656" s="486"/>
      <c r="M656" s="486"/>
      <c r="N656" s="486"/>
      <c r="O656" s="486"/>
      <c r="P656" s="486"/>
      <c r="Q656" s="486"/>
      <c r="R656" s="486"/>
      <c r="S656" s="486"/>
      <c r="T656" s="486"/>
      <c r="U656" s="486"/>
      <c r="V656" s="486"/>
      <c r="W656" s="486"/>
      <c r="X656" s="486"/>
      <c r="Y656" s="486"/>
      <c r="Z656" s="486"/>
    </row>
    <row r="657" spans="1:26" ht="15.75" customHeight="1">
      <c r="A657" s="486"/>
      <c r="B657" s="486"/>
      <c r="C657" s="486"/>
      <c r="D657" s="486"/>
      <c r="E657" s="486"/>
      <c r="F657" s="486"/>
      <c r="G657" s="486"/>
      <c r="H657" s="486"/>
      <c r="I657" s="486"/>
      <c r="J657" s="486"/>
      <c r="K657" s="486"/>
      <c r="L657" s="486"/>
      <c r="M657" s="486"/>
      <c r="N657" s="486"/>
      <c r="O657" s="486"/>
      <c r="P657" s="486"/>
      <c r="Q657" s="486"/>
      <c r="R657" s="486"/>
      <c r="S657" s="486"/>
      <c r="T657" s="486"/>
      <c r="U657" s="486"/>
      <c r="V657" s="486"/>
      <c r="W657" s="486"/>
      <c r="X657" s="486"/>
      <c r="Y657" s="486"/>
      <c r="Z657" s="486"/>
    </row>
    <row r="658" spans="1:26" ht="15.75" customHeight="1">
      <c r="A658" s="486"/>
      <c r="B658" s="486"/>
      <c r="C658" s="486"/>
      <c r="D658" s="486"/>
      <c r="E658" s="486"/>
      <c r="F658" s="486"/>
      <c r="G658" s="486"/>
      <c r="H658" s="486"/>
      <c r="I658" s="486"/>
      <c r="J658" s="486"/>
      <c r="K658" s="486"/>
      <c r="L658" s="486"/>
      <c r="M658" s="486"/>
      <c r="N658" s="486"/>
      <c r="O658" s="486"/>
      <c r="P658" s="486"/>
      <c r="Q658" s="486"/>
      <c r="R658" s="486"/>
      <c r="S658" s="486"/>
      <c r="T658" s="486"/>
      <c r="U658" s="486"/>
      <c r="V658" s="486"/>
      <c r="W658" s="486"/>
      <c r="X658" s="486"/>
      <c r="Y658" s="486"/>
      <c r="Z658" s="486"/>
    </row>
    <row r="659" spans="1:26" ht="15.75" customHeight="1">
      <c r="A659" s="486"/>
      <c r="B659" s="486"/>
      <c r="C659" s="486"/>
      <c r="D659" s="486"/>
      <c r="E659" s="486"/>
      <c r="F659" s="486"/>
      <c r="G659" s="486"/>
      <c r="H659" s="486"/>
      <c r="I659" s="486"/>
      <c r="J659" s="486"/>
      <c r="K659" s="486"/>
      <c r="L659" s="486"/>
      <c r="M659" s="486"/>
      <c r="N659" s="486"/>
      <c r="O659" s="486"/>
      <c r="P659" s="486"/>
      <c r="Q659" s="486"/>
      <c r="R659" s="486"/>
      <c r="S659" s="486"/>
      <c r="T659" s="486"/>
      <c r="U659" s="486"/>
      <c r="V659" s="486"/>
      <c r="W659" s="486"/>
      <c r="X659" s="486"/>
      <c r="Y659" s="486"/>
      <c r="Z659" s="486"/>
    </row>
    <row r="660" spans="1:26" ht="15.75" customHeight="1">
      <c r="A660" s="486"/>
      <c r="B660" s="486"/>
      <c r="C660" s="486"/>
      <c r="D660" s="486"/>
      <c r="E660" s="486"/>
      <c r="F660" s="486"/>
      <c r="G660" s="486"/>
      <c r="H660" s="486"/>
      <c r="I660" s="486"/>
      <c r="J660" s="486"/>
      <c r="K660" s="486"/>
      <c r="L660" s="486"/>
      <c r="M660" s="486"/>
      <c r="N660" s="486"/>
      <c r="O660" s="486"/>
      <c r="P660" s="486"/>
      <c r="Q660" s="486"/>
      <c r="R660" s="486"/>
      <c r="S660" s="486"/>
      <c r="T660" s="486"/>
      <c r="U660" s="486"/>
      <c r="V660" s="486"/>
      <c r="W660" s="486"/>
      <c r="X660" s="486"/>
      <c r="Y660" s="486"/>
      <c r="Z660" s="486"/>
    </row>
    <row r="661" spans="1:26" ht="15.75" customHeight="1">
      <c r="A661" s="486"/>
      <c r="B661" s="486"/>
      <c r="C661" s="486"/>
      <c r="D661" s="486"/>
      <c r="E661" s="486"/>
      <c r="F661" s="486"/>
      <c r="G661" s="486"/>
      <c r="H661" s="486"/>
      <c r="I661" s="486"/>
      <c r="J661" s="486"/>
      <c r="K661" s="486"/>
      <c r="L661" s="486"/>
      <c r="M661" s="486"/>
      <c r="N661" s="486"/>
      <c r="O661" s="486"/>
      <c r="P661" s="486"/>
      <c r="Q661" s="486"/>
      <c r="R661" s="486"/>
      <c r="S661" s="486"/>
      <c r="T661" s="486"/>
      <c r="U661" s="486"/>
      <c r="V661" s="486"/>
      <c r="W661" s="486"/>
      <c r="X661" s="486"/>
      <c r="Y661" s="486"/>
      <c r="Z661" s="486"/>
    </row>
    <row r="662" spans="1:26" ht="15.75" customHeight="1">
      <c r="A662" s="486"/>
      <c r="B662" s="486"/>
      <c r="C662" s="486"/>
      <c r="D662" s="486"/>
      <c r="E662" s="486"/>
      <c r="F662" s="486"/>
      <c r="G662" s="486"/>
      <c r="H662" s="486"/>
      <c r="I662" s="486"/>
      <c r="J662" s="486"/>
      <c r="K662" s="486"/>
      <c r="L662" s="486"/>
      <c r="M662" s="486"/>
      <c r="N662" s="486"/>
      <c r="O662" s="486"/>
      <c r="P662" s="486"/>
      <c r="Q662" s="486"/>
      <c r="R662" s="486"/>
      <c r="S662" s="486"/>
      <c r="T662" s="486"/>
      <c r="U662" s="486"/>
      <c r="V662" s="486"/>
      <c r="W662" s="486"/>
      <c r="X662" s="486"/>
      <c r="Y662" s="486"/>
      <c r="Z662" s="486"/>
    </row>
    <row r="663" spans="1:26" ht="15.75" customHeight="1">
      <c r="A663" s="486"/>
      <c r="B663" s="486"/>
      <c r="C663" s="486"/>
      <c r="D663" s="486"/>
      <c r="E663" s="486"/>
      <c r="F663" s="486"/>
      <c r="G663" s="486"/>
      <c r="H663" s="486"/>
      <c r="I663" s="486"/>
      <c r="J663" s="486"/>
      <c r="K663" s="486"/>
      <c r="L663" s="486"/>
      <c r="M663" s="486"/>
      <c r="N663" s="486"/>
      <c r="O663" s="486"/>
      <c r="P663" s="486"/>
      <c r="Q663" s="486"/>
      <c r="R663" s="486"/>
      <c r="S663" s="486"/>
      <c r="T663" s="486"/>
      <c r="U663" s="486"/>
      <c r="V663" s="486"/>
      <c r="W663" s="486"/>
      <c r="X663" s="486"/>
      <c r="Y663" s="486"/>
      <c r="Z663" s="486"/>
    </row>
    <row r="664" spans="1:26" ht="15.75" customHeight="1">
      <c r="A664" s="486"/>
      <c r="B664" s="486"/>
      <c r="C664" s="486"/>
      <c r="D664" s="486"/>
      <c r="E664" s="486"/>
      <c r="F664" s="486"/>
      <c r="G664" s="486"/>
      <c r="H664" s="486"/>
      <c r="I664" s="486"/>
      <c r="J664" s="486"/>
      <c r="K664" s="486"/>
      <c r="L664" s="486"/>
      <c r="M664" s="486"/>
      <c r="N664" s="486"/>
      <c r="O664" s="486"/>
      <c r="P664" s="486"/>
      <c r="Q664" s="486"/>
      <c r="R664" s="486"/>
      <c r="S664" s="486"/>
      <c r="T664" s="486"/>
      <c r="U664" s="486"/>
      <c r="V664" s="486"/>
      <c r="W664" s="486"/>
      <c r="X664" s="486"/>
      <c r="Y664" s="486"/>
      <c r="Z664" s="486"/>
    </row>
    <row r="665" spans="1:26" ht="15.75" customHeight="1">
      <c r="A665" s="486"/>
      <c r="B665" s="486"/>
      <c r="C665" s="486"/>
      <c r="D665" s="486"/>
      <c r="E665" s="486"/>
      <c r="F665" s="486"/>
      <c r="G665" s="486"/>
      <c r="H665" s="486"/>
      <c r="I665" s="486"/>
      <c r="J665" s="486"/>
      <c r="K665" s="486"/>
      <c r="L665" s="486"/>
      <c r="M665" s="486"/>
      <c r="N665" s="486"/>
      <c r="O665" s="486"/>
      <c r="P665" s="486"/>
      <c r="Q665" s="486"/>
      <c r="R665" s="486"/>
      <c r="S665" s="486"/>
      <c r="T665" s="486"/>
      <c r="U665" s="486"/>
      <c r="V665" s="486"/>
      <c r="W665" s="486"/>
      <c r="X665" s="486"/>
      <c r="Y665" s="486"/>
      <c r="Z665" s="486"/>
    </row>
    <row r="666" spans="1:26" ht="15.75" customHeight="1">
      <c r="A666" s="486"/>
      <c r="B666" s="486"/>
      <c r="C666" s="486"/>
      <c r="D666" s="486"/>
      <c r="E666" s="486"/>
      <c r="F666" s="486"/>
      <c r="G666" s="486"/>
      <c r="H666" s="486"/>
      <c r="I666" s="486"/>
      <c r="J666" s="486"/>
      <c r="K666" s="486"/>
      <c r="L666" s="486"/>
      <c r="M666" s="486"/>
      <c r="N666" s="486"/>
      <c r="O666" s="486"/>
      <c r="P666" s="486"/>
      <c r="Q666" s="486"/>
      <c r="R666" s="486"/>
      <c r="S666" s="486"/>
      <c r="T666" s="486"/>
      <c r="U666" s="486"/>
      <c r="V666" s="486"/>
      <c r="W666" s="486"/>
      <c r="X666" s="486"/>
      <c r="Y666" s="486"/>
      <c r="Z666" s="486"/>
    </row>
    <row r="667" spans="1:26" ht="15.75" customHeight="1">
      <c r="A667" s="486"/>
      <c r="B667" s="486"/>
      <c r="C667" s="486"/>
      <c r="D667" s="486"/>
      <c r="E667" s="486"/>
      <c r="F667" s="486"/>
      <c r="G667" s="486"/>
      <c r="H667" s="486"/>
      <c r="I667" s="486"/>
      <c r="J667" s="486"/>
      <c r="K667" s="486"/>
      <c r="L667" s="486"/>
      <c r="M667" s="486"/>
      <c r="N667" s="486"/>
      <c r="O667" s="486"/>
      <c r="P667" s="486"/>
      <c r="Q667" s="486"/>
      <c r="R667" s="486"/>
      <c r="S667" s="486"/>
      <c r="T667" s="486"/>
      <c r="U667" s="486"/>
      <c r="V667" s="486"/>
      <c r="W667" s="486"/>
      <c r="X667" s="486"/>
      <c r="Y667" s="486"/>
      <c r="Z667" s="486"/>
    </row>
    <row r="668" spans="1:26" ht="15.75" customHeight="1">
      <c r="A668" s="486"/>
      <c r="B668" s="486"/>
      <c r="C668" s="486"/>
      <c r="D668" s="486"/>
      <c r="E668" s="486"/>
      <c r="F668" s="486"/>
      <c r="G668" s="486"/>
      <c r="H668" s="486"/>
      <c r="I668" s="486"/>
      <c r="J668" s="486"/>
      <c r="K668" s="486"/>
      <c r="L668" s="486"/>
      <c r="M668" s="486"/>
      <c r="N668" s="486"/>
      <c r="O668" s="486"/>
      <c r="P668" s="486"/>
      <c r="Q668" s="486"/>
      <c r="R668" s="486"/>
      <c r="S668" s="486"/>
      <c r="T668" s="486"/>
      <c r="U668" s="486"/>
      <c r="V668" s="486"/>
      <c r="W668" s="486"/>
      <c r="X668" s="486"/>
      <c r="Y668" s="486"/>
      <c r="Z668" s="486"/>
    </row>
    <row r="669" spans="1:26" ht="15.75" customHeight="1">
      <c r="A669" s="486"/>
      <c r="B669" s="486"/>
      <c r="C669" s="486"/>
      <c r="D669" s="486"/>
      <c r="E669" s="486"/>
      <c r="F669" s="486"/>
      <c r="G669" s="486"/>
      <c r="H669" s="486"/>
      <c r="I669" s="486"/>
      <c r="J669" s="486"/>
      <c r="K669" s="486"/>
      <c r="L669" s="486"/>
      <c r="M669" s="486"/>
      <c r="N669" s="486"/>
      <c r="O669" s="486"/>
      <c r="P669" s="486"/>
      <c r="Q669" s="486"/>
      <c r="R669" s="486"/>
      <c r="S669" s="486"/>
      <c r="T669" s="486"/>
      <c r="U669" s="486"/>
      <c r="V669" s="486"/>
      <c r="W669" s="486"/>
      <c r="X669" s="486"/>
      <c r="Y669" s="486"/>
      <c r="Z669" s="486"/>
    </row>
    <row r="670" spans="1:26" ht="15.75" customHeight="1">
      <c r="A670" s="486"/>
      <c r="B670" s="486"/>
      <c r="C670" s="486"/>
      <c r="D670" s="486"/>
      <c r="E670" s="486"/>
      <c r="F670" s="486"/>
      <c r="G670" s="486"/>
      <c r="H670" s="486"/>
      <c r="I670" s="486"/>
      <c r="J670" s="486"/>
      <c r="K670" s="486"/>
      <c r="L670" s="486"/>
      <c r="M670" s="486"/>
      <c r="N670" s="486"/>
      <c r="O670" s="486"/>
      <c r="P670" s="486"/>
      <c r="Q670" s="486"/>
      <c r="R670" s="486"/>
      <c r="S670" s="486"/>
      <c r="T670" s="486"/>
      <c r="U670" s="486"/>
      <c r="V670" s="486"/>
      <c r="W670" s="486"/>
      <c r="X670" s="486"/>
      <c r="Y670" s="486"/>
      <c r="Z670" s="486"/>
    </row>
    <row r="671" spans="1:26" ht="15.75" customHeight="1">
      <c r="A671" s="486"/>
      <c r="B671" s="486"/>
      <c r="C671" s="486"/>
      <c r="D671" s="486"/>
      <c r="E671" s="486"/>
      <c r="F671" s="486"/>
      <c r="G671" s="486"/>
      <c r="H671" s="486"/>
      <c r="I671" s="486"/>
      <c r="J671" s="486"/>
      <c r="K671" s="486"/>
      <c r="L671" s="486"/>
      <c r="M671" s="486"/>
      <c r="N671" s="486"/>
      <c r="O671" s="486"/>
      <c r="P671" s="486"/>
      <c r="Q671" s="486"/>
      <c r="R671" s="486"/>
      <c r="S671" s="486"/>
      <c r="T671" s="486"/>
      <c r="U671" s="486"/>
      <c r="V671" s="486"/>
      <c r="W671" s="486"/>
      <c r="X671" s="486"/>
      <c r="Y671" s="486"/>
      <c r="Z671" s="486"/>
    </row>
    <row r="672" spans="1:26" ht="15.75" customHeight="1">
      <c r="A672" s="486"/>
      <c r="B672" s="486"/>
      <c r="C672" s="486"/>
      <c r="D672" s="486"/>
      <c r="E672" s="486"/>
      <c r="F672" s="486"/>
      <c r="G672" s="486"/>
      <c r="H672" s="486"/>
      <c r="I672" s="486"/>
      <c r="J672" s="486"/>
      <c r="K672" s="486"/>
      <c r="L672" s="486"/>
      <c r="M672" s="486"/>
      <c r="N672" s="486"/>
      <c r="O672" s="486"/>
      <c r="P672" s="486"/>
      <c r="Q672" s="486"/>
      <c r="R672" s="486"/>
      <c r="S672" s="486"/>
      <c r="T672" s="486"/>
      <c r="U672" s="486"/>
      <c r="V672" s="486"/>
      <c r="W672" s="486"/>
      <c r="X672" s="486"/>
      <c r="Y672" s="486"/>
      <c r="Z672" s="486"/>
    </row>
    <row r="673" spans="1:26" ht="15.75" customHeight="1">
      <c r="A673" s="486"/>
      <c r="B673" s="486"/>
      <c r="C673" s="486"/>
      <c r="D673" s="486"/>
      <c r="E673" s="486"/>
      <c r="F673" s="486"/>
      <c r="G673" s="486"/>
      <c r="H673" s="486"/>
      <c r="I673" s="486"/>
      <c r="J673" s="486"/>
      <c r="K673" s="486"/>
      <c r="L673" s="486"/>
      <c r="M673" s="486"/>
      <c r="N673" s="486"/>
      <c r="O673" s="486"/>
      <c r="P673" s="486"/>
      <c r="Q673" s="486"/>
      <c r="R673" s="486"/>
      <c r="S673" s="486"/>
      <c r="T673" s="486"/>
      <c r="U673" s="486"/>
      <c r="V673" s="486"/>
      <c r="W673" s="486"/>
      <c r="X673" s="486"/>
      <c r="Y673" s="486"/>
      <c r="Z673" s="486"/>
    </row>
    <row r="674" spans="1:26" ht="15.75" customHeight="1">
      <c r="A674" s="486"/>
      <c r="B674" s="486"/>
      <c r="C674" s="486"/>
      <c r="D674" s="486"/>
      <c r="E674" s="486"/>
      <c r="F674" s="486"/>
      <c r="G674" s="486"/>
      <c r="H674" s="486"/>
      <c r="I674" s="486"/>
      <c r="J674" s="486"/>
      <c r="K674" s="486"/>
      <c r="L674" s="486"/>
      <c r="M674" s="486"/>
      <c r="N674" s="486"/>
      <c r="O674" s="486"/>
      <c r="P674" s="486"/>
      <c r="Q674" s="486"/>
      <c r="R674" s="486"/>
      <c r="S674" s="486"/>
      <c r="T674" s="486"/>
      <c r="U674" s="486"/>
      <c r="V674" s="486"/>
      <c r="W674" s="486"/>
      <c r="X674" s="486"/>
      <c r="Y674" s="486"/>
      <c r="Z674" s="486"/>
    </row>
    <row r="675" spans="1:26" ht="15.75" customHeight="1">
      <c r="A675" s="486"/>
      <c r="B675" s="486"/>
      <c r="C675" s="486"/>
      <c r="D675" s="486"/>
      <c r="E675" s="486"/>
      <c r="F675" s="486"/>
      <c r="G675" s="486"/>
      <c r="H675" s="486"/>
      <c r="I675" s="486"/>
      <c r="J675" s="486"/>
      <c r="K675" s="486"/>
      <c r="L675" s="486"/>
      <c r="M675" s="486"/>
      <c r="N675" s="486"/>
      <c r="O675" s="486"/>
      <c r="P675" s="486"/>
      <c r="Q675" s="486"/>
      <c r="R675" s="486"/>
      <c r="S675" s="486"/>
      <c r="T675" s="486"/>
      <c r="U675" s="486"/>
      <c r="V675" s="486"/>
      <c r="W675" s="486"/>
      <c r="X675" s="486"/>
      <c r="Y675" s="486"/>
      <c r="Z675" s="486"/>
    </row>
    <row r="676" spans="1:26" ht="15.75" customHeight="1">
      <c r="A676" s="486"/>
      <c r="B676" s="486"/>
      <c r="C676" s="486"/>
      <c r="D676" s="486"/>
      <c r="E676" s="486"/>
      <c r="F676" s="486"/>
      <c r="G676" s="486"/>
      <c r="H676" s="486"/>
      <c r="I676" s="486"/>
      <c r="J676" s="486"/>
      <c r="K676" s="486"/>
      <c r="L676" s="486"/>
      <c r="M676" s="486"/>
      <c r="N676" s="486"/>
      <c r="O676" s="486"/>
      <c r="P676" s="486"/>
      <c r="Q676" s="486"/>
      <c r="R676" s="486"/>
      <c r="S676" s="486"/>
      <c r="T676" s="486"/>
      <c r="U676" s="486"/>
      <c r="V676" s="486"/>
      <c r="W676" s="486"/>
      <c r="X676" s="486"/>
      <c r="Y676" s="486"/>
      <c r="Z676" s="486"/>
    </row>
    <row r="677" spans="1:26" ht="15.75" customHeight="1">
      <c r="A677" s="486"/>
      <c r="B677" s="486"/>
      <c r="C677" s="486"/>
      <c r="D677" s="486"/>
      <c r="E677" s="486"/>
      <c r="F677" s="486"/>
      <c r="G677" s="486"/>
      <c r="H677" s="486"/>
      <c r="I677" s="486"/>
      <c r="J677" s="486"/>
      <c r="K677" s="486"/>
      <c r="L677" s="486"/>
      <c r="M677" s="486"/>
      <c r="N677" s="486"/>
      <c r="O677" s="486"/>
      <c r="P677" s="486"/>
      <c r="Q677" s="486"/>
      <c r="R677" s="486"/>
      <c r="S677" s="486"/>
      <c r="T677" s="486"/>
      <c r="U677" s="486"/>
      <c r="V677" s="486"/>
      <c r="W677" s="486"/>
      <c r="X677" s="486"/>
      <c r="Y677" s="486"/>
      <c r="Z677" s="486"/>
    </row>
    <row r="678" spans="1:26" ht="15.75" customHeight="1">
      <c r="A678" s="486"/>
      <c r="B678" s="486"/>
      <c r="C678" s="486"/>
      <c r="D678" s="486"/>
      <c r="E678" s="486"/>
      <c r="F678" s="486"/>
      <c r="G678" s="486"/>
      <c r="H678" s="486"/>
      <c r="I678" s="486"/>
      <c r="J678" s="486"/>
      <c r="K678" s="486"/>
      <c r="L678" s="486"/>
      <c r="M678" s="486"/>
      <c r="N678" s="486"/>
      <c r="O678" s="486"/>
      <c r="P678" s="486"/>
      <c r="Q678" s="486"/>
      <c r="R678" s="486"/>
      <c r="S678" s="486"/>
      <c r="T678" s="486"/>
      <c r="U678" s="486"/>
      <c r="V678" s="486"/>
      <c r="W678" s="486"/>
      <c r="X678" s="486"/>
      <c r="Y678" s="486"/>
      <c r="Z678" s="486"/>
    </row>
    <row r="679" spans="1:26" ht="15.75" customHeight="1">
      <c r="A679" s="486"/>
      <c r="B679" s="486"/>
      <c r="C679" s="486"/>
      <c r="D679" s="486"/>
      <c r="E679" s="486"/>
      <c r="F679" s="486"/>
      <c r="G679" s="486"/>
      <c r="H679" s="486"/>
      <c r="I679" s="486"/>
      <c r="J679" s="486"/>
      <c r="K679" s="486"/>
      <c r="L679" s="486"/>
      <c r="M679" s="486"/>
      <c r="N679" s="486"/>
      <c r="O679" s="486"/>
      <c r="P679" s="486"/>
      <c r="Q679" s="486"/>
      <c r="R679" s="486"/>
      <c r="S679" s="486"/>
      <c r="T679" s="486"/>
      <c r="U679" s="486"/>
      <c r="V679" s="486"/>
      <c r="W679" s="486"/>
      <c r="X679" s="486"/>
      <c r="Y679" s="486"/>
      <c r="Z679" s="486"/>
    </row>
    <row r="680" spans="1:26" ht="15.75" customHeight="1">
      <c r="A680" s="486"/>
      <c r="B680" s="486"/>
      <c r="C680" s="486"/>
      <c r="D680" s="486"/>
      <c r="E680" s="486"/>
      <c r="F680" s="486"/>
      <c r="G680" s="486"/>
      <c r="H680" s="486"/>
      <c r="I680" s="486"/>
      <c r="J680" s="486"/>
      <c r="K680" s="486"/>
      <c r="L680" s="486"/>
      <c r="M680" s="486"/>
      <c r="N680" s="486"/>
      <c r="O680" s="486"/>
      <c r="P680" s="486"/>
      <c r="Q680" s="486"/>
      <c r="R680" s="486"/>
      <c r="S680" s="486"/>
      <c r="T680" s="486"/>
      <c r="U680" s="486"/>
      <c r="V680" s="486"/>
      <c r="W680" s="486"/>
      <c r="X680" s="486"/>
      <c r="Y680" s="486"/>
      <c r="Z680" s="486"/>
    </row>
    <row r="681" spans="1:26" ht="15.75" customHeight="1">
      <c r="A681" s="486"/>
      <c r="B681" s="486"/>
      <c r="C681" s="486"/>
      <c r="D681" s="486"/>
      <c r="E681" s="486"/>
      <c r="F681" s="486"/>
      <c r="G681" s="486"/>
      <c r="H681" s="486"/>
      <c r="I681" s="486"/>
      <c r="J681" s="486"/>
      <c r="K681" s="486"/>
      <c r="L681" s="486"/>
      <c r="M681" s="486"/>
      <c r="N681" s="486"/>
      <c r="O681" s="486"/>
      <c r="P681" s="486"/>
      <c r="Q681" s="486"/>
      <c r="R681" s="486"/>
      <c r="S681" s="486"/>
      <c r="T681" s="486"/>
      <c r="U681" s="486"/>
      <c r="V681" s="486"/>
      <c r="W681" s="486"/>
      <c r="X681" s="486"/>
      <c r="Y681" s="486"/>
      <c r="Z681" s="486"/>
    </row>
    <row r="682" spans="1:26" ht="15.75" customHeight="1">
      <c r="A682" s="486"/>
      <c r="B682" s="486"/>
      <c r="C682" s="486"/>
      <c r="D682" s="486"/>
      <c r="E682" s="486"/>
      <c r="F682" s="486"/>
      <c r="G682" s="486"/>
      <c r="H682" s="486"/>
      <c r="I682" s="486"/>
      <c r="J682" s="486"/>
      <c r="K682" s="486"/>
      <c r="L682" s="486"/>
      <c r="M682" s="486"/>
      <c r="N682" s="486"/>
      <c r="O682" s="486"/>
      <c r="P682" s="486"/>
      <c r="Q682" s="486"/>
      <c r="R682" s="486"/>
      <c r="S682" s="486"/>
      <c r="T682" s="486"/>
      <c r="U682" s="486"/>
      <c r="V682" s="486"/>
      <c r="W682" s="486"/>
      <c r="X682" s="486"/>
      <c r="Y682" s="486"/>
      <c r="Z682" s="486"/>
    </row>
    <row r="683" spans="1:26" ht="15.75" customHeight="1">
      <c r="A683" s="486"/>
      <c r="B683" s="486"/>
      <c r="C683" s="486"/>
      <c r="D683" s="486"/>
      <c r="E683" s="486"/>
      <c r="F683" s="486"/>
      <c r="G683" s="486"/>
      <c r="H683" s="486"/>
      <c r="I683" s="486"/>
      <c r="J683" s="486"/>
      <c r="K683" s="486"/>
      <c r="L683" s="486"/>
      <c r="M683" s="486"/>
      <c r="N683" s="486"/>
      <c r="O683" s="486"/>
      <c r="P683" s="486"/>
      <c r="Q683" s="486"/>
      <c r="R683" s="486"/>
      <c r="S683" s="486"/>
      <c r="T683" s="486"/>
      <c r="U683" s="486"/>
      <c r="V683" s="486"/>
      <c r="W683" s="486"/>
      <c r="X683" s="486"/>
      <c r="Y683" s="486"/>
      <c r="Z683" s="486"/>
    </row>
    <row r="684" spans="1:26" ht="15.75" customHeight="1">
      <c r="A684" s="486"/>
      <c r="B684" s="486"/>
      <c r="C684" s="486"/>
      <c r="D684" s="486"/>
      <c r="E684" s="486"/>
      <c r="F684" s="486"/>
      <c r="G684" s="486"/>
      <c r="H684" s="486"/>
      <c r="I684" s="486"/>
      <c r="J684" s="486"/>
      <c r="K684" s="486"/>
      <c r="L684" s="486"/>
      <c r="M684" s="486"/>
      <c r="N684" s="486"/>
      <c r="O684" s="486"/>
      <c r="P684" s="486"/>
      <c r="Q684" s="486"/>
      <c r="R684" s="486"/>
      <c r="S684" s="486"/>
      <c r="T684" s="486"/>
      <c r="U684" s="486"/>
      <c r="V684" s="486"/>
      <c r="W684" s="486"/>
      <c r="X684" s="486"/>
      <c r="Y684" s="486"/>
      <c r="Z684" s="486"/>
    </row>
    <row r="685" spans="1:26" ht="15.75" customHeight="1">
      <c r="A685" s="486"/>
      <c r="B685" s="486"/>
      <c r="C685" s="486"/>
      <c r="D685" s="486"/>
      <c r="E685" s="486"/>
      <c r="F685" s="486"/>
      <c r="G685" s="486"/>
      <c r="H685" s="486"/>
      <c r="I685" s="486"/>
      <c r="J685" s="486"/>
      <c r="K685" s="486"/>
      <c r="L685" s="486"/>
      <c r="M685" s="486"/>
      <c r="N685" s="486"/>
      <c r="O685" s="486"/>
      <c r="P685" s="486"/>
      <c r="Q685" s="486"/>
      <c r="R685" s="486"/>
      <c r="S685" s="486"/>
      <c r="T685" s="486"/>
      <c r="U685" s="486"/>
      <c r="V685" s="486"/>
      <c r="W685" s="486"/>
      <c r="X685" s="486"/>
      <c r="Y685" s="486"/>
      <c r="Z685" s="486"/>
    </row>
    <row r="686" spans="1:26" ht="15.75" customHeight="1">
      <c r="A686" s="486"/>
      <c r="B686" s="486"/>
      <c r="C686" s="486"/>
      <c r="D686" s="486"/>
      <c r="E686" s="486"/>
      <c r="F686" s="486"/>
      <c r="G686" s="486"/>
      <c r="H686" s="486"/>
      <c r="I686" s="486"/>
      <c r="J686" s="486"/>
      <c r="K686" s="486"/>
      <c r="L686" s="486"/>
      <c r="M686" s="486"/>
      <c r="N686" s="486"/>
      <c r="O686" s="486"/>
      <c r="P686" s="486"/>
      <c r="Q686" s="486"/>
      <c r="R686" s="486"/>
      <c r="S686" s="486"/>
      <c r="T686" s="486"/>
      <c r="U686" s="486"/>
      <c r="V686" s="486"/>
      <c r="W686" s="486"/>
      <c r="X686" s="486"/>
      <c r="Y686" s="486"/>
      <c r="Z686" s="486"/>
    </row>
    <row r="687" spans="1:26" ht="15.75" customHeight="1">
      <c r="A687" s="486"/>
      <c r="B687" s="486"/>
      <c r="C687" s="486"/>
      <c r="D687" s="486"/>
      <c r="E687" s="486"/>
      <c r="F687" s="486"/>
      <c r="G687" s="486"/>
      <c r="H687" s="486"/>
      <c r="I687" s="486"/>
      <c r="J687" s="486"/>
      <c r="K687" s="486"/>
      <c r="L687" s="486"/>
      <c r="M687" s="486"/>
      <c r="N687" s="486"/>
      <c r="O687" s="486"/>
      <c r="P687" s="486"/>
      <c r="Q687" s="486"/>
      <c r="R687" s="486"/>
      <c r="S687" s="486"/>
      <c r="T687" s="486"/>
      <c r="U687" s="486"/>
      <c r="V687" s="486"/>
      <c r="W687" s="486"/>
      <c r="X687" s="486"/>
      <c r="Y687" s="486"/>
      <c r="Z687" s="486"/>
    </row>
    <row r="688" spans="1:26" ht="15.75" customHeight="1">
      <c r="A688" s="486"/>
      <c r="B688" s="486"/>
      <c r="C688" s="486"/>
      <c r="D688" s="486"/>
      <c r="E688" s="486"/>
      <c r="F688" s="486"/>
      <c r="G688" s="486"/>
      <c r="H688" s="486"/>
      <c r="I688" s="486"/>
      <c r="J688" s="486"/>
      <c r="K688" s="486"/>
      <c r="L688" s="486"/>
      <c r="M688" s="486"/>
      <c r="N688" s="486"/>
      <c r="O688" s="486"/>
      <c r="P688" s="486"/>
      <c r="Q688" s="486"/>
      <c r="R688" s="486"/>
      <c r="S688" s="486"/>
      <c r="T688" s="486"/>
      <c r="U688" s="486"/>
      <c r="V688" s="486"/>
      <c r="W688" s="486"/>
      <c r="X688" s="486"/>
      <c r="Y688" s="486"/>
      <c r="Z688" s="486"/>
    </row>
    <row r="689" spans="1:26" ht="15.75" customHeight="1">
      <c r="A689" s="486"/>
      <c r="B689" s="486"/>
      <c r="C689" s="486"/>
      <c r="D689" s="486"/>
      <c r="E689" s="486"/>
      <c r="F689" s="486"/>
      <c r="G689" s="486"/>
      <c r="H689" s="486"/>
      <c r="I689" s="486"/>
      <c r="J689" s="486"/>
      <c r="K689" s="486"/>
      <c r="L689" s="486"/>
      <c r="M689" s="486"/>
      <c r="N689" s="486"/>
      <c r="O689" s="486"/>
      <c r="P689" s="486"/>
      <c r="Q689" s="486"/>
      <c r="R689" s="486"/>
      <c r="S689" s="486"/>
      <c r="T689" s="486"/>
      <c r="U689" s="486"/>
      <c r="V689" s="486"/>
      <c r="W689" s="486"/>
      <c r="X689" s="486"/>
      <c r="Y689" s="486"/>
      <c r="Z689" s="486"/>
    </row>
    <row r="690" spans="1:26" ht="15.75" customHeight="1">
      <c r="A690" s="486"/>
      <c r="B690" s="486"/>
      <c r="C690" s="486"/>
      <c r="D690" s="486"/>
      <c r="E690" s="486"/>
      <c r="F690" s="486"/>
      <c r="G690" s="486"/>
      <c r="H690" s="486"/>
      <c r="I690" s="486"/>
      <c r="J690" s="486"/>
      <c r="K690" s="486"/>
      <c r="L690" s="486"/>
      <c r="M690" s="486"/>
      <c r="N690" s="486"/>
      <c r="O690" s="486"/>
      <c r="P690" s="486"/>
      <c r="Q690" s="486"/>
      <c r="R690" s="486"/>
      <c r="S690" s="486"/>
      <c r="T690" s="486"/>
      <c r="U690" s="486"/>
      <c r="V690" s="486"/>
      <c r="W690" s="486"/>
      <c r="X690" s="486"/>
      <c r="Y690" s="486"/>
      <c r="Z690" s="486"/>
    </row>
    <row r="691" spans="1:26" ht="15.75" customHeight="1">
      <c r="A691" s="486"/>
      <c r="B691" s="486"/>
      <c r="C691" s="486"/>
      <c r="D691" s="486"/>
      <c r="E691" s="486"/>
      <c r="F691" s="486"/>
      <c r="G691" s="486"/>
      <c r="H691" s="486"/>
      <c r="I691" s="486"/>
      <c r="J691" s="486"/>
      <c r="K691" s="486"/>
      <c r="L691" s="486"/>
      <c r="M691" s="486"/>
      <c r="N691" s="486"/>
      <c r="O691" s="486"/>
      <c r="P691" s="486"/>
      <c r="Q691" s="486"/>
      <c r="R691" s="486"/>
      <c r="S691" s="486"/>
      <c r="T691" s="486"/>
      <c r="U691" s="486"/>
      <c r="V691" s="486"/>
      <c r="W691" s="486"/>
      <c r="X691" s="486"/>
      <c r="Y691" s="486"/>
      <c r="Z691" s="486"/>
    </row>
    <row r="692" spans="1:26" ht="15.75" customHeight="1">
      <c r="A692" s="486"/>
      <c r="B692" s="486"/>
      <c r="C692" s="486"/>
      <c r="D692" s="486"/>
      <c r="E692" s="486"/>
      <c r="F692" s="486"/>
      <c r="G692" s="486"/>
      <c r="H692" s="486"/>
      <c r="I692" s="486"/>
      <c r="J692" s="486"/>
      <c r="K692" s="486"/>
      <c r="L692" s="486"/>
      <c r="M692" s="486"/>
      <c r="N692" s="486"/>
      <c r="O692" s="486"/>
      <c r="P692" s="486"/>
      <c r="Q692" s="486"/>
      <c r="R692" s="486"/>
      <c r="S692" s="486"/>
      <c r="T692" s="486"/>
      <c r="U692" s="486"/>
      <c r="V692" s="486"/>
      <c r="W692" s="486"/>
      <c r="X692" s="486"/>
      <c r="Y692" s="486"/>
      <c r="Z692" s="486"/>
    </row>
    <row r="693" spans="1:26" ht="15.75" customHeight="1">
      <c r="A693" s="486"/>
      <c r="B693" s="486"/>
      <c r="C693" s="486"/>
      <c r="D693" s="486"/>
      <c r="E693" s="486"/>
      <c r="F693" s="486"/>
      <c r="G693" s="486"/>
      <c r="H693" s="486"/>
      <c r="I693" s="486"/>
      <c r="J693" s="486"/>
      <c r="K693" s="486"/>
      <c r="L693" s="486"/>
      <c r="M693" s="486"/>
      <c r="N693" s="486"/>
      <c r="O693" s="486"/>
      <c r="P693" s="486"/>
      <c r="Q693" s="486"/>
      <c r="R693" s="486"/>
      <c r="S693" s="486"/>
      <c r="T693" s="486"/>
      <c r="U693" s="486"/>
      <c r="V693" s="486"/>
      <c r="W693" s="486"/>
      <c r="X693" s="486"/>
      <c r="Y693" s="486"/>
      <c r="Z693" s="486"/>
    </row>
    <row r="694" spans="1:26" ht="15.75" customHeight="1">
      <c r="A694" s="486"/>
      <c r="B694" s="486"/>
      <c r="C694" s="486"/>
      <c r="D694" s="486"/>
      <c r="E694" s="486"/>
      <c r="F694" s="486"/>
      <c r="G694" s="486"/>
      <c r="H694" s="486"/>
      <c r="I694" s="486"/>
      <c r="J694" s="486"/>
      <c r="K694" s="486"/>
      <c r="L694" s="486"/>
      <c r="M694" s="486"/>
      <c r="N694" s="486"/>
      <c r="O694" s="486"/>
      <c r="P694" s="486"/>
      <c r="Q694" s="486"/>
      <c r="R694" s="486"/>
      <c r="S694" s="486"/>
      <c r="T694" s="486"/>
      <c r="U694" s="486"/>
      <c r="V694" s="486"/>
      <c r="W694" s="486"/>
      <c r="X694" s="486"/>
      <c r="Y694" s="486"/>
      <c r="Z694" s="486"/>
    </row>
    <row r="695" spans="1:26" ht="15.75" customHeight="1">
      <c r="A695" s="486"/>
      <c r="B695" s="486"/>
      <c r="C695" s="486"/>
      <c r="D695" s="486"/>
      <c r="E695" s="486"/>
      <c r="F695" s="486"/>
      <c r="G695" s="486"/>
      <c r="H695" s="486"/>
      <c r="I695" s="486"/>
      <c r="J695" s="486"/>
      <c r="K695" s="486"/>
      <c r="L695" s="486"/>
      <c r="M695" s="486"/>
      <c r="N695" s="486"/>
      <c r="O695" s="486"/>
      <c r="P695" s="486"/>
      <c r="Q695" s="486"/>
      <c r="R695" s="486"/>
      <c r="S695" s="486"/>
      <c r="T695" s="486"/>
      <c r="U695" s="486"/>
      <c r="V695" s="486"/>
      <c r="W695" s="486"/>
      <c r="X695" s="486"/>
      <c r="Y695" s="486"/>
      <c r="Z695" s="486"/>
    </row>
    <row r="696" spans="1:26" ht="15.75" customHeight="1">
      <c r="A696" s="486"/>
      <c r="B696" s="486"/>
      <c r="C696" s="486"/>
      <c r="D696" s="486"/>
      <c r="E696" s="486"/>
      <c r="F696" s="486"/>
      <c r="G696" s="486"/>
      <c r="H696" s="486"/>
      <c r="I696" s="486"/>
      <c r="J696" s="486"/>
      <c r="K696" s="486"/>
      <c r="L696" s="486"/>
      <c r="M696" s="486"/>
      <c r="N696" s="486"/>
      <c r="O696" s="486"/>
      <c r="P696" s="486"/>
      <c r="Q696" s="486"/>
      <c r="R696" s="486"/>
      <c r="S696" s="486"/>
      <c r="T696" s="486"/>
      <c r="U696" s="486"/>
      <c r="V696" s="486"/>
      <c r="W696" s="486"/>
      <c r="X696" s="486"/>
      <c r="Y696" s="486"/>
      <c r="Z696" s="486"/>
    </row>
    <row r="697" spans="1:26" ht="15.75" customHeight="1">
      <c r="A697" s="486"/>
      <c r="B697" s="486"/>
      <c r="C697" s="486"/>
      <c r="D697" s="486"/>
      <c r="E697" s="486"/>
      <c r="F697" s="486"/>
      <c r="G697" s="486"/>
      <c r="H697" s="486"/>
      <c r="I697" s="486"/>
      <c r="J697" s="486"/>
      <c r="K697" s="486"/>
      <c r="L697" s="486"/>
      <c r="M697" s="486"/>
      <c r="N697" s="486"/>
      <c r="O697" s="486"/>
      <c r="P697" s="486"/>
      <c r="Q697" s="486"/>
      <c r="R697" s="486"/>
      <c r="S697" s="486"/>
      <c r="T697" s="486"/>
      <c r="U697" s="486"/>
      <c r="V697" s="486"/>
      <c r="W697" s="486"/>
      <c r="X697" s="486"/>
      <c r="Y697" s="486"/>
      <c r="Z697" s="486"/>
    </row>
    <row r="698" spans="1:26" ht="15.75" customHeight="1">
      <c r="A698" s="486"/>
      <c r="B698" s="486"/>
      <c r="C698" s="486"/>
      <c r="D698" s="486"/>
      <c r="E698" s="486"/>
      <c r="F698" s="486"/>
      <c r="G698" s="486"/>
      <c r="H698" s="486"/>
      <c r="I698" s="486"/>
      <c r="J698" s="486"/>
      <c r="K698" s="486"/>
      <c r="L698" s="486"/>
      <c r="M698" s="486"/>
      <c r="N698" s="486"/>
      <c r="O698" s="486"/>
      <c r="P698" s="486"/>
      <c r="Q698" s="486"/>
      <c r="R698" s="486"/>
      <c r="S698" s="486"/>
      <c r="T698" s="486"/>
      <c r="U698" s="486"/>
      <c r="V698" s="486"/>
      <c r="W698" s="486"/>
      <c r="X698" s="486"/>
      <c r="Y698" s="486"/>
      <c r="Z698" s="486"/>
    </row>
    <row r="699" spans="1:26" ht="15.75" customHeight="1">
      <c r="A699" s="486"/>
      <c r="B699" s="486"/>
      <c r="C699" s="486"/>
      <c r="D699" s="486"/>
      <c r="E699" s="486"/>
      <c r="F699" s="486"/>
      <c r="G699" s="486"/>
      <c r="H699" s="486"/>
      <c r="I699" s="486"/>
      <c r="J699" s="486"/>
      <c r="K699" s="486"/>
      <c r="L699" s="486"/>
      <c r="M699" s="486"/>
      <c r="N699" s="486"/>
      <c r="O699" s="486"/>
      <c r="P699" s="486"/>
      <c r="Q699" s="486"/>
      <c r="R699" s="486"/>
      <c r="S699" s="486"/>
      <c r="T699" s="486"/>
      <c r="U699" s="486"/>
      <c r="V699" s="486"/>
      <c r="W699" s="486"/>
      <c r="X699" s="486"/>
      <c r="Y699" s="486"/>
      <c r="Z699" s="486"/>
    </row>
    <row r="700" spans="1:26" ht="15.75" customHeight="1">
      <c r="A700" s="486"/>
      <c r="B700" s="486"/>
      <c r="C700" s="486"/>
      <c r="D700" s="486"/>
      <c r="E700" s="486"/>
      <c r="F700" s="486"/>
      <c r="G700" s="486"/>
      <c r="H700" s="486"/>
      <c r="I700" s="486"/>
      <c r="J700" s="486"/>
      <c r="K700" s="486"/>
      <c r="L700" s="486"/>
      <c r="M700" s="486"/>
      <c r="N700" s="486"/>
      <c r="O700" s="486"/>
      <c r="P700" s="486"/>
      <c r="Q700" s="486"/>
      <c r="R700" s="486"/>
      <c r="S700" s="486"/>
      <c r="T700" s="486"/>
      <c r="U700" s="486"/>
      <c r="V700" s="486"/>
      <c r="W700" s="486"/>
      <c r="X700" s="486"/>
      <c r="Y700" s="486"/>
      <c r="Z700" s="486"/>
    </row>
    <row r="701" spans="1:26" ht="15.75" customHeight="1">
      <c r="A701" s="486"/>
      <c r="B701" s="486"/>
      <c r="C701" s="486"/>
      <c r="D701" s="486"/>
      <c r="E701" s="486"/>
      <c r="F701" s="486"/>
      <c r="G701" s="486"/>
      <c r="H701" s="486"/>
      <c r="I701" s="486"/>
      <c r="J701" s="486"/>
      <c r="K701" s="486"/>
      <c r="L701" s="486"/>
      <c r="M701" s="486"/>
      <c r="N701" s="486"/>
      <c r="O701" s="486"/>
      <c r="P701" s="486"/>
      <c r="Q701" s="486"/>
      <c r="R701" s="486"/>
      <c r="S701" s="486"/>
      <c r="T701" s="486"/>
      <c r="U701" s="486"/>
      <c r="V701" s="486"/>
      <c r="W701" s="486"/>
      <c r="X701" s="486"/>
      <c r="Y701" s="486"/>
      <c r="Z701" s="486"/>
    </row>
    <row r="702" spans="1:26" ht="15.75" customHeight="1">
      <c r="A702" s="486"/>
      <c r="B702" s="486"/>
      <c r="C702" s="486"/>
      <c r="D702" s="486"/>
      <c r="E702" s="486"/>
      <c r="F702" s="486"/>
      <c r="G702" s="486"/>
      <c r="H702" s="486"/>
      <c r="I702" s="486"/>
      <c r="J702" s="486"/>
      <c r="K702" s="486"/>
      <c r="L702" s="486"/>
      <c r="M702" s="486"/>
      <c r="N702" s="486"/>
      <c r="O702" s="486"/>
      <c r="P702" s="486"/>
      <c r="Q702" s="486"/>
      <c r="R702" s="486"/>
      <c r="S702" s="486"/>
      <c r="T702" s="486"/>
      <c r="U702" s="486"/>
      <c r="V702" s="486"/>
      <c r="W702" s="486"/>
      <c r="X702" s="486"/>
      <c r="Y702" s="486"/>
      <c r="Z702" s="486"/>
    </row>
    <row r="703" spans="1:26" ht="15.75" customHeight="1">
      <c r="A703" s="486"/>
      <c r="B703" s="486"/>
      <c r="C703" s="486"/>
      <c r="D703" s="486"/>
      <c r="E703" s="486"/>
      <c r="F703" s="486"/>
      <c r="G703" s="486"/>
      <c r="H703" s="486"/>
      <c r="I703" s="486"/>
      <c r="J703" s="486"/>
      <c r="K703" s="486"/>
      <c r="L703" s="486"/>
      <c r="M703" s="486"/>
      <c r="N703" s="486"/>
      <c r="O703" s="486"/>
      <c r="P703" s="486"/>
      <c r="Q703" s="486"/>
      <c r="R703" s="486"/>
      <c r="S703" s="486"/>
      <c r="T703" s="486"/>
      <c r="U703" s="486"/>
      <c r="V703" s="486"/>
      <c r="W703" s="486"/>
      <c r="X703" s="486"/>
      <c r="Y703" s="486"/>
      <c r="Z703" s="486"/>
    </row>
    <row r="704" spans="1:26" ht="15.75" customHeight="1">
      <c r="A704" s="486"/>
      <c r="B704" s="486"/>
      <c r="C704" s="486"/>
      <c r="D704" s="486"/>
      <c r="E704" s="486"/>
      <c r="F704" s="486"/>
      <c r="G704" s="486"/>
      <c r="H704" s="486"/>
      <c r="I704" s="486"/>
      <c r="J704" s="486"/>
      <c r="K704" s="486"/>
      <c r="L704" s="486"/>
      <c r="M704" s="486"/>
      <c r="N704" s="486"/>
      <c r="O704" s="486"/>
      <c r="P704" s="486"/>
      <c r="Q704" s="486"/>
      <c r="R704" s="486"/>
      <c r="S704" s="486"/>
      <c r="T704" s="486"/>
      <c r="U704" s="486"/>
      <c r="V704" s="486"/>
      <c r="W704" s="486"/>
      <c r="X704" s="486"/>
      <c r="Y704" s="486"/>
      <c r="Z704" s="486"/>
    </row>
    <row r="705" spans="1:26" ht="15.75" customHeight="1">
      <c r="A705" s="486"/>
      <c r="B705" s="486"/>
      <c r="C705" s="486"/>
      <c r="D705" s="486"/>
      <c r="E705" s="486"/>
      <c r="F705" s="486"/>
      <c r="G705" s="486"/>
      <c r="H705" s="486"/>
      <c r="I705" s="486"/>
      <c r="J705" s="486"/>
      <c r="K705" s="486"/>
      <c r="L705" s="486"/>
      <c r="M705" s="486"/>
      <c r="N705" s="486"/>
      <c r="O705" s="486"/>
      <c r="P705" s="486"/>
      <c r="Q705" s="486"/>
      <c r="R705" s="486"/>
      <c r="S705" s="486"/>
      <c r="T705" s="486"/>
      <c r="U705" s="486"/>
      <c r="V705" s="486"/>
      <c r="W705" s="486"/>
      <c r="X705" s="486"/>
      <c r="Y705" s="486"/>
      <c r="Z705" s="486"/>
    </row>
    <row r="706" spans="1:26" ht="15.75" customHeight="1">
      <c r="A706" s="486"/>
      <c r="B706" s="486"/>
      <c r="C706" s="486"/>
      <c r="D706" s="486"/>
      <c r="E706" s="486"/>
      <c r="F706" s="486"/>
      <c r="G706" s="486"/>
      <c r="H706" s="486"/>
      <c r="I706" s="486"/>
      <c r="J706" s="486"/>
      <c r="K706" s="486"/>
      <c r="L706" s="486"/>
      <c r="M706" s="486"/>
      <c r="N706" s="486"/>
      <c r="O706" s="486"/>
      <c r="P706" s="486"/>
      <c r="Q706" s="486"/>
      <c r="R706" s="486"/>
      <c r="S706" s="486"/>
      <c r="T706" s="486"/>
      <c r="U706" s="486"/>
      <c r="V706" s="486"/>
      <c r="W706" s="486"/>
      <c r="X706" s="486"/>
      <c r="Y706" s="486"/>
      <c r="Z706" s="486"/>
    </row>
    <row r="707" spans="1:26" ht="15.75" customHeight="1">
      <c r="A707" s="486"/>
      <c r="B707" s="486"/>
      <c r="C707" s="486"/>
      <c r="D707" s="486"/>
      <c r="E707" s="486"/>
      <c r="F707" s="486"/>
      <c r="G707" s="486"/>
      <c r="H707" s="486"/>
      <c r="I707" s="486"/>
      <c r="J707" s="486"/>
      <c r="K707" s="486"/>
      <c r="L707" s="486"/>
      <c r="M707" s="486"/>
      <c r="N707" s="486"/>
      <c r="O707" s="486"/>
      <c r="P707" s="486"/>
      <c r="Q707" s="486"/>
      <c r="R707" s="486"/>
      <c r="S707" s="486"/>
      <c r="T707" s="486"/>
      <c r="U707" s="486"/>
      <c r="V707" s="486"/>
      <c r="W707" s="486"/>
      <c r="X707" s="486"/>
      <c r="Y707" s="486"/>
      <c r="Z707" s="486"/>
    </row>
    <row r="708" spans="1:26" ht="15.75" customHeight="1">
      <c r="A708" s="486"/>
      <c r="B708" s="486"/>
      <c r="C708" s="486"/>
      <c r="D708" s="486"/>
      <c r="E708" s="486"/>
      <c r="F708" s="486"/>
      <c r="G708" s="486"/>
      <c r="H708" s="486"/>
      <c r="I708" s="486"/>
      <c r="J708" s="486"/>
      <c r="K708" s="486"/>
      <c r="L708" s="486"/>
      <c r="M708" s="486"/>
      <c r="N708" s="486"/>
      <c r="O708" s="486"/>
      <c r="P708" s="486"/>
      <c r="Q708" s="486"/>
      <c r="R708" s="486"/>
      <c r="S708" s="486"/>
      <c r="T708" s="486"/>
      <c r="U708" s="486"/>
      <c r="V708" s="486"/>
      <c r="W708" s="486"/>
      <c r="X708" s="486"/>
      <c r="Y708" s="486"/>
      <c r="Z708" s="486"/>
    </row>
    <row r="709" spans="1:26" ht="15.75" customHeight="1">
      <c r="A709" s="486"/>
      <c r="B709" s="486"/>
      <c r="C709" s="486"/>
      <c r="D709" s="486"/>
      <c r="E709" s="486"/>
      <c r="F709" s="486"/>
      <c r="G709" s="486"/>
      <c r="H709" s="486"/>
      <c r="I709" s="486"/>
      <c r="J709" s="486"/>
      <c r="K709" s="486"/>
      <c r="L709" s="486"/>
      <c r="M709" s="486"/>
      <c r="N709" s="486"/>
      <c r="O709" s="486"/>
      <c r="P709" s="486"/>
      <c r="Q709" s="486"/>
      <c r="R709" s="486"/>
      <c r="S709" s="486"/>
      <c r="T709" s="486"/>
      <c r="U709" s="486"/>
      <c r="V709" s="486"/>
      <c r="W709" s="486"/>
      <c r="X709" s="486"/>
      <c r="Y709" s="486"/>
      <c r="Z709" s="486"/>
    </row>
    <row r="710" spans="1:26" ht="15.75" customHeight="1">
      <c r="A710" s="486"/>
      <c r="B710" s="486"/>
      <c r="C710" s="486"/>
      <c r="D710" s="486"/>
      <c r="E710" s="486"/>
      <c r="F710" s="486"/>
      <c r="G710" s="486"/>
      <c r="H710" s="486"/>
      <c r="I710" s="486"/>
      <c r="J710" s="486"/>
      <c r="K710" s="486"/>
      <c r="L710" s="486"/>
      <c r="M710" s="486"/>
      <c r="N710" s="486"/>
      <c r="O710" s="486"/>
      <c r="P710" s="486"/>
      <c r="Q710" s="486"/>
      <c r="R710" s="486"/>
      <c r="S710" s="486"/>
      <c r="T710" s="486"/>
      <c r="U710" s="486"/>
      <c r="V710" s="486"/>
      <c r="W710" s="486"/>
      <c r="X710" s="486"/>
      <c r="Y710" s="486"/>
      <c r="Z710" s="486"/>
    </row>
    <row r="711" spans="1:26" ht="15.75" customHeight="1">
      <c r="A711" s="486"/>
      <c r="B711" s="486"/>
      <c r="C711" s="486"/>
      <c r="D711" s="486"/>
      <c r="E711" s="486"/>
      <c r="F711" s="486"/>
      <c r="G711" s="486"/>
      <c r="H711" s="486"/>
      <c r="I711" s="486"/>
      <c r="J711" s="486"/>
      <c r="K711" s="486"/>
      <c r="L711" s="486"/>
      <c r="M711" s="486"/>
      <c r="N711" s="486"/>
      <c r="O711" s="486"/>
      <c r="P711" s="486"/>
      <c r="Q711" s="486"/>
      <c r="R711" s="486"/>
      <c r="S711" s="486"/>
      <c r="T711" s="486"/>
      <c r="U711" s="486"/>
      <c r="V711" s="486"/>
      <c r="W711" s="486"/>
      <c r="X711" s="486"/>
      <c r="Y711" s="486"/>
      <c r="Z711" s="486"/>
    </row>
    <row r="712" spans="1:26" ht="15.75" customHeight="1">
      <c r="A712" s="486"/>
      <c r="B712" s="486"/>
      <c r="C712" s="486"/>
      <c r="D712" s="486"/>
      <c r="E712" s="486"/>
      <c r="F712" s="486"/>
      <c r="G712" s="486"/>
      <c r="H712" s="486"/>
      <c r="I712" s="486"/>
      <c r="J712" s="486"/>
      <c r="K712" s="486"/>
      <c r="L712" s="486"/>
      <c r="M712" s="486"/>
      <c r="N712" s="486"/>
      <c r="O712" s="486"/>
      <c r="P712" s="486"/>
      <c r="Q712" s="486"/>
      <c r="R712" s="486"/>
      <c r="S712" s="486"/>
      <c r="T712" s="486"/>
      <c r="U712" s="486"/>
      <c r="V712" s="486"/>
      <c r="W712" s="486"/>
      <c r="X712" s="486"/>
      <c r="Y712" s="486"/>
      <c r="Z712" s="486"/>
    </row>
    <row r="713" spans="1:26" ht="15.75" customHeight="1">
      <c r="A713" s="486"/>
      <c r="B713" s="486"/>
      <c r="C713" s="486"/>
      <c r="D713" s="486"/>
      <c r="E713" s="486"/>
      <c r="F713" s="486"/>
      <c r="G713" s="486"/>
      <c r="H713" s="486"/>
      <c r="I713" s="486"/>
      <c r="J713" s="486"/>
      <c r="K713" s="486"/>
      <c r="L713" s="486"/>
      <c r="M713" s="486"/>
      <c r="N713" s="486"/>
      <c r="O713" s="486"/>
      <c r="P713" s="486"/>
      <c r="Q713" s="486"/>
      <c r="R713" s="486"/>
      <c r="S713" s="486"/>
      <c r="T713" s="486"/>
      <c r="U713" s="486"/>
      <c r="V713" s="486"/>
      <c r="W713" s="486"/>
      <c r="X713" s="486"/>
      <c r="Y713" s="486"/>
      <c r="Z713" s="486"/>
    </row>
    <row r="714" spans="1:26" ht="15.75" customHeight="1">
      <c r="A714" s="486"/>
      <c r="B714" s="486"/>
      <c r="C714" s="486"/>
      <c r="D714" s="486"/>
      <c r="E714" s="486"/>
      <c r="F714" s="486"/>
      <c r="G714" s="486"/>
      <c r="H714" s="486"/>
      <c r="I714" s="486"/>
      <c r="J714" s="486"/>
      <c r="K714" s="486"/>
      <c r="L714" s="486"/>
      <c r="M714" s="486"/>
      <c r="N714" s="486"/>
      <c r="O714" s="486"/>
      <c r="P714" s="486"/>
      <c r="Q714" s="486"/>
      <c r="R714" s="486"/>
      <c r="S714" s="486"/>
      <c r="T714" s="486"/>
      <c r="U714" s="486"/>
      <c r="V714" s="486"/>
      <c r="W714" s="486"/>
      <c r="X714" s="486"/>
      <c r="Y714" s="486"/>
      <c r="Z714" s="486"/>
    </row>
    <row r="715" spans="1:26" ht="15.75" customHeight="1">
      <c r="A715" s="486"/>
      <c r="B715" s="486"/>
      <c r="C715" s="486"/>
      <c r="D715" s="486"/>
      <c r="E715" s="486"/>
      <c r="F715" s="486"/>
      <c r="G715" s="486"/>
      <c r="H715" s="486"/>
      <c r="I715" s="486"/>
      <c r="J715" s="486"/>
      <c r="K715" s="486"/>
      <c r="L715" s="486"/>
      <c r="M715" s="486"/>
      <c r="N715" s="486"/>
      <c r="O715" s="486"/>
      <c r="P715" s="486"/>
      <c r="Q715" s="486"/>
      <c r="R715" s="486"/>
      <c r="S715" s="486"/>
      <c r="T715" s="486"/>
      <c r="U715" s="486"/>
      <c r="V715" s="486"/>
      <c r="W715" s="486"/>
      <c r="X715" s="486"/>
      <c r="Y715" s="486"/>
      <c r="Z715" s="486"/>
    </row>
    <row r="716" spans="1:26" ht="15.75" customHeight="1">
      <c r="A716" s="486"/>
      <c r="B716" s="486"/>
      <c r="C716" s="486"/>
      <c r="D716" s="486"/>
      <c r="E716" s="486"/>
      <c r="F716" s="486"/>
      <c r="G716" s="486"/>
      <c r="H716" s="486"/>
      <c r="I716" s="486"/>
      <c r="J716" s="486"/>
      <c r="K716" s="486"/>
      <c r="L716" s="486"/>
      <c r="M716" s="486"/>
      <c r="N716" s="486"/>
      <c r="O716" s="486"/>
      <c r="P716" s="486"/>
      <c r="Q716" s="486"/>
      <c r="R716" s="486"/>
      <c r="S716" s="486"/>
      <c r="T716" s="486"/>
      <c r="U716" s="486"/>
      <c r="V716" s="486"/>
      <c r="W716" s="486"/>
      <c r="X716" s="486"/>
      <c r="Y716" s="486"/>
      <c r="Z716" s="486"/>
    </row>
    <row r="717" spans="1:26" ht="15.75" customHeight="1">
      <c r="A717" s="486"/>
      <c r="B717" s="486"/>
      <c r="C717" s="486"/>
      <c r="D717" s="486"/>
      <c r="E717" s="486"/>
      <c r="F717" s="486"/>
      <c r="G717" s="486"/>
      <c r="H717" s="486"/>
      <c r="I717" s="486"/>
      <c r="J717" s="486"/>
      <c r="K717" s="486"/>
      <c r="L717" s="486"/>
      <c r="M717" s="486"/>
      <c r="N717" s="486"/>
      <c r="O717" s="486"/>
      <c r="P717" s="486"/>
      <c r="Q717" s="486"/>
      <c r="R717" s="486"/>
      <c r="S717" s="486"/>
      <c r="T717" s="486"/>
      <c r="U717" s="486"/>
      <c r="V717" s="486"/>
      <c r="W717" s="486"/>
      <c r="X717" s="486"/>
      <c r="Y717" s="486"/>
      <c r="Z717" s="486"/>
    </row>
    <row r="718" spans="1:26" ht="15.75" customHeight="1">
      <c r="A718" s="486"/>
      <c r="B718" s="486"/>
      <c r="C718" s="486"/>
      <c r="D718" s="486"/>
      <c r="E718" s="486"/>
      <c r="F718" s="486"/>
      <c r="G718" s="486"/>
      <c r="H718" s="486"/>
      <c r="I718" s="486"/>
      <c r="J718" s="486"/>
      <c r="K718" s="486"/>
      <c r="L718" s="486"/>
      <c r="M718" s="486"/>
      <c r="N718" s="486"/>
      <c r="O718" s="486"/>
      <c r="P718" s="486"/>
      <c r="Q718" s="486"/>
      <c r="R718" s="486"/>
      <c r="S718" s="486"/>
      <c r="T718" s="486"/>
      <c r="U718" s="486"/>
      <c r="V718" s="486"/>
      <c r="W718" s="486"/>
      <c r="X718" s="486"/>
      <c r="Y718" s="486"/>
      <c r="Z718" s="486"/>
    </row>
    <row r="719" spans="1:26" ht="15.75" customHeight="1">
      <c r="A719" s="486"/>
      <c r="B719" s="486"/>
      <c r="C719" s="486"/>
      <c r="D719" s="486"/>
      <c r="E719" s="486"/>
      <c r="F719" s="486"/>
      <c r="G719" s="486"/>
      <c r="H719" s="486"/>
      <c r="I719" s="486"/>
      <c r="J719" s="486"/>
      <c r="K719" s="486"/>
      <c r="L719" s="486"/>
      <c r="M719" s="486"/>
      <c r="N719" s="486"/>
      <c r="O719" s="486"/>
      <c r="P719" s="486"/>
      <c r="Q719" s="486"/>
      <c r="R719" s="486"/>
      <c r="S719" s="486"/>
      <c r="T719" s="486"/>
      <c r="U719" s="486"/>
      <c r="V719" s="486"/>
      <c r="W719" s="486"/>
      <c r="X719" s="486"/>
      <c r="Y719" s="486"/>
      <c r="Z719" s="486"/>
    </row>
    <row r="720" spans="1:26" ht="15.75" customHeight="1">
      <c r="A720" s="486"/>
      <c r="B720" s="486"/>
      <c r="C720" s="486"/>
      <c r="D720" s="486"/>
      <c r="E720" s="486"/>
      <c r="F720" s="486"/>
      <c r="G720" s="486"/>
      <c r="H720" s="486"/>
      <c r="I720" s="486"/>
      <c r="J720" s="486"/>
      <c r="K720" s="486"/>
      <c r="L720" s="486"/>
      <c r="M720" s="486"/>
      <c r="N720" s="486"/>
      <c r="O720" s="486"/>
      <c r="P720" s="486"/>
      <c r="Q720" s="486"/>
      <c r="R720" s="486"/>
      <c r="S720" s="486"/>
      <c r="T720" s="486"/>
      <c r="U720" s="486"/>
      <c r="V720" s="486"/>
      <c r="W720" s="486"/>
      <c r="X720" s="486"/>
      <c r="Y720" s="486"/>
      <c r="Z720" s="486"/>
    </row>
    <row r="721" spans="1:26" ht="15.75" customHeight="1">
      <c r="A721" s="486"/>
      <c r="B721" s="486"/>
      <c r="C721" s="486"/>
      <c r="D721" s="486"/>
      <c r="E721" s="486"/>
      <c r="F721" s="486"/>
      <c r="G721" s="486"/>
      <c r="H721" s="486"/>
      <c r="I721" s="486"/>
      <c r="J721" s="486"/>
      <c r="K721" s="486"/>
      <c r="L721" s="486"/>
      <c r="M721" s="486"/>
      <c r="N721" s="486"/>
      <c r="O721" s="486"/>
      <c r="P721" s="486"/>
      <c r="Q721" s="486"/>
      <c r="R721" s="486"/>
      <c r="S721" s="486"/>
      <c r="T721" s="486"/>
      <c r="U721" s="486"/>
      <c r="V721" s="486"/>
      <c r="W721" s="486"/>
      <c r="X721" s="486"/>
      <c r="Y721" s="486"/>
      <c r="Z721" s="486"/>
    </row>
    <row r="722" spans="1:26" ht="15.75" customHeight="1">
      <c r="A722" s="486"/>
      <c r="B722" s="486"/>
      <c r="C722" s="486"/>
      <c r="D722" s="486"/>
      <c r="E722" s="486"/>
      <c r="F722" s="486"/>
      <c r="G722" s="486"/>
      <c r="H722" s="486"/>
      <c r="I722" s="486"/>
      <c r="J722" s="486"/>
      <c r="K722" s="486"/>
      <c r="L722" s="486"/>
      <c r="M722" s="486"/>
      <c r="N722" s="486"/>
      <c r="O722" s="486"/>
      <c r="P722" s="486"/>
      <c r="Q722" s="486"/>
      <c r="R722" s="486"/>
      <c r="S722" s="486"/>
      <c r="T722" s="486"/>
      <c r="U722" s="486"/>
      <c r="V722" s="486"/>
      <c r="W722" s="486"/>
      <c r="X722" s="486"/>
      <c r="Y722" s="486"/>
      <c r="Z722" s="486"/>
    </row>
    <row r="723" spans="1:26" ht="15.75" customHeight="1">
      <c r="A723" s="486"/>
      <c r="B723" s="486"/>
      <c r="C723" s="486"/>
      <c r="D723" s="486"/>
      <c r="E723" s="486"/>
      <c r="F723" s="486"/>
      <c r="G723" s="486"/>
      <c r="H723" s="486"/>
      <c r="I723" s="486"/>
      <c r="J723" s="486"/>
      <c r="K723" s="486"/>
      <c r="L723" s="486"/>
      <c r="M723" s="486"/>
      <c r="N723" s="486"/>
      <c r="O723" s="486"/>
      <c r="P723" s="486"/>
      <c r="Q723" s="486"/>
      <c r="R723" s="486"/>
      <c r="S723" s="486"/>
      <c r="T723" s="486"/>
      <c r="U723" s="486"/>
      <c r="V723" s="486"/>
      <c r="W723" s="486"/>
      <c r="X723" s="486"/>
      <c r="Y723" s="486"/>
      <c r="Z723" s="486"/>
    </row>
    <row r="724" spans="1:26" ht="15.75" customHeight="1">
      <c r="A724" s="486"/>
      <c r="B724" s="486"/>
      <c r="C724" s="486"/>
      <c r="D724" s="486"/>
      <c r="E724" s="486"/>
      <c r="F724" s="486"/>
      <c r="G724" s="486"/>
      <c r="H724" s="486"/>
      <c r="I724" s="486"/>
      <c r="J724" s="486"/>
      <c r="K724" s="486"/>
      <c r="L724" s="486"/>
      <c r="M724" s="486"/>
      <c r="N724" s="486"/>
      <c r="O724" s="486"/>
      <c r="P724" s="486"/>
      <c r="Q724" s="486"/>
      <c r="R724" s="486"/>
      <c r="S724" s="486"/>
      <c r="T724" s="486"/>
      <c r="U724" s="486"/>
      <c r="V724" s="486"/>
      <c r="W724" s="486"/>
      <c r="X724" s="486"/>
      <c r="Y724" s="486"/>
      <c r="Z724" s="486"/>
    </row>
    <row r="725" spans="1:26" ht="15.75" customHeight="1">
      <c r="A725" s="486"/>
      <c r="B725" s="486"/>
      <c r="C725" s="486"/>
      <c r="D725" s="486"/>
      <c r="E725" s="486"/>
      <c r="F725" s="486"/>
      <c r="G725" s="486"/>
      <c r="H725" s="486"/>
      <c r="I725" s="486"/>
      <c r="J725" s="486"/>
      <c r="K725" s="486"/>
      <c r="L725" s="486"/>
      <c r="M725" s="486"/>
      <c r="N725" s="486"/>
      <c r="O725" s="486"/>
      <c r="P725" s="486"/>
      <c r="Q725" s="486"/>
      <c r="R725" s="486"/>
      <c r="S725" s="486"/>
      <c r="T725" s="486"/>
      <c r="U725" s="486"/>
      <c r="V725" s="486"/>
      <c r="W725" s="486"/>
      <c r="X725" s="486"/>
      <c r="Y725" s="486"/>
      <c r="Z725" s="486"/>
    </row>
    <row r="726" spans="1:26" ht="15.75" customHeight="1">
      <c r="A726" s="486"/>
      <c r="B726" s="486"/>
      <c r="C726" s="486"/>
      <c r="D726" s="486"/>
      <c r="E726" s="486"/>
      <c r="F726" s="486"/>
      <c r="G726" s="486"/>
      <c r="H726" s="486"/>
      <c r="I726" s="486"/>
      <c r="J726" s="486"/>
      <c r="K726" s="486"/>
      <c r="L726" s="486"/>
      <c r="M726" s="486"/>
      <c r="N726" s="486"/>
      <c r="O726" s="486"/>
      <c r="P726" s="486"/>
      <c r="Q726" s="486"/>
      <c r="R726" s="486"/>
      <c r="S726" s="486"/>
      <c r="T726" s="486"/>
      <c r="U726" s="486"/>
      <c r="V726" s="486"/>
      <c r="W726" s="486"/>
      <c r="X726" s="486"/>
      <c r="Y726" s="486"/>
      <c r="Z726" s="486"/>
    </row>
    <row r="727" spans="1:26" ht="15.75" customHeight="1">
      <c r="A727" s="486"/>
      <c r="B727" s="486"/>
      <c r="C727" s="486"/>
      <c r="D727" s="486"/>
      <c r="E727" s="486"/>
      <c r="F727" s="486"/>
      <c r="G727" s="486"/>
      <c r="H727" s="486"/>
      <c r="I727" s="486"/>
      <c r="J727" s="486"/>
      <c r="K727" s="486"/>
      <c r="L727" s="486"/>
      <c r="M727" s="486"/>
      <c r="N727" s="486"/>
      <c r="O727" s="486"/>
      <c r="P727" s="486"/>
      <c r="Q727" s="486"/>
      <c r="R727" s="486"/>
      <c r="S727" s="486"/>
      <c r="T727" s="486"/>
      <c r="U727" s="486"/>
      <c r="V727" s="486"/>
      <c r="W727" s="486"/>
      <c r="X727" s="486"/>
      <c r="Y727" s="486"/>
      <c r="Z727" s="486"/>
    </row>
    <row r="728" spans="1:26" ht="15.75" customHeight="1">
      <c r="A728" s="486"/>
      <c r="B728" s="486"/>
      <c r="C728" s="486"/>
      <c r="D728" s="486"/>
      <c r="E728" s="486"/>
      <c r="F728" s="486"/>
      <c r="G728" s="486"/>
      <c r="H728" s="486"/>
      <c r="I728" s="486"/>
      <c r="J728" s="486"/>
      <c r="K728" s="486"/>
      <c r="L728" s="486"/>
      <c r="M728" s="486"/>
      <c r="N728" s="486"/>
      <c r="O728" s="486"/>
      <c r="P728" s="486"/>
      <c r="Q728" s="486"/>
      <c r="R728" s="486"/>
      <c r="S728" s="486"/>
      <c r="T728" s="486"/>
      <c r="U728" s="486"/>
      <c r="V728" s="486"/>
      <c r="W728" s="486"/>
      <c r="X728" s="486"/>
      <c r="Y728" s="486"/>
      <c r="Z728" s="486"/>
    </row>
    <row r="729" spans="1:26" ht="15.75" customHeight="1">
      <c r="A729" s="486"/>
      <c r="B729" s="486"/>
      <c r="C729" s="486"/>
      <c r="D729" s="486"/>
      <c r="E729" s="486"/>
      <c r="F729" s="486"/>
      <c r="G729" s="486"/>
      <c r="H729" s="486"/>
      <c r="I729" s="486"/>
      <c r="J729" s="486"/>
      <c r="K729" s="486"/>
      <c r="L729" s="486"/>
      <c r="M729" s="486"/>
      <c r="N729" s="486"/>
      <c r="O729" s="486"/>
      <c r="P729" s="486"/>
      <c r="Q729" s="486"/>
      <c r="R729" s="486"/>
      <c r="S729" s="486"/>
      <c r="T729" s="486"/>
      <c r="U729" s="486"/>
      <c r="V729" s="486"/>
      <c r="W729" s="486"/>
      <c r="X729" s="486"/>
      <c r="Y729" s="486"/>
      <c r="Z729" s="486"/>
    </row>
    <row r="730" spans="1:26" ht="15.75" customHeight="1">
      <c r="A730" s="486"/>
      <c r="B730" s="486"/>
      <c r="C730" s="486"/>
      <c r="D730" s="486"/>
      <c r="E730" s="486"/>
      <c r="F730" s="486"/>
      <c r="G730" s="486"/>
      <c r="H730" s="486"/>
      <c r="I730" s="486"/>
      <c r="J730" s="486"/>
      <c r="K730" s="486"/>
      <c r="L730" s="486"/>
      <c r="M730" s="486"/>
      <c r="N730" s="486"/>
      <c r="O730" s="486"/>
      <c r="P730" s="486"/>
      <c r="Q730" s="486"/>
      <c r="R730" s="486"/>
      <c r="S730" s="486"/>
      <c r="T730" s="486"/>
      <c r="U730" s="486"/>
      <c r="V730" s="486"/>
      <c r="W730" s="486"/>
      <c r="X730" s="486"/>
      <c r="Y730" s="486"/>
      <c r="Z730" s="486"/>
    </row>
    <row r="731" spans="1:26" ht="15.75" customHeight="1">
      <c r="A731" s="486"/>
      <c r="B731" s="486"/>
      <c r="C731" s="486"/>
      <c r="D731" s="486"/>
      <c r="E731" s="486"/>
      <c r="F731" s="486"/>
      <c r="G731" s="486"/>
      <c r="H731" s="486"/>
      <c r="I731" s="486"/>
      <c r="J731" s="486"/>
      <c r="K731" s="486"/>
      <c r="L731" s="486"/>
      <c r="M731" s="486"/>
      <c r="N731" s="486"/>
      <c r="O731" s="486"/>
      <c r="P731" s="486"/>
      <c r="Q731" s="486"/>
      <c r="R731" s="486"/>
      <c r="S731" s="486"/>
      <c r="T731" s="486"/>
      <c r="U731" s="486"/>
      <c r="V731" s="486"/>
      <c r="W731" s="486"/>
      <c r="X731" s="486"/>
      <c r="Y731" s="486"/>
      <c r="Z731" s="486"/>
    </row>
    <row r="732" spans="1:26" ht="15.75" customHeight="1">
      <c r="A732" s="486"/>
      <c r="B732" s="486"/>
      <c r="C732" s="486"/>
      <c r="D732" s="486"/>
      <c r="E732" s="486"/>
      <c r="F732" s="486"/>
      <c r="G732" s="486"/>
      <c r="H732" s="486"/>
      <c r="I732" s="486"/>
      <c r="J732" s="486"/>
      <c r="K732" s="486"/>
      <c r="L732" s="486"/>
      <c r="M732" s="486"/>
      <c r="N732" s="486"/>
      <c r="O732" s="486"/>
      <c r="P732" s="486"/>
      <c r="Q732" s="486"/>
      <c r="R732" s="486"/>
      <c r="S732" s="486"/>
      <c r="T732" s="486"/>
      <c r="U732" s="486"/>
      <c r="V732" s="486"/>
      <c r="W732" s="486"/>
      <c r="X732" s="486"/>
      <c r="Y732" s="486"/>
      <c r="Z732" s="486"/>
    </row>
    <row r="733" spans="1:26" ht="15.75" customHeight="1">
      <c r="A733" s="486"/>
      <c r="B733" s="486"/>
      <c r="C733" s="486"/>
      <c r="D733" s="486"/>
      <c r="E733" s="486"/>
      <c r="F733" s="486"/>
      <c r="G733" s="486"/>
      <c r="H733" s="486"/>
      <c r="I733" s="486"/>
      <c r="J733" s="486"/>
      <c r="K733" s="486"/>
      <c r="L733" s="486"/>
      <c r="M733" s="486"/>
      <c r="N733" s="486"/>
      <c r="O733" s="486"/>
      <c r="P733" s="486"/>
      <c r="Q733" s="486"/>
      <c r="R733" s="486"/>
      <c r="S733" s="486"/>
      <c r="T733" s="486"/>
      <c r="U733" s="486"/>
      <c r="V733" s="486"/>
      <c r="W733" s="486"/>
      <c r="X733" s="486"/>
      <c r="Y733" s="486"/>
      <c r="Z733" s="486"/>
    </row>
    <row r="734" spans="1:26" ht="15.75" customHeight="1">
      <c r="A734" s="486"/>
      <c r="B734" s="486"/>
      <c r="C734" s="486"/>
      <c r="D734" s="486"/>
      <c r="E734" s="486"/>
      <c r="F734" s="486"/>
      <c r="G734" s="486"/>
      <c r="H734" s="486"/>
      <c r="I734" s="486"/>
      <c r="J734" s="486"/>
      <c r="K734" s="486"/>
      <c r="L734" s="486"/>
      <c r="M734" s="486"/>
      <c r="N734" s="486"/>
      <c r="O734" s="486"/>
      <c r="P734" s="486"/>
      <c r="Q734" s="486"/>
      <c r="R734" s="486"/>
      <c r="S734" s="486"/>
      <c r="T734" s="486"/>
      <c r="U734" s="486"/>
      <c r="V734" s="486"/>
      <c r="W734" s="486"/>
      <c r="X734" s="486"/>
      <c r="Y734" s="486"/>
      <c r="Z734" s="486"/>
    </row>
    <row r="735" spans="1:26" ht="15.75" customHeight="1">
      <c r="A735" s="486"/>
      <c r="B735" s="486"/>
      <c r="C735" s="486"/>
      <c r="D735" s="486"/>
      <c r="E735" s="486"/>
      <c r="F735" s="486"/>
      <c r="G735" s="486"/>
      <c r="H735" s="486"/>
      <c r="I735" s="486"/>
      <c r="J735" s="486"/>
      <c r="K735" s="486"/>
      <c r="L735" s="486"/>
      <c r="M735" s="486"/>
      <c r="N735" s="486"/>
      <c r="O735" s="486"/>
      <c r="P735" s="486"/>
      <c r="Q735" s="486"/>
      <c r="R735" s="486"/>
      <c r="S735" s="486"/>
      <c r="T735" s="486"/>
      <c r="U735" s="486"/>
      <c r="V735" s="486"/>
      <c r="W735" s="486"/>
      <c r="X735" s="486"/>
      <c r="Y735" s="486"/>
      <c r="Z735" s="486"/>
    </row>
    <row r="736" spans="1:26" ht="15.75" customHeight="1">
      <c r="A736" s="486"/>
      <c r="B736" s="486"/>
      <c r="C736" s="486"/>
      <c r="D736" s="486"/>
      <c r="E736" s="486"/>
      <c r="F736" s="486"/>
      <c r="G736" s="486"/>
      <c r="H736" s="486"/>
      <c r="I736" s="486"/>
      <c r="J736" s="486"/>
      <c r="K736" s="486"/>
      <c r="L736" s="486"/>
      <c r="M736" s="486"/>
      <c r="N736" s="486"/>
      <c r="O736" s="486"/>
      <c r="P736" s="486"/>
      <c r="Q736" s="486"/>
      <c r="R736" s="486"/>
      <c r="S736" s="486"/>
      <c r="T736" s="486"/>
      <c r="U736" s="486"/>
      <c r="V736" s="486"/>
      <c r="W736" s="486"/>
      <c r="X736" s="486"/>
      <c r="Y736" s="486"/>
      <c r="Z736" s="486"/>
    </row>
    <row r="737" spans="1:26" ht="15.75" customHeight="1">
      <c r="A737" s="486"/>
      <c r="B737" s="486"/>
      <c r="C737" s="486"/>
      <c r="D737" s="486"/>
      <c r="E737" s="486"/>
      <c r="F737" s="486"/>
      <c r="G737" s="486"/>
      <c r="H737" s="486"/>
      <c r="I737" s="486"/>
      <c r="J737" s="486"/>
      <c r="K737" s="486"/>
      <c r="L737" s="486"/>
      <c r="M737" s="486"/>
      <c r="N737" s="486"/>
      <c r="O737" s="486"/>
      <c r="P737" s="486"/>
      <c r="Q737" s="486"/>
      <c r="R737" s="486"/>
      <c r="S737" s="486"/>
      <c r="T737" s="486"/>
      <c r="U737" s="486"/>
      <c r="V737" s="486"/>
      <c r="W737" s="486"/>
      <c r="X737" s="486"/>
      <c r="Y737" s="486"/>
      <c r="Z737" s="486"/>
    </row>
    <row r="738" spans="1:26" ht="15.75" customHeight="1">
      <c r="A738" s="486"/>
      <c r="B738" s="486"/>
      <c r="C738" s="486"/>
      <c r="D738" s="486"/>
      <c r="E738" s="486"/>
      <c r="F738" s="486"/>
      <c r="G738" s="486"/>
      <c r="H738" s="486"/>
      <c r="I738" s="486"/>
      <c r="J738" s="486"/>
      <c r="K738" s="486"/>
      <c r="L738" s="486"/>
      <c r="M738" s="486"/>
      <c r="N738" s="486"/>
      <c r="O738" s="486"/>
      <c r="P738" s="486"/>
      <c r="Q738" s="486"/>
      <c r="R738" s="486"/>
      <c r="S738" s="486"/>
      <c r="T738" s="486"/>
      <c r="U738" s="486"/>
      <c r="V738" s="486"/>
      <c r="W738" s="486"/>
      <c r="X738" s="486"/>
      <c r="Y738" s="486"/>
      <c r="Z738" s="486"/>
    </row>
    <row r="739" spans="1:26" ht="15.75" customHeight="1">
      <c r="A739" s="486"/>
      <c r="B739" s="486"/>
      <c r="C739" s="486"/>
      <c r="D739" s="486"/>
      <c r="E739" s="486"/>
      <c r="F739" s="486"/>
      <c r="G739" s="486"/>
      <c r="H739" s="486"/>
      <c r="I739" s="486"/>
      <c r="J739" s="486"/>
      <c r="K739" s="486"/>
      <c r="L739" s="486"/>
      <c r="M739" s="486"/>
      <c r="N739" s="486"/>
      <c r="O739" s="486"/>
      <c r="P739" s="486"/>
      <c r="Q739" s="486"/>
      <c r="R739" s="486"/>
      <c r="S739" s="486"/>
      <c r="T739" s="486"/>
      <c r="U739" s="486"/>
      <c r="V739" s="486"/>
      <c r="W739" s="486"/>
      <c r="X739" s="486"/>
      <c r="Y739" s="486"/>
      <c r="Z739" s="486"/>
    </row>
    <row r="740" spans="1:26" ht="15.75" customHeight="1">
      <c r="A740" s="486"/>
      <c r="B740" s="486"/>
      <c r="C740" s="486"/>
      <c r="D740" s="486"/>
      <c r="E740" s="486"/>
      <c r="F740" s="486"/>
      <c r="G740" s="486"/>
      <c r="H740" s="486"/>
      <c r="I740" s="486"/>
      <c r="J740" s="486"/>
      <c r="K740" s="486"/>
      <c r="L740" s="486"/>
      <c r="M740" s="486"/>
      <c r="N740" s="486"/>
      <c r="O740" s="486"/>
      <c r="P740" s="486"/>
      <c r="Q740" s="486"/>
      <c r="R740" s="486"/>
      <c r="S740" s="486"/>
      <c r="T740" s="486"/>
      <c r="U740" s="486"/>
      <c r="V740" s="486"/>
      <c r="W740" s="486"/>
      <c r="X740" s="486"/>
      <c r="Y740" s="486"/>
      <c r="Z740" s="486"/>
    </row>
    <row r="741" spans="1:26" ht="15.75" customHeight="1">
      <c r="A741" s="486"/>
      <c r="B741" s="486"/>
      <c r="C741" s="486"/>
      <c r="D741" s="486"/>
      <c r="E741" s="486"/>
      <c r="F741" s="486"/>
      <c r="G741" s="486"/>
      <c r="H741" s="486"/>
      <c r="I741" s="486"/>
      <c r="J741" s="486"/>
      <c r="K741" s="486"/>
      <c r="L741" s="486"/>
      <c r="M741" s="486"/>
      <c r="N741" s="486"/>
      <c r="O741" s="486"/>
      <c r="P741" s="486"/>
      <c r="Q741" s="486"/>
      <c r="R741" s="486"/>
      <c r="S741" s="486"/>
      <c r="T741" s="486"/>
      <c r="U741" s="486"/>
      <c r="V741" s="486"/>
      <c r="W741" s="486"/>
      <c r="X741" s="486"/>
      <c r="Y741" s="486"/>
      <c r="Z741" s="486"/>
    </row>
    <row r="742" spans="1:26" ht="15.75" customHeight="1">
      <c r="A742" s="486"/>
      <c r="B742" s="486"/>
      <c r="C742" s="486"/>
      <c r="D742" s="486"/>
      <c r="E742" s="486"/>
      <c r="F742" s="486"/>
      <c r="G742" s="486"/>
      <c r="H742" s="486"/>
      <c r="I742" s="486"/>
      <c r="J742" s="486"/>
      <c r="K742" s="486"/>
      <c r="L742" s="486"/>
      <c r="M742" s="486"/>
      <c r="N742" s="486"/>
      <c r="O742" s="486"/>
      <c r="P742" s="486"/>
      <c r="Q742" s="486"/>
      <c r="R742" s="486"/>
      <c r="S742" s="486"/>
      <c r="T742" s="486"/>
      <c r="U742" s="486"/>
      <c r="V742" s="486"/>
      <c r="W742" s="486"/>
      <c r="X742" s="486"/>
      <c r="Y742" s="486"/>
      <c r="Z742" s="486"/>
    </row>
    <row r="743" spans="1:26" ht="15.75" customHeight="1">
      <c r="A743" s="486"/>
      <c r="B743" s="486"/>
      <c r="C743" s="486"/>
      <c r="D743" s="486"/>
      <c r="E743" s="486"/>
      <c r="F743" s="486"/>
      <c r="G743" s="486"/>
      <c r="H743" s="486"/>
      <c r="I743" s="486"/>
      <c r="J743" s="486"/>
      <c r="K743" s="486"/>
      <c r="L743" s="486"/>
      <c r="M743" s="486"/>
      <c r="N743" s="486"/>
      <c r="O743" s="486"/>
      <c r="P743" s="486"/>
      <c r="Q743" s="486"/>
      <c r="R743" s="486"/>
      <c r="S743" s="486"/>
      <c r="T743" s="486"/>
      <c r="U743" s="486"/>
      <c r="V743" s="486"/>
      <c r="W743" s="486"/>
      <c r="X743" s="486"/>
      <c r="Y743" s="486"/>
      <c r="Z743" s="486"/>
    </row>
    <row r="744" spans="1:26" ht="15.75" customHeight="1">
      <c r="A744" s="486"/>
      <c r="B744" s="486"/>
      <c r="C744" s="486"/>
      <c r="D744" s="486"/>
      <c r="E744" s="486"/>
      <c r="F744" s="486"/>
      <c r="G744" s="486"/>
      <c r="H744" s="486"/>
      <c r="I744" s="486"/>
      <c r="J744" s="486"/>
      <c r="K744" s="486"/>
      <c r="L744" s="486"/>
      <c r="M744" s="486"/>
      <c r="N744" s="486"/>
      <c r="O744" s="486"/>
      <c r="P744" s="486"/>
      <c r="Q744" s="486"/>
      <c r="R744" s="486"/>
      <c r="S744" s="486"/>
      <c r="T744" s="486"/>
      <c r="U744" s="486"/>
      <c r="V744" s="486"/>
      <c r="W744" s="486"/>
      <c r="X744" s="486"/>
      <c r="Y744" s="486"/>
      <c r="Z744" s="486"/>
    </row>
    <row r="745" spans="1:26" ht="15.75" customHeight="1">
      <c r="A745" s="486"/>
      <c r="B745" s="486"/>
      <c r="C745" s="486"/>
      <c r="D745" s="486"/>
      <c r="E745" s="486"/>
      <c r="F745" s="486"/>
      <c r="G745" s="486"/>
      <c r="H745" s="486"/>
      <c r="I745" s="486"/>
      <c r="J745" s="486"/>
      <c r="K745" s="486"/>
      <c r="L745" s="486"/>
      <c r="M745" s="486"/>
      <c r="N745" s="486"/>
      <c r="O745" s="486"/>
      <c r="P745" s="486"/>
      <c r="Q745" s="486"/>
      <c r="R745" s="486"/>
      <c r="S745" s="486"/>
      <c r="T745" s="486"/>
      <c r="U745" s="486"/>
      <c r="V745" s="486"/>
      <c r="W745" s="486"/>
      <c r="X745" s="486"/>
      <c r="Y745" s="486"/>
      <c r="Z745" s="486"/>
    </row>
    <row r="746" spans="1:26" ht="15.75" customHeight="1">
      <c r="A746" s="486"/>
      <c r="B746" s="486"/>
      <c r="C746" s="486"/>
      <c r="D746" s="486"/>
      <c r="E746" s="486"/>
      <c r="F746" s="486"/>
      <c r="G746" s="486"/>
      <c r="H746" s="486"/>
      <c r="I746" s="486"/>
      <c r="J746" s="486"/>
      <c r="K746" s="486"/>
      <c r="L746" s="486"/>
      <c r="M746" s="486"/>
      <c r="N746" s="486"/>
      <c r="O746" s="486"/>
      <c r="P746" s="486"/>
      <c r="Q746" s="486"/>
      <c r="R746" s="486"/>
      <c r="S746" s="486"/>
      <c r="T746" s="486"/>
      <c r="U746" s="486"/>
      <c r="V746" s="486"/>
      <c r="W746" s="486"/>
      <c r="X746" s="486"/>
      <c r="Y746" s="486"/>
      <c r="Z746" s="486"/>
    </row>
    <row r="747" spans="1:26" ht="15.75" customHeight="1">
      <c r="A747" s="486"/>
      <c r="B747" s="486"/>
      <c r="C747" s="486"/>
      <c r="D747" s="486"/>
      <c r="E747" s="486"/>
      <c r="F747" s="486"/>
      <c r="G747" s="486"/>
      <c r="H747" s="486"/>
      <c r="I747" s="486"/>
      <c r="J747" s="486"/>
      <c r="K747" s="486"/>
      <c r="L747" s="486"/>
      <c r="M747" s="486"/>
      <c r="N747" s="486"/>
      <c r="O747" s="486"/>
      <c r="P747" s="486"/>
      <c r="Q747" s="486"/>
      <c r="R747" s="486"/>
      <c r="S747" s="486"/>
      <c r="T747" s="486"/>
      <c r="U747" s="486"/>
      <c r="V747" s="486"/>
      <c r="W747" s="486"/>
      <c r="X747" s="486"/>
      <c r="Y747" s="486"/>
      <c r="Z747" s="486"/>
    </row>
    <row r="748" spans="1:26" ht="15.75" customHeight="1">
      <c r="A748" s="486"/>
      <c r="B748" s="486"/>
      <c r="C748" s="486"/>
      <c r="D748" s="486"/>
      <c r="E748" s="486"/>
      <c r="F748" s="486"/>
      <c r="G748" s="486"/>
      <c r="H748" s="486"/>
      <c r="I748" s="486"/>
      <c r="J748" s="486"/>
      <c r="K748" s="486"/>
      <c r="L748" s="486"/>
      <c r="M748" s="486"/>
      <c r="N748" s="486"/>
      <c r="O748" s="486"/>
      <c r="P748" s="486"/>
      <c r="Q748" s="486"/>
      <c r="R748" s="486"/>
      <c r="S748" s="486"/>
      <c r="T748" s="486"/>
      <c r="U748" s="486"/>
      <c r="V748" s="486"/>
      <c r="W748" s="486"/>
      <c r="X748" s="486"/>
      <c r="Y748" s="486"/>
      <c r="Z748" s="486"/>
    </row>
    <row r="749" spans="1:26" ht="15.75" customHeight="1">
      <c r="A749" s="486"/>
      <c r="B749" s="486"/>
      <c r="C749" s="486"/>
      <c r="D749" s="486"/>
      <c r="E749" s="486"/>
      <c r="F749" s="486"/>
      <c r="G749" s="486"/>
      <c r="H749" s="486"/>
      <c r="I749" s="486"/>
      <c r="J749" s="486"/>
      <c r="K749" s="486"/>
      <c r="L749" s="486"/>
      <c r="M749" s="486"/>
      <c r="N749" s="486"/>
      <c r="O749" s="486"/>
      <c r="P749" s="486"/>
      <c r="Q749" s="486"/>
      <c r="R749" s="486"/>
      <c r="S749" s="486"/>
      <c r="T749" s="486"/>
      <c r="U749" s="486"/>
      <c r="V749" s="486"/>
      <c r="W749" s="486"/>
      <c r="X749" s="486"/>
      <c r="Y749" s="486"/>
      <c r="Z749" s="486"/>
    </row>
    <row r="750" spans="1:26" ht="15.75" customHeight="1">
      <c r="A750" s="486"/>
      <c r="B750" s="486"/>
      <c r="C750" s="486"/>
      <c r="D750" s="486"/>
      <c r="E750" s="486"/>
      <c r="F750" s="486"/>
      <c r="G750" s="486"/>
      <c r="H750" s="486"/>
      <c r="I750" s="486"/>
      <c r="J750" s="486"/>
      <c r="K750" s="486"/>
      <c r="L750" s="486"/>
      <c r="M750" s="486"/>
      <c r="N750" s="486"/>
      <c r="O750" s="486"/>
      <c r="P750" s="486"/>
      <c r="Q750" s="486"/>
      <c r="R750" s="486"/>
      <c r="S750" s="486"/>
      <c r="T750" s="486"/>
      <c r="U750" s="486"/>
      <c r="V750" s="486"/>
      <c r="W750" s="486"/>
      <c r="X750" s="486"/>
      <c r="Y750" s="486"/>
      <c r="Z750" s="486"/>
    </row>
    <row r="751" spans="1:26" ht="15.75" customHeight="1">
      <c r="A751" s="486"/>
      <c r="B751" s="486"/>
      <c r="C751" s="486"/>
      <c r="D751" s="486"/>
      <c r="E751" s="486"/>
      <c r="F751" s="486"/>
      <c r="G751" s="486"/>
      <c r="H751" s="486"/>
      <c r="I751" s="486"/>
      <c r="J751" s="486"/>
      <c r="K751" s="486"/>
      <c r="L751" s="486"/>
      <c r="M751" s="486"/>
      <c r="N751" s="486"/>
      <c r="O751" s="486"/>
      <c r="P751" s="486"/>
      <c r="Q751" s="486"/>
      <c r="R751" s="486"/>
      <c r="S751" s="486"/>
      <c r="T751" s="486"/>
      <c r="U751" s="486"/>
      <c r="V751" s="486"/>
      <c r="W751" s="486"/>
      <c r="X751" s="486"/>
      <c r="Y751" s="486"/>
      <c r="Z751" s="486"/>
    </row>
    <row r="752" spans="1:26" ht="15.75" customHeight="1">
      <c r="A752" s="486"/>
      <c r="B752" s="486"/>
      <c r="C752" s="486"/>
      <c r="D752" s="486"/>
      <c r="E752" s="486"/>
      <c r="F752" s="486"/>
      <c r="G752" s="486"/>
      <c r="H752" s="486"/>
      <c r="I752" s="486"/>
      <c r="J752" s="486"/>
      <c r="K752" s="486"/>
      <c r="L752" s="486"/>
      <c r="M752" s="486"/>
      <c r="N752" s="486"/>
      <c r="O752" s="486"/>
      <c r="P752" s="486"/>
      <c r="Q752" s="486"/>
      <c r="R752" s="486"/>
      <c r="S752" s="486"/>
      <c r="T752" s="486"/>
      <c r="U752" s="486"/>
      <c r="V752" s="486"/>
      <c r="W752" s="486"/>
      <c r="X752" s="486"/>
      <c r="Y752" s="486"/>
      <c r="Z752" s="486"/>
    </row>
    <row r="753" spans="1:26" ht="15.75" customHeight="1">
      <c r="A753" s="486"/>
      <c r="B753" s="486"/>
      <c r="C753" s="486"/>
      <c r="D753" s="486"/>
      <c r="E753" s="486"/>
      <c r="F753" s="486"/>
      <c r="G753" s="486"/>
      <c r="H753" s="486"/>
      <c r="I753" s="486"/>
      <c r="J753" s="486"/>
      <c r="K753" s="486"/>
      <c r="L753" s="486"/>
      <c r="M753" s="486"/>
      <c r="N753" s="486"/>
      <c r="O753" s="486"/>
      <c r="P753" s="486"/>
      <c r="Q753" s="486"/>
      <c r="R753" s="486"/>
      <c r="S753" s="486"/>
      <c r="T753" s="486"/>
      <c r="U753" s="486"/>
      <c r="V753" s="486"/>
      <c r="W753" s="486"/>
      <c r="X753" s="486"/>
      <c r="Y753" s="486"/>
      <c r="Z753" s="486"/>
    </row>
    <row r="754" spans="1:26" ht="15.75" customHeight="1">
      <c r="A754" s="486"/>
      <c r="B754" s="486"/>
      <c r="C754" s="486"/>
      <c r="D754" s="486"/>
      <c r="E754" s="486"/>
      <c r="F754" s="486"/>
      <c r="G754" s="486"/>
      <c r="H754" s="486"/>
      <c r="I754" s="486"/>
      <c r="J754" s="486"/>
      <c r="K754" s="486"/>
      <c r="L754" s="486"/>
      <c r="M754" s="486"/>
      <c r="N754" s="486"/>
      <c r="O754" s="486"/>
      <c r="P754" s="486"/>
      <c r="Q754" s="486"/>
      <c r="R754" s="486"/>
      <c r="S754" s="486"/>
      <c r="T754" s="486"/>
      <c r="U754" s="486"/>
      <c r="V754" s="486"/>
      <c r="W754" s="486"/>
      <c r="X754" s="486"/>
      <c r="Y754" s="486"/>
      <c r="Z754" s="486"/>
    </row>
    <row r="755" spans="1:26" ht="15.75" customHeight="1">
      <c r="A755" s="486"/>
      <c r="B755" s="486"/>
      <c r="C755" s="486"/>
      <c r="D755" s="486"/>
      <c r="E755" s="486"/>
      <c r="F755" s="486"/>
      <c r="G755" s="486"/>
      <c r="H755" s="486"/>
      <c r="I755" s="486"/>
      <c r="J755" s="486"/>
      <c r="K755" s="486"/>
      <c r="L755" s="486"/>
      <c r="M755" s="486"/>
      <c r="N755" s="486"/>
      <c r="O755" s="486"/>
      <c r="P755" s="486"/>
      <c r="Q755" s="486"/>
      <c r="R755" s="486"/>
      <c r="S755" s="486"/>
      <c r="T755" s="486"/>
      <c r="U755" s="486"/>
      <c r="V755" s="486"/>
      <c r="W755" s="486"/>
      <c r="X755" s="486"/>
      <c r="Y755" s="486"/>
      <c r="Z755" s="486"/>
    </row>
    <row r="756" spans="1:26" ht="15.75" customHeight="1">
      <c r="A756" s="486"/>
      <c r="B756" s="486"/>
      <c r="C756" s="486"/>
      <c r="D756" s="486"/>
      <c r="E756" s="486"/>
      <c r="F756" s="486"/>
      <c r="G756" s="486"/>
      <c r="H756" s="486"/>
      <c r="I756" s="486"/>
      <c r="J756" s="486"/>
      <c r="K756" s="486"/>
      <c r="L756" s="486"/>
      <c r="M756" s="486"/>
      <c r="N756" s="486"/>
      <c r="O756" s="486"/>
      <c r="P756" s="486"/>
      <c r="Q756" s="486"/>
      <c r="R756" s="486"/>
      <c r="S756" s="486"/>
      <c r="T756" s="486"/>
      <c r="U756" s="486"/>
      <c r="V756" s="486"/>
      <c r="W756" s="486"/>
      <c r="X756" s="486"/>
      <c r="Y756" s="486"/>
      <c r="Z756" s="486"/>
    </row>
    <row r="757" spans="1:26" ht="15.75" customHeight="1">
      <c r="A757" s="486"/>
      <c r="B757" s="486"/>
      <c r="C757" s="486"/>
      <c r="D757" s="486"/>
      <c r="E757" s="486"/>
      <c r="F757" s="486"/>
      <c r="G757" s="486"/>
      <c r="H757" s="486"/>
      <c r="I757" s="486"/>
      <c r="J757" s="486"/>
      <c r="K757" s="486"/>
      <c r="L757" s="486"/>
      <c r="M757" s="486"/>
      <c r="N757" s="486"/>
      <c r="O757" s="486"/>
      <c r="P757" s="486"/>
      <c r="Q757" s="486"/>
      <c r="R757" s="486"/>
      <c r="S757" s="486"/>
      <c r="T757" s="486"/>
      <c r="U757" s="486"/>
      <c r="V757" s="486"/>
      <c r="W757" s="486"/>
      <c r="X757" s="486"/>
      <c r="Y757" s="486"/>
      <c r="Z757" s="486"/>
    </row>
    <row r="758" spans="1:26" ht="15.75" customHeight="1">
      <c r="A758" s="486"/>
      <c r="B758" s="486"/>
      <c r="C758" s="486"/>
      <c r="D758" s="486"/>
      <c r="E758" s="486"/>
      <c r="F758" s="486"/>
      <c r="G758" s="486"/>
      <c r="H758" s="486"/>
      <c r="I758" s="486"/>
      <c r="J758" s="486"/>
      <c r="K758" s="486"/>
      <c r="L758" s="486"/>
      <c r="M758" s="486"/>
      <c r="N758" s="486"/>
      <c r="O758" s="486"/>
      <c r="P758" s="486"/>
      <c r="Q758" s="486"/>
      <c r="R758" s="486"/>
      <c r="S758" s="486"/>
      <c r="T758" s="486"/>
      <c r="U758" s="486"/>
      <c r="V758" s="486"/>
      <c r="W758" s="486"/>
      <c r="X758" s="486"/>
      <c r="Y758" s="486"/>
      <c r="Z758" s="486"/>
    </row>
    <row r="759" spans="1:26" ht="15.75" customHeight="1">
      <c r="A759" s="486"/>
      <c r="B759" s="486"/>
      <c r="C759" s="486"/>
      <c r="D759" s="486"/>
      <c r="E759" s="486"/>
      <c r="F759" s="486"/>
      <c r="G759" s="486"/>
      <c r="H759" s="486"/>
      <c r="I759" s="486"/>
      <c r="J759" s="486"/>
      <c r="K759" s="486"/>
      <c r="L759" s="486"/>
      <c r="M759" s="486"/>
      <c r="N759" s="486"/>
      <c r="O759" s="486"/>
      <c r="P759" s="486"/>
      <c r="Q759" s="486"/>
      <c r="R759" s="486"/>
      <c r="S759" s="486"/>
      <c r="T759" s="486"/>
      <c r="U759" s="486"/>
      <c r="V759" s="486"/>
      <c r="W759" s="486"/>
      <c r="X759" s="486"/>
      <c r="Y759" s="486"/>
      <c r="Z759" s="486"/>
    </row>
    <row r="760" spans="1:26" ht="15.75" customHeight="1">
      <c r="A760" s="486"/>
      <c r="B760" s="486"/>
      <c r="C760" s="486"/>
      <c r="D760" s="486"/>
      <c r="E760" s="486"/>
      <c r="F760" s="486"/>
      <c r="G760" s="486"/>
      <c r="H760" s="486"/>
      <c r="I760" s="486"/>
      <c r="J760" s="486"/>
      <c r="K760" s="486"/>
      <c r="L760" s="486"/>
      <c r="M760" s="486"/>
      <c r="N760" s="486"/>
      <c r="O760" s="486"/>
      <c r="P760" s="486"/>
      <c r="Q760" s="486"/>
      <c r="R760" s="486"/>
      <c r="S760" s="486"/>
      <c r="T760" s="486"/>
      <c r="U760" s="486"/>
      <c r="V760" s="486"/>
      <c r="W760" s="486"/>
      <c r="X760" s="486"/>
      <c r="Y760" s="486"/>
      <c r="Z760" s="486"/>
    </row>
    <row r="761" spans="1:26" ht="15.75" customHeight="1">
      <c r="A761" s="486"/>
      <c r="B761" s="486"/>
      <c r="C761" s="486"/>
      <c r="D761" s="486"/>
      <c r="E761" s="486"/>
      <c r="F761" s="486"/>
      <c r="G761" s="486"/>
      <c r="H761" s="486"/>
      <c r="I761" s="486"/>
      <c r="J761" s="486"/>
      <c r="K761" s="486"/>
      <c r="L761" s="486"/>
      <c r="M761" s="486"/>
      <c r="N761" s="486"/>
      <c r="O761" s="486"/>
      <c r="P761" s="486"/>
      <c r="Q761" s="486"/>
      <c r="R761" s="486"/>
      <c r="S761" s="486"/>
      <c r="T761" s="486"/>
      <c r="U761" s="486"/>
      <c r="V761" s="486"/>
      <c r="W761" s="486"/>
      <c r="X761" s="486"/>
      <c r="Y761" s="486"/>
      <c r="Z761" s="486"/>
    </row>
    <row r="762" spans="1:26" ht="15.75" customHeight="1">
      <c r="A762" s="486"/>
      <c r="B762" s="486"/>
      <c r="C762" s="486"/>
      <c r="D762" s="486"/>
      <c r="E762" s="486"/>
      <c r="F762" s="486"/>
      <c r="G762" s="486"/>
      <c r="H762" s="486"/>
      <c r="I762" s="486"/>
      <c r="J762" s="486"/>
      <c r="K762" s="486"/>
      <c r="L762" s="486"/>
      <c r="M762" s="486"/>
      <c r="N762" s="486"/>
      <c r="O762" s="486"/>
      <c r="P762" s="486"/>
      <c r="Q762" s="486"/>
      <c r="R762" s="486"/>
      <c r="S762" s="486"/>
      <c r="T762" s="486"/>
      <c r="U762" s="486"/>
      <c r="V762" s="486"/>
      <c r="W762" s="486"/>
      <c r="X762" s="486"/>
      <c r="Y762" s="486"/>
      <c r="Z762" s="486"/>
    </row>
    <row r="763" spans="1:26" ht="15.75" customHeight="1">
      <c r="A763" s="486"/>
      <c r="B763" s="486"/>
      <c r="C763" s="486"/>
      <c r="D763" s="486"/>
      <c r="E763" s="486"/>
      <c r="F763" s="486"/>
      <c r="G763" s="486"/>
      <c r="H763" s="486"/>
      <c r="I763" s="486"/>
      <c r="J763" s="486"/>
      <c r="K763" s="486"/>
      <c r="L763" s="486"/>
      <c r="M763" s="486"/>
      <c r="N763" s="486"/>
      <c r="O763" s="486"/>
      <c r="P763" s="486"/>
      <c r="Q763" s="486"/>
      <c r="R763" s="486"/>
      <c r="S763" s="486"/>
      <c r="T763" s="486"/>
      <c r="U763" s="486"/>
      <c r="V763" s="486"/>
      <c r="W763" s="486"/>
      <c r="X763" s="486"/>
      <c r="Y763" s="486"/>
      <c r="Z763" s="486"/>
    </row>
    <row r="764" spans="1:26" ht="15.75" customHeight="1">
      <c r="A764" s="486"/>
      <c r="B764" s="486"/>
      <c r="C764" s="486"/>
      <c r="D764" s="486"/>
      <c r="E764" s="486"/>
      <c r="F764" s="486"/>
      <c r="G764" s="486"/>
      <c r="H764" s="486"/>
      <c r="I764" s="486"/>
      <c r="J764" s="486"/>
      <c r="K764" s="486"/>
      <c r="L764" s="486"/>
      <c r="M764" s="486"/>
      <c r="N764" s="486"/>
      <c r="O764" s="486"/>
      <c r="P764" s="486"/>
      <c r="Q764" s="486"/>
      <c r="R764" s="486"/>
      <c r="S764" s="486"/>
      <c r="T764" s="486"/>
      <c r="U764" s="486"/>
      <c r="V764" s="486"/>
      <c r="W764" s="486"/>
      <c r="X764" s="486"/>
      <c r="Y764" s="486"/>
      <c r="Z764" s="486"/>
    </row>
    <row r="765" spans="1:26" ht="15.75" customHeight="1">
      <c r="A765" s="486"/>
      <c r="B765" s="486"/>
      <c r="C765" s="486"/>
      <c r="D765" s="486"/>
      <c r="E765" s="486"/>
      <c r="F765" s="486"/>
      <c r="G765" s="486"/>
      <c r="H765" s="486"/>
      <c r="I765" s="486"/>
      <c r="J765" s="486"/>
      <c r="K765" s="486"/>
      <c r="L765" s="486"/>
      <c r="M765" s="486"/>
      <c r="N765" s="486"/>
      <c r="O765" s="486"/>
      <c r="P765" s="486"/>
      <c r="Q765" s="486"/>
      <c r="R765" s="486"/>
      <c r="S765" s="486"/>
      <c r="T765" s="486"/>
      <c r="U765" s="486"/>
      <c r="V765" s="486"/>
      <c r="W765" s="486"/>
      <c r="X765" s="486"/>
      <c r="Y765" s="486"/>
      <c r="Z765" s="486"/>
    </row>
    <row r="766" spans="1:26" ht="15.75" customHeight="1">
      <c r="A766" s="486"/>
      <c r="B766" s="486"/>
      <c r="C766" s="486"/>
      <c r="D766" s="486"/>
      <c r="E766" s="486"/>
      <c r="F766" s="486"/>
      <c r="G766" s="486"/>
      <c r="H766" s="486"/>
      <c r="I766" s="486"/>
      <c r="J766" s="486"/>
      <c r="K766" s="486"/>
      <c r="L766" s="486"/>
      <c r="M766" s="486"/>
      <c r="N766" s="486"/>
      <c r="O766" s="486"/>
      <c r="P766" s="486"/>
      <c r="Q766" s="486"/>
      <c r="R766" s="486"/>
      <c r="S766" s="486"/>
      <c r="T766" s="486"/>
      <c r="U766" s="486"/>
      <c r="V766" s="486"/>
      <c r="W766" s="486"/>
      <c r="X766" s="486"/>
      <c r="Y766" s="486"/>
      <c r="Z766" s="486"/>
    </row>
    <row r="767" spans="1:26" ht="15.75" customHeight="1">
      <c r="A767" s="486"/>
      <c r="B767" s="486"/>
      <c r="C767" s="486"/>
      <c r="D767" s="486"/>
      <c r="E767" s="486"/>
      <c r="F767" s="486"/>
      <c r="G767" s="486"/>
      <c r="H767" s="486"/>
      <c r="I767" s="486"/>
      <c r="J767" s="486"/>
      <c r="K767" s="486"/>
      <c r="L767" s="486"/>
      <c r="M767" s="486"/>
      <c r="N767" s="486"/>
      <c r="O767" s="486"/>
      <c r="P767" s="486"/>
      <c r="Q767" s="486"/>
      <c r="R767" s="486"/>
      <c r="S767" s="486"/>
      <c r="T767" s="486"/>
      <c r="U767" s="486"/>
      <c r="V767" s="486"/>
      <c r="W767" s="486"/>
      <c r="X767" s="486"/>
      <c r="Y767" s="486"/>
      <c r="Z767" s="486"/>
    </row>
    <row r="768" spans="1:26" ht="15.75" customHeight="1">
      <c r="A768" s="486"/>
      <c r="B768" s="486"/>
      <c r="C768" s="486"/>
      <c r="D768" s="486"/>
      <c r="E768" s="486"/>
      <c r="F768" s="486"/>
      <c r="G768" s="486"/>
      <c r="H768" s="486"/>
      <c r="I768" s="486"/>
      <c r="J768" s="486"/>
      <c r="K768" s="486"/>
      <c r="L768" s="486"/>
      <c r="M768" s="486"/>
      <c r="N768" s="486"/>
      <c r="O768" s="486"/>
      <c r="P768" s="486"/>
      <c r="Q768" s="486"/>
      <c r="R768" s="486"/>
      <c r="S768" s="486"/>
      <c r="T768" s="486"/>
      <c r="U768" s="486"/>
      <c r="V768" s="486"/>
      <c r="W768" s="486"/>
      <c r="X768" s="486"/>
      <c r="Y768" s="486"/>
      <c r="Z768" s="486"/>
    </row>
    <row r="769" spans="1:26" ht="15.75" customHeight="1">
      <c r="A769" s="486"/>
      <c r="B769" s="486"/>
      <c r="C769" s="486"/>
      <c r="D769" s="486"/>
      <c r="E769" s="486"/>
      <c r="F769" s="486"/>
      <c r="G769" s="486"/>
      <c r="H769" s="486"/>
      <c r="I769" s="486"/>
      <c r="J769" s="486"/>
      <c r="K769" s="486"/>
      <c r="L769" s="486"/>
      <c r="M769" s="486"/>
      <c r="N769" s="486"/>
      <c r="O769" s="486"/>
      <c r="P769" s="486"/>
      <c r="Q769" s="486"/>
      <c r="R769" s="486"/>
      <c r="S769" s="486"/>
      <c r="T769" s="486"/>
      <c r="U769" s="486"/>
      <c r="V769" s="486"/>
      <c r="W769" s="486"/>
      <c r="X769" s="486"/>
      <c r="Y769" s="486"/>
      <c r="Z769" s="486"/>
    </row>
    <row r="770" spans="1:26" ht="15.75" customHeight="1">
      <c r="A770" s="486"/>
      <c r="B770" s="486"/>
      <c r="C770" s="486"/>
      <c r="D770" s="486"/>
      <c r="E770" s="486"/>
      <c r="F770" s="486"/>
      <c r="G770" s="486"/>
      <c r="H770" s="486"/>
      <c r="I770" s="486"/>
      <c r="J770" s="486"/>
      <c r="K770" s="486"/>
      <c r="L770" s="486"/>
      <c r="M770" s="486"/>
      <c r="N770" s="486"/>
      <c r="O770" s="486"/>
      <c r="P770" s="486"/>
      <c r="Q770" s="486"/>
      <c r="R770" s="486"/>
      <c r="S770" s="486"/>
      <c r="T770" s="486"/>
      <c r="U770" s="486"/>
      <c r="V770" s="486"/>
      <c r="W770" s="486"/>
      <c r="X770" s="486"/>
      <c r="Y770" s="486"/>
      <c r="Z770" s="486"/>
    </row>
    <row r="771" spans="1:26" ht="15.75" customHeight="1">
      <c r="A771" s="486"/>
      <c r="B771" s="486"/>
      <c r="C771" s="486"/>
      <c r="D771" s="486"/>
      <c r="E771" s="486"/>
      <c r="F771" s="486"/>
      <c r="G771" s="486"/>
      <c r="H771" s="486"/>
      <c r="I771" s="486"/>
      <c r="J771" s="486"/>
      <c r="K771" s="486"/>
      <c r="L771" s="486"/>
      <c r="M771" s="486"/>
      <c r="N771" s="486"/>
      <c r="O771" s="486"/>
      <c r="P771" s="486"/>
      <c r="Q771" s="486"/>
      <c r="R771" s="486"/>
      <c r="S771" s="486"/>
      <c r="T771" s="486"/>
      <c r="U771" s="486"/>
      <c r="V771" s="486"/>
      <c r="W771" s="486"/>
      <c r="X771" s="486"/>
      <c r="Y771" s="486"/>
      <c r="Z771" s="486"/>
    </row>
    <row r="772" spans="1:26" ht="15.75" customHeight="1">
      <c r="A772" s="486"/>
      <c r="B772" s="486"/>
      <c r="C772" s="486"/>
      <c r="D772" s="486"/>
      <c r="E772" s="486"/>
      <c r="F772" s="486"/>
      <c r="G772" s="486"/>
      <c r="H772" s="486"/>
      <c r="I772" s="486"/>
      <c r="J772" s="486"/>
      <c r="K772" s="486"/>
      <c r="L772" s="486"/>
      <c r="M772" s="486"/>
      <c r="N772" s="486"/>
      <c r="O772" s="486"/>
      <c r="P772" s="486"/>
      <c r="Q772" s="486"/>
      <c r="R772" s="486"/>
      <c r="S772" s="486"/>
      <c r="T772" s="486"/>
      <c r="U772" s="486"/>
      <c r="V772" s="486"/>
      <c r="W772" s="486"/>
      <c r="X772" s="486"/>
      <c r="Y772" s="486"/>
      <c r="Z772" s="486"/>
    </row>
    <row r="773" spans="1:26" ht="15.75" customHeight="1">
      <c r="A773" s="486"/>
      <c r="B773" s="486"/>
      <c r="C773" s="486"/>
      <c r="D773" s="486"/>
      <c r="E773" s="486"/>
      <c r="F773" s="486"/>
      <c r="G773" s="486"/>
      <c r="H773" s="486"/>
      <c r="I773" s="486"/>
      <c r="J773" s="486"/>
      <c r="K773" s="486"/>
      <c r="L773" s="486"/>
      <c r="M773" s="486"/>
      <c r="N773" s="486"/>
      <c r="O773" s="486"/>
      <c r="P773" s="486"/>
      <c r="Q773" s="486"/>
      <c r="R773" s="486"/>
      <c r="S773" s="486"/>
      <c r="T773" s="486"/>
      <c r="U773" s="486"/>
      <c r="V773" s="486"/>
      <c r="W773" s="486"/>
      <c r="X773" s="486"/>
      <c r="Y773" s="486"/>
      <c r="Z773" s="486"/>
    </row>
    <row r="774" spans="1:26" ht="15.75" customHeight="1">
      <c r="A774" s="486"/>
      <c r="B774" s="486"/>
      <c r="C774" s="486"/>
      <c r="D774" s="486"/>
      <c r="E774" s="486"/>
      <c r="F774" s="486"/>
      <c r="G774" s="486"/>
      <c r="H774" s="486"/>
      <c r="I774" s="486"/>
      <c r="J774" s="486"/>
      <c r="K774" s="486"/>
      <c r="L774" s="486"/>
      <c r="M774" s="486"/>
      <c r="N774" s="486"/>
      <c r="O774" s="486"/>
      <c r="P774" s="486"/>
      <c r="Q774" s="486"/>
      <c r="R774" s="486"/>
      <c r="S774" s="486"/>
      <c r="T774" s="486"/>
      <c r="U774" s="486"/>
      <c r="V774" s="486"/>
      <c r="W774" s="486"/>
      <c r="X774" s="486"/>
      <c r="Y774" s="486"/>
      <c r="Z774" s="486"/>
    </row>
    <row r="775" spans="1:26" ht="15.75" customHeight="1">
      <c r="A775" s="486"/>
      <c r="B775" s="486"/>
      <c r="C775" s="486"/>
      <c r="D775" s="486"/>
      <c r="E775" s="486"/>
      <c r="F775" s="486"/>
      <c r="G775" s="486"/>
      <c r="H775" s="486"/>
      <c r="I775" s="486"/>
      <c r="J775" s="486"/>
      <c r="K775" s="486"/>
      <c r="L775" s="486"/>
      <c r="M775" s="486"/>
      <c r="N775" s="486"/>
      <c r="O775" s="486"/>
      <c r="P775" s="486"/>
      <c r="Q775" s="486"/>
      <c r="R775" s="486"/>
      <c r="S775" s="486"/>
      <c r="T775" s="486"/>
      <c r="U775" s="486"/>
      <c r="V775" s="486"/>
      <c r="W775" s="486"/>
      <c r="X775" s="486"/>
      <c r="Y775" s="486"/>
      <c r="Z775" s="486"/>
    </row>
    <row r="776" spans="1:26" ht="15.75" customHeight="1">
      <c r="A776" s="486"/>
      <c r="B776" s="486"/>
      <c r="C776" s="486"/>
      <c r="D776" s="486"/>
      <c r="E776" s="486"/>
      <c r="F776" s="486"/>
      <c r="G776" s="486"/>
      <c r="H776" s="486"/>
      <c r="I776" s="486"/>
      <c r="J776" s="486"/>
      <c r="K776" s="486"/>
      <c r="L776" s="486"/>
      <c r="M776" s="486"/>
      <c r="N776" s="486"/>
      <c r="O776" s="486"/>
      <c r="P776" s="486"/>
      <c r="Q776" s="486"/>
      <c r="R776" s="486"/>
      <c r="S776" s="486"/>
      <c r="T776" s="486"/>
      <c r="U776" s="486"/>
      <c r="V776" s="486"/>
      <c r="W776" s="486"/>
      <c r="X776" s="486"/>
      <c r="Y776" s="486"/>
      <c r="Z776" s="486"/>
    </row>
    <row r="777" spans="1:26" ht="15.75" customHeight="1">
      <c r="A777" s="486"/>
      <c r="B777" s="486"/>
      <c r="C777" s="486"/>
      <c r="D777" s="486"/>
      <c r="E777" s="486"/>
      <c r="F777" s="486"/>
      <c r="G777" s="486"/>
      <c r="H777" s="486"/>
      <c r="I777" s="486"/>
      <c r="J777" s="486"/>
      <c r="K777" s="486"/>
      <c r="L777" s="486"/>
      <c r="M777" s="486"/>
      <c r="N777" s="486"/>
      <c r="O777" s="486"/>
      <c r="P777" s="486"/>
      <c r="Q777" s="486"/>
      <c r="R777" s="486"/>
      <c r="S777" s="486"/>
      <c r="T777" s="486"/>
      <c r="U777" s="486"/>
      <c r="V777" s="486"/>
      <c r="W777" s="486"/>
      <c r="X777" s="486"/>
      <c r="Y777" s="486"/>
      <c r="Z777" s="486"/>
    </row>
    <row r="778" spans="1:26" ht="15.75" customHeight="1">
      <c r="A778" s="486"/>
      <c r="B778" s="486"/>
      <c r="C778" s="486"/>
      <c r="D778" s="486"/>
      <c r="E778" s="486"/>
      <c r="F778" s="486"/>
      <c r="G778" s="486"/>
      <c r="H778" s="486"/>
      <c r="I778" s="486"/>
      <c r="J778" s="486"/>
      <c r="K778" s="486"/>
      <c r="L778" s="486"/>
      <c r="M778" s="486"/>
      <c r="N778" s="486"/>
      <c r="O778" s="486"/>
      <c r="P778" s="486"/>
      <c r="Q778" s="486"/>
      <c r="R778" s="486"/>
      <c r="S778" s="486"/>
      <c r="T778" s="486"/>
      <c r="U778" s="486"/>
      <c r="V778" s="486"/>
      <c r="W778" s="486"/>
      <c r="X778" s="486"/>
      <c r="Y778" s="486"/>
      <c r="Z778" s="486"/>
    </row>
    <row r="779" spans="1:26" ht="15.75" customHeight="1">
      <c r="A779" s="486"/>
      <c r="B779" s="486"/>
      <c r="C779" s="486"/>
      <c r="D779" s="486"/>
      <c r="E779" s="486"/>
      <c r="F779" s="486"/>
      <c r="G779" s="486"/>
      <c r="H779" s="486"/>
      <c r="I779" s="486"/>
      <c r="J779" s="486"/>
      <c r="K779" s="486"/>
      <c r="L779" s="486"/>
      <c r="M779" s="486"/>
      <c r="N779" s="486"/>
      <c r="O779" s="486"/>
      <c r="P779" s="486"/>
      <c r="Q779" s="486"/>
      <c r="R779" s="486"/>
      <c r="S779" s="486"/>
      <c r="T779" s="486"/>
      <c r="U779" s="486"/>
      <c r="V779" s="486"/>
      <c r="W779" s="486"/>
      <c r="X779" s="486"/>
      <c r="Y779" s="486"/>
      <c r="Z779" s="486"/>
    </row>
    <row r="780" spans="1:26" ht="15.75" customHeight="1">
      <c r="A780" s="486"/>
      <c r="B780" s="486"/>
      <c r="C780" s="486"/>
      <c r="D780" s="486"/>
      <c r="E780" s="486"/>
      <c r="F780" s="486"/>
      <c r="G780" s="486"/>
      <c r="H780" s="486"/>
      <c r="I780" s="486"/>
      <c r="J780" s="486"/>
      <c r="K780" s="486"/>
      <c r="L780" s="486"/>
      <c r="M780" s="486"/>
      <c r="N780" s="486"/>
      <c r="O780" s="486"/>
      <c r="P780" s="486"/>
      <c r="Q780" s="486"/>
      <c r="R780" s="486"/>
      <c r="S780" s="486"/>
      <c r="T780" s="486"/>
      <c r="U780" s="486"/>
      <c r="V780" s="486"/>
      <c r="W780" s="486"/>
      <c r="X780" s="486"/>
      <c r="Y780" s="486"/>
      <c r="Z780" s="486"/>
    </row>
    <row r="781" spans="1:26" ht="15.75" customHeight="1">
      <c r="A781" s="486"/>
      <c r="B781" s="486"/>
      <c r="C781" s="486"/>
      <c r="D781" s="486"/>
      <c r="E781" s="486"/>
      <c r="F781" s="486"/>
      <c r="G781" s="486"/>
      <c r="H781" s="486"/>
      <c r="I781" s="486"/>
      <c r="J781" s="486"/>
      <c r="K781" s="486"/>
      <c r="L781" s="486"/>
      <c r="M781" s="486"/>
      <c r="N781" s="486"/>
      <c r="O781" s="486"/>
      <c r="P781" s="486"/>
      <c r="Q781" s="486"/>
      <c r="R781" s="486"/>
      <c r="S781" s="486"/>
      <c r="T781" s="486"/>
      <c r="U781" s="486"/>
      <c r="V781" s="486"/>
      <c r="W781" s="486"/>
      <c r="X781" s="486"/>
      <c r="Y781" s="486"/>
      <c r="Z781" s="486"/>
    </row>
    <row r="782" spans="1:26" ht="15.75" customHeight="1">
      <c r="A782" s="486"/>
      <c r="B782" s="486"/>
      <c r="C782" s="486"/>
      <c r="D782" s="486"/>
      <c r="E782" s="486"/>
      <c r="F782" s="486"/>
      <c r="G782" s="486"/>
      <c r="H782" s="486"/>
      <c r="I782" s="486"/>
      <c r="J782" s="486"/>
      <c r="K782" s="486"/>
      <c r="L782" s="486"/>
      <c r="M782" s="486"/>
      <c r="N782" s="486"/>
      <c r="O782" s="486"/>
      <c r="P782" s="486"/>
      <c r="Q782" s="486"/>
      <c r="R782" s="486"/>
      <c r="S782" s="486"/>
      <c r="T782" s="486"/>
      <c r="U782" s="486"/>
      <c r="V782" s="486"/>
      <c r="W782" s="486"/>
      <c r="X782" s="486"/>
      <c r="Y782" s="486"/>
      <c r="Z782" s="486"/>
    </row>
    <row r="783" spans="1:26" ht="15.75" customHeight="1">
      <c r="A783" s="486"/>
      <c r="B783" s="486"/>
      <c r="C783" s="486"/>
      <c r="D783" s="486"/>
      <c r="E783" s="486"/>
      <c r="F783" s="486"/>
      <c r="G783" s="486"/>
      <c r="H783" s="486"/>
      <c r="I783" s="486"/>
      <c r="J783" s="486"/>
      <c r="K783" s="486"/>
      <c r="L783" s="486"/>
      <c r="M783" s="486"/>
      <c r="N783" s="486"/>
      <c r="O783" s="486"/>
      <c r="P783" s="486"/>
      <c r="Q783" s="486"/>
      <c r="R783" s="486"/>
      <c r="S783" s="486"/>
      <c r="T783" s="486"/>
      <c r="U783" s="486"/>
      <c r="V783" s="486"/>
      <c r="W783" s="486"/>
      <c r="X783" s="486"/>
      <c r="Y783" s="486"/>
      <c r="Z783" s="486"/>
    </row>
    <row r="784" spans="1:26" ht="15.75" customHeight="1">
      <c r="A784" s="486"/>
      <c r="B784" s="486"/>
      <c r="C784" s="486"/>
      <c r="D784" s="486"/>
      <c r="E784" s="486"/>
      <c r="F784" s="486"/>
      <c r="G784" s="486"/>
      <c r="H784" s="486"/>
      <c r="I784" s="486"/>
      <c r="J784" s="486"/>
      <c r="K784" s="486"/>
      <c r="L784" s="486"/>
      <c r="M784" s="486"/>
      <c r="N784" s="486"/>
      <c r="O784" s="486"/>
      <c r="P784" s="486"/>
      <c r="Q784" s="486"/>
      <c r="R784" s="486"/>
      <c r="S784" s="486"/>
      <c r="T784" s="486"/>
      <c r="U784" s="486"/>
      <c r="V784" s="486"/>
      <c r="W784" s="486"/>
      <c r="X784" s="486"/>
      <c r="Y784" s="486"/>
      <c r="Z784" s="486"/>
    </row>
    <row r="785" spans="1:26" ht="15.75" customHeight="1">
      <c r="A785" s="486"/>
      <c r="B785" s="486"/>
      <c r="C785" s="486"/>
      <c r="D785" s="486"/>
      <c r="E785" s="486"/>
      <c r="F785" s="486"/>
      <c r="G785" s="486"/>
      <c r="H785" s="486"/>
      <c r="I785" s="486"/>
      <c r="J785" s="486"/>
      <c r="K785" s="486"/>
      <c r="L785" s="486"/>
      <c r="M785" s="486"/>
      <c r="N785" s="486"/>
      <c r="O785" s="486"/>
      <c r="P785" s="486"/>
      <c r="Q785" s="486"/>
      <c r="R785" s="486"/>
      <c r="S785" s="486"/>
      <c r="T785" s="486"/>
      <c r="U785" s="486"/>
      <c r="V785" s="486"/>
      <c r="W785" s="486"/>
      <c r="X785" s="486"/>
      <c r="Y785" s="486"/>
      <c r="Z785" s="486"/>
    </row>
    <row r="786" spans="1:26" ht="15.75" customHeight="1">
      <c r="A786" s="486"/>
      <c r="B786" s="486"/>
      <c r="C786" s="486"/>
      <c r="D786" s="486"/>
      <c r="E786" s="486"/>
      <c r="F786" s="486"/>
      <c r="G786" s="486"/>
      <c r="H786" s="486"/>
      <c r="I786" s="486"/>
      <c r="J786" s="486"/>
      <c r="K786" s="486"/>
      <c r="L786" s="486"/>
      <c r="M786" s="486"/>
      <c r="N786" s="486"/>
      <c r="O786" s="486"/>
      <c r="P786" s="486"/>
      <c r="Q786" s="486"/>
      <c r="R786" s="486"/>
      <c r="S786" s="486"/>
      <c r="T786" s="486"/>
      <c r="U786" s="486"/>
      <c r="V786" s="486"/>
      <c r="W786" s="486"/>
      <c r="X786" s="486"/>
      <c r="Y786" s="486"/>
      <c r="Z786" s="486"/>
    </row>
    <row r="787" spans="1:26" ht="15.75" customHeight="1">
      <c r="A787" s="486"/>
      <c r="B787" s="486"/>
      <c r="C787" s="486"/>
      <c r="D787" s="486"/>
      <c r="E787" s="486"/>
      <c r="F787" s="486"/>
      <c r="G787" s="486"/>
      <c r="H787" s="486"/>
      <c r="I787" s="486"/>
      <c r="J787" s="486"/>
      <c r="K787" s="486"/>
      <c r="L787" s="486"/>
      <c r="M787" s="486"/>
      <c r="N787" s="486"/>
      <c r="O787" s="486"/>
      <c r="P787" s="486"/>
      <c r="Q787" s="486"/>
      <c r="R787" s="486"/>
      <c r="S787" s="486"/>
      <c r="T787" s="486"/>
      <c r="U787" s="486"/>
      <c r="V787" s="486"/>
      <c r="W787" s="486"/>
      <c r="X787" s="486"/>
      <c r="Y787" s="486"/>
      <c r="Z787" s="486"/>
    </row>
    <row r="788" spans="1:26" ht="15.75" customHeight="1">
      <c r="A788" s="486"/>
      <c r="B788" s="486"/>
      <c r="C788" s="486"/>
      <c r="D788" s="486"/>
      <c r="E788" s="486"/>
      <c r="F788" s="486"/>
      <c r="G788" s="486"/>
      <c r="H788" s="486"/>
      <c r="I788" s="486"/>
      <c r="J788" s="486"/>
      <c r="K788" s="486"/>
      <c r="L788" s="486"/>
      <c r="M788" s="486"/>
      <c r="N788" s="486"/>
      <c r="O788" s="486"/>
      <c r="P788" s="486"/>
      <c r="Q788" s="486"/>
      <c r="R788" s="486"/>
      <c r="S788" s="486"/>
      <c r="T788" s="486"/>
      <c r="U788" s="486"/>
      <c r="V788" s="486"/>
      <c r="W788" s="486"/>
      <c r="X788" s="486"/>
      <c r="Y788" s="486"/>
      <c r="Z788" s="486"/>
    </row>
    <row r="789" spans="1:26" ht="15.75" customHeight="1">
      <c r="A789" s="486"/>
      <c r="B789" s="486"/>
      <c r="C789" s="486"/>
      <c r="D789" s="486"/>
      <c r="E789" s="486"/>
      <c r="F789" s="486"/>
      <c r="G789" s="486"/>
      <c r="H789" s="486"/>
      <c r="I789" s="486"/>
      <c r="J789" s="486"/>
      <c r="K789" s="486"/>
      <c r="L789" s="486"/>
      <c r="M789" s="486"/>
      <c r="N789" s="486"/>
      <c r="O789" s="486"/>
      <c r="P789" s="486"/>
      <c r="Q789" s="486"/>
      <c r="R789" s="486"/>
      <c r="S789" s="486"/>
      <c r="T789" s="486"/>
      <c r="U789" s="486"/>
      <c r="V789" s="486"/>
      <c r="W789" s="486"/>
      <c r="X789" s="486"/>
      <c r="Y789" s="486"/>
      <c r="Z789" s="486"/>
    </row>
    <row r="790" spans="1:26" ht="15.75" customHeight="1">
      <c r="A790" s="486"/>
      <c r="B790" s="486"/>
      <c r="C790" s="486"/>
      <c r="D790" s="486"/>
      <c r="E790" s="486"/>
      <c r="F790" s="486"/>
      <c r="G790" s="486"/>
      <c r="H790" s="486"/>
      <c r="I790" s="486"/>
      <c r="J790" s="486"/>
      <c r="K790" s="486"/>
      <c r="L790" s="486"/>
      <c r="M790" s="486"/>
      <c r="N790" s="486"/>
      <c r="O790" s="486"/>
      <c r="P790" s="486"/>
      <c r="Q790" s="486"/>
      <c r="R790" s="486"/>
      <c r="S790" s="486"/>
      <c r="T790" s="486"/>
      <c r="U790" s="486"/>
      <c r="V790" s="486"/>
      <c r="W790" s="486"/>
      <c r="X790" s="486"/>
      <c r="Y790" s="486"/>
      <c r="Z790" s="486"/>
    </row>
    <row r="791" spans="1:26" ht="15.75" customHeight="1">
      <c r="A791" s="486"/>
      <c r="B791" s="486"/>
      <c r="C791" s="486"/>
      <c r="D791" s="486"/>
      <c r="E791" s="486"/>
      <c r="F791" s="486"/>
      <c r="G791" s="486"/>
      <c r="H791" s="486"/>
      <c r="I791" s="486"/>
      <c r="J791" s="486"/>
      <c r="K791" s="486"/>
      <c r="L791" s="486"/>
      <c r="M791" s="486"/>
      <c r="N791" s="486"/>
      <c r="O791" s="486"/>
      <c r="P791" s="486"/>
      <c r="Q791" s="486"/>
      <c r="R791" s="486"/>
      <c r="S791" s="486"/>
      <c r="T791" s="486"/>
      <c r="U791" s="486"/>
      <c r="V791" s="486"/>
      <c r="W791" s="486"/>
      <c r="X791" s="486"/>
      <c r="Y791" s="486"/>
      <c r="Z791" s="486"/>
    </row>
    <row r="792" spans="1:26" ht="15.75" customHeight="1">
      <c r="A792" s="486"/>
      <c r="B792" s="486"/>
      <c r="C792" s="486"/>
      <c r="D792" s="486"/>
      <c r="E792" s="486"/>
      <c r="F792" s="486"/>
      <c r="G792" s="486"/>
      <c r="H792" s="486"/>
      <c r="I792" s="486"/>
      <c r="J792" s="486"/>
      <c r="K792" s="486"/>
      <c r="L792" s="486"/>
      <c r="M792" s="486"/>
      <c r="N792" s="486"/>
      <c r="O792" s="486"/>
      <c r="P792" s="486"/>
      <c r="Q792" s="486"/>
      <c r="R792" s="486"/>
      <c r="S792" s="486"/>
      <c r="T792" s="486"/>
      <c r="U792" s="486"/>
      <c r="V792" s="486"/>
      <c r="W792" s="486"/>
      <c r="X792" s="486"/>
      <c r="Y792" s="486"/>
      <c r="Z792" s="486"/>
    </row>
    <row r="793" spans="1:26" ht="15.75" customHeight="1">
      <c r="A793" s="486"/>
      <c r="B793" s="486"/>
      <c r="C793" s="486"/>
      <c r="D793" s="486"/>
      <c r="E793" s="486"/>
      <c r="F793" s="486"/>
      <c r="G793" s="486"/>
      <c r="H793" s="486"/>
      <c r="I793" s="486"/>
      <c r="J793" s="486"/>
      <c r="K793" s="486"/>
      <c r="L793" s="486"/>
      <c r="M793" s="486"/>
      <c r="N793" s="486"/>
      <c r="O793" s="486"/>
      <c r="P793" s="486"/>
      <c r="Q793" s="486"/>
      <c r="R793" s="486"/>
      <c r="S793" s="486"/>
      <c r="T793" s="486"/>
      <c r="U793" s="486"/>
      <c r="V793" s="486"/>
      <c r="W793" s="486"/>
      <c r="X793" s="486"/>
      <c r="Y793" s="486"/>
      <c r="Z793" s="486"/>
    </row>
    <row r="794" spans="1:26" ht="15.75" customHeight="1">
      <c r="A794" s="486"/>
      <c r="B794" s="486"/>
      <c r="C794" s="486"/>
      <c r="D794" s="486"/>
      <c r="E794" s="486"/>
      <c r="F794" s="486"/>
      <c r="G794" s="486"/>
      <c r="H794" s="486"/>
      <c r="I794" s="486"/>
      <c r="J794" s="486"/>
      <c r="K794" s="486"/>
      <c r="L794" s="486"/>
      <c r="M794" s="486"/>
      <c r="N794" s="486"/>
      <c r="O794" s="486"/>
      <c r="P794" s="486"/>
      <c r="Q794" s="486"/>
      <c r="R794" s="486"/>
      <c r="S794" s="486"/>
      <c r="T794" s="486"/>
      <c r="U794" s="486"/>
      <c r="V794" s="486"/>
      <c r="W794" s="486"/>
      <c r="X794" s="486"/>
      <c r="Y794" s="486"/>
      <c r="Z794" s="486"/>
    </row>
    <row r="795" spans="1:26" ht="15.75" customHeight="1">
      <c r="A795" s="486"/>
      <c r="B795" s="486"/>
      <c r="C795" s="486"/>
      <c r="D795" s="486"/>
      <c r="E795" s="486"/>
      <c r="F795" s="486"/>
      <c r="G795" s="486"/>
      <c r="H795" s="486"/>
      <c r="I795" s="486"/>
      <c r="J795" s="486"/>
      <c r="K795" s="486"/>
      <c r="L795" s="486"/>
      <c r="M795" s="486"/>
      <c r="N795" s="486"/>
      <c r="O795" s="486"/>
      <c r="P795" s="486"/>
      <c r="Q795" s="486"/>
      <c r="R795" s="486"/>
      <c r="S795" s="486"/>
      <c r="T795" s="486"/>
      <c r="U795" s="486"/>
      <c r="V795" s="486"/>
      <c r="W795" s="486"/>
      <c r="X795" s="486"/>
      <c r="Y795" s="486"/>
      <c r="Z795" s="486"/>
    </row>
    <row r="796" spans="1:26" ht="15.75" customHeight="1">
      <c r="A796" s="486"/>
      <c r="B796" s="486"/>
      <c r="C796" s="486"/>
      <c r="D796" s="486"/>
      <c r="E796" s="486"/>
      <c r="F796" s="486"/>
      <c r="G796" s="486"/>
      <c r="H796" s="486"/>
      <c r="I796" s="486"/>
      <c r="J796" s="486"/>
      <c r="K796" s="486"/>
      <c r="L796" s="486"/>
      <c r="M796" s="486"/>
      <c r="N796" s="486"/>
      <c r="O796" s="486"/>
      <c r="P796" s="486"/>
      <c r="Q796" s="486"/>
      <c r="R796" s="486"/>
      <c r="S796" s="486"/>
      <c r="T796" s="486"/>
      <c r="U796" s="486"/>
      <c r="V796" s="486"/>
      <c r="W796" s="486"/>
      <c r="X796" s="486"/>
      <c r="Y796" s="486"/>
      <c r="Z796" s="486"/>
    </row>
    <row r="797" spans="1:26" ht="15.75" customHeight="1">
      <c r="A797" s="486"/>
      <c r="B797" s="486"/>
      <c r="C797" s="486"/>
      <c r="D797" s="486"/>
      <c r="E797" s="486"/>
      <c r="F797" s="486"/>
      <c r="G797" s="486"/>
      <c r="H797" s="486"/>
      <c r="I797" s="486"/>
      <c r="J797" s="486"/>
      <c r="K797" s="486"/>
      <c r="L797" s="486"/>
      <c r="M797" s="486"/>
      <c r="N797" s="486"/>
      <c r="O797" s="486"/>
      <c r="P797" s="486"/>
      <c r="Q797" s="486"/>
      <c r="R797" s="486"/>
      <c r="S797" s="486"/>
      <c r="T797" s="486"/>
      <c r="U797" s="486"/>
      <c r="V797" s="486"/>
      <c r="W797" s="486"/>
      <c r="X797" s="486"/>
      <c r="Y797" s="486"/>
      <c r="Z797" s="486"/>
    </row>
    <row r="798" spans="1:26" ht="15.75" customHeight="1">
      <c r="A798" s="486"/>
      <c r="B798" s="486"/>
      <c r="C798" s="486"/>
      <c r="D798" s="486"/>
      <c r="E798" s="486"/>
      <c r="F798" s="486"/>
      <c r="G798" s="486"/>
      <c r="H798" s="486"/>
      <c r="I798" s="486"/>
      <c r="J798" s="486"/>
      <c r="K798" s="486"/>
      <c r="L798" s="486"/>
      <c r="M798" s="486"/>
      <c r="N798" s="486"/>
      <c r="O798" s="486"/>
      <c r="P798" s="486"/>
      <c r="Q798" s="486"/>
      <c r="R798" s="486"/>
      <c r="S798" s="486"/>
      <c r="T798" s="486"/>
      <c r="U798" s="486"/>
      <c r="V798" s="486"/>
      <c r="W798" s="486"/>
      <c r="X798" s="486"/>
      <c r="Y798" s="486"/>
      <c r="Z798" s="486"/>
    </row>
    <row r="799" spans="1:26" ht="15.75" customHeight="1">
      <c r="A799" s="486"/>
      <c r="B799" s="486"/>
      <c r="C799" s="486"/>
      <c r="D799" s="486"/>
      <c r="E799" s="486"/>
      <c r="F799" s="486"/>
      <c r="G799" s="486"/>
      <c r="H799" s="486"/>
      <c r="I799" s="486"/>
      <c r="J799" s="486"/>
      <c r="K799" s="486"/>
      <c r="L799" s="486"/>
      <c r="M799" s="486"/>
      <c r="N799" s="486"/>
      <c r="O799" s="486"/>
      <c r="P799" s="486"/>
      <c r="Q799" s="486"/>
      <c r="R799" s="486"/>
      <c r="S799" s="486"/>
      <c r="T799" s="486"/>
      <c r="U799" s="486"/>
      <c r="V799" s="486"/>
      <c r="W799" s="486"/>
      <c r="X799" s="486"/>
      <c r="Y799" s="486"/>
      <c r="Z799" s="486"/>
    </row>
    <row r="800" spans="1:26" ht="15.75" customHeight="1">
      <c r="A800" s="486"/>
      <c r="B800" s="486"/>
      <c r="C800" s="486"/>
      <c r="D800" s="486"/>
      <c r="E800" s="486"/>
      <c r="F800" s="486"/>
      <c r="G800" s="486"/>
      <c r="H800" s="486"/>
      <c r="I800" s="486"/>
      <c r="J800" s="486"/>
      <c r="K800" s="486"/>
      <c r="L800" s="486"/>
      <c r="M800" s="486"/>
      <c r="N800" s="486"/>
      <c r="O800" s="486"/>
      <c r="P800" s="486"/>
      <c r="Q800" s="486"/>
      <c r="R800" s="486"/>
      <c r="S800" s="486"/>
      <c r="T800" s="486"/>
      <c r="U800" s="486"/>
      <c r="V800" s="486"/>
      <c r="W800" s="486"/>
      <c r="X800" s="486"/>
      <c r="Y800" s="486"/>
      <c r="Z800" s="486"/>
    </row>
    <row r="801" spans="1:26" ht="15.75" customHeight="1">
      <c r="A801" s="486"/>
      <c r="B801" s="486"/>
      <c r="C801" s="486"/>
      <c r="D801" s="486"/>
      <c r="E801" s="486"/>
      <c r="F801" s="486"/>
      <c r="G801" s="486"/>
      <c r="H801" s="486"/>
      <c r="I801" s="486"/>
      <c r="J801" s="486"/>
      <c r="K801" s="486"/>
      <c r="L801" s="486"/>
      <c r="M801" s="486"/>
      <c r="N801" s="486"/>
      <c r="O801" s="486"/>
      <c r="P801" s="486"/>
      <c r="Q801" s="486"/>
      <c r="R801" s="486"/>
      <c r="S801" s="486"/>
      <c r="T801" s="486"/>
      <c r="U801" s="486"/>
      <c r="V801" s="486"/>
      <c r="W801" s="486"/>
      <c r="X801" s="486"/>
      <c r="Y801" s="486"/>
      <c r="Z801" s="486"/>
    </row>
    <row r="802" spans="1:26" ht="15.75" customHeight="1">
      <c r="A802" s="486"/>
      <c r="B802" s="486"/>
      <c r="C802" s="486"/>
      <c r="D802" s="486"/>
      <c r="E802" s="486"/>
      <c r="F802" s="486"/>
      <c r="G802" s="486"/>
      <c r="H802" s="486"/>
      <c r="I802" s="486"/>
      <c r="J802" s="486"/>
      <c r="K802" s="486"/>
      <c r="L802" s="486"/>
      <c r="M802" s="486"/>
      <c r="N802" s="486"/>
      <c r="O802" s="486"/>
      <c r="P802" s="486"/>
      <c r="Q802" s="486"/>
      <c r="R802" s="486"/>
      <c r="S802" s="486"/>
      <c r="T802" s="486"/>
      <c r="U802" s="486"/>
      <c r="V802" s="486"/>
      <c r="W802" s="486"/>
      <c r="X802" s="486"/>
      <c r="Y802" s="486"/>
      <c r="Z802" s="486"/>
    </row>
    <row r="803" spans="1:26" ht="15.75" customHeight="1">
      <c r="A803" s="486"/>
      <c r="B803" s="486"/>
      <c r="C803" s="486"/>
      <c r="D803" s="486"/>
      <c r="E803" s="486"/>
      <c r="F803" s="486"/>
      <c r="G803" s="486"/>
      <c r="H803" s="486"/>
      <c r="I803" s="486"/>
      <c r="J803" s="486"/>
      <c r="K803" s="486"/>
      <c r="L803" s="486"/>
      <c r="M803" s="486"/>
      <c r="N803" s="486"/>
      <c r="O803" s="486"/>
      <c r="P803" s="486"/>
      <c r="Q803" s="486"/>
      <c r="R803" s="486"/>
      <c r="S803" s="486"/>
      <c r="T803" s="486"/>
      <c r="U803" s="486"/>
      <c r="V803" s="486"/>
      <c r="W803" s="486"/>
      <c r="X803" s="486"/>
      <c r="Y803" s="486"/>
      <c r="Z803" s="486"/>
    </row>
    <row r="804" spans="1:26" ht="15.75" customHeight="1">
      <c r="A804" s="486"/>
      <c r="B804" s="486"/>
      <c r="C804" s="486"/>
      <c r="D804" s="486"/>
      <c r="E804" s="486"/>
      <c r="F804" s="486"/>
      <c r="G804" s="486"/>
      <c r="H804" s="486"/>
      <c r="I804" s="486"/>
      <c r="J804" s="486"/>
      <c r="K804" s="486"/>
      <c r="L804" s="486"/>
      <c r="M804" s="486"/>
      <c r="N804" s="486"/>
      <c r="O804" s="486"/>
      <c r="P804" s="486"/>
      <c r="Q804" s="486"/>
      <c r="R804" s="486"/>
      <c r="S804" s="486"/>
      <c r="T804" s="486"/>
      <c r="U804" s="486"/>
      <c r="V804" s="486"/>
      <c r="W804" s="486"/>
      <c r="X804" s="486"/>
      <c r="Y804" s="486"/>
      <c r="Z804" s="486"/>
    </row>
    <row r="805" spans="1:26" ht="15.75" customHeight="1">
      <c r="A805" s="486"/>
      <c r="B805" s="486"/>
      <c r="C805" s="486"/>
      <c r="D805" s="486"/>
      <c r="E805" s="486"/>
      <c r="F805" s="486"/>
      <c r="G805" s="486"/>
      <c r="H805" s="486"/>
      <c r="I805" s="486"/>
      <c r="J805" s="486"/>
      <c r="K805" s="486"/>
      <c r="L805" s="486"/>
      <c r="M805" s="486"/>
      <c r="N805" s="486"/>
      <c r="O805" s="486"/>
      <c r="P805" s="486"/>
      <c r="Q805" s="486"/>
      <c r="R805" s="486"/>
      <c r="S805" s="486"/>
      <c r="T805" s="486"/>
      <c r="U805" s="486"/>
      <c r="V805" s="486"/>
      <c r="W805" s="486"/>
      <c r="X805" s="486"/>
      <c r="Y805" s="486"/>
      <c r="Z805" s="486"/>
    </row>
    <row r="806" spans="1:26" ht="15.75" customHeight="1">
      <c r="A806" s="486"/>
      <c r="B806" s="486"/>
      <c r="C806" s="486"/>
      <c r="D806" s="486"/>
      <c r="E806" s="486"/>
      <c r="F806" s="486"/>
      <c r="G806" s="486"/>
      <c r="H806" s="486"/>
      <c r="I806" s="486"/>
      <c r="J806" s="486"/>
      <c r="K806" s="486"/>
      <c r="L806" s="486"/>
      <c r="M806" s="486"/>
      <c r="N806" s="486"/>
      <c r="O806" s="486"/>
      <c r="P806" s="486"/>
      <c r="Q806" s="486"/>
      <c r="R806" s="486"/>
      <c r="S806" s="486"/>
      <c r="T806" s="486"/>
      <c r="U806" s="486"/>
      <c r="V806" s="486"/>
      <c r="W806" s="486"/>
      <c r="X806" s="486"/>
      <c r="Y806" s="486"/>
      <c r="Z806" s="486"/>
    </row>
    <row r="807" spans="1:26" ht="15.75" customHeight="1">
      <c r="A807" s="486"/>
      <c r="B807" s="486"/>
      <c r="C807" s="486"/>
      <c r="D807" s="486"/>
      <c r="E807" s="486"/>
      <c r="F807" s="486"/>
      <c r="G807" s="486"/>
      <c r="H807" s="486"/>
      <c r="I807" s="486"/>
      <c r="J807" s="486"/>
      <c r="K807" s="486"/>
      <c r="L807" s="486"/>
      <c r="M807" s="486"/>
      <c r="N807" s="486"/>
      <c r="O807" s="486"/>
      <c r="P807" s="486"/>
      <c r="Q807" s="486"/>
      <c r="R807" s="486"/>
      <c r="S807" s="486"/>
      <c r="T807" s="486"/>
      <c r="U807" s="486"/>
      <c r="V807" s="486"/>
      <c r="W807" s="486"/>
      <c r="X807" s="486"/>
      <c r="Y807" s="486"/>
      <c r="Z807" s="486"/>
    </row>
    <row r="808" spans="1:26" ht="15.75" customHeight="1">
      <c r="A808" s="486"/>
      <c r="B808" s="486"/>
      <c r="C808" s="486"/>
      <c r="D808" s="486"/>
      <c r="E808" s="486"/>
      <c r="F808" s="486"/>
      <c r="G808" s="486"/>
      <c r="H808" s="486"/>
      <c r="I808" s="486"/>
      <c r="J808" s="486"/>
      <c r="K808" s="486"/>
      <c r="L808" s="486"/>
      <c r="M808" s="486"/>
      <c r="N808" s="486"/>
      <c r="O808" s="486"/>
      <c r="P808" s="486"/>
      <c r="Q808" s="486"/>
      <c r="R808" s="486"/>
      <c r="S808" s="486"/>
      <c r="T808" s="486"/>
      <c r="U808" s="486"/>
      <c r="V808" s="486"/>
      <c r="W808" s="486"/>
      <c r="X808" s="486"/>
      <c r="Y808" s="486"/>
      <c r="Z808" s="486"/>
    </row>
    <row r="809" spans="1:26" ht="15.75" customHeight="1">
      <c r="A809" s="486"/>
      <c r="B809" s="486"/>
      <c r="C809" s="486"/>
      <c r="D809" s="486"/>
      <c r="E809" s="486"/>
      <c r="F809" s="486"/>
      <c r="G809" s="486"/>
      <c r="H809" s="486"/>
      <c r="I809" s="486"/>
      <c r="J809" s="486"/>
      <c r="K809" s="486"/>
      <c r="L809" s="486"/>
      <c r="M809" s="486"/>
      <c r="N809" s="486"/>
      <c r="O809" s="486"/>
      <c r="P809" s="486"/>
      <c r="Q809" s="486"/>
      <c r="R809" s="486"/>
      <c r="S809" s="486"/>
      <c r="T809" s="486"/>
      <c r="U809" s="486"/>
      <c r="V809" s="486"/>
      <c r="W809" s="486"/>
      <c r="X809" s="486"/>
      <c r="Y809" s="486"/>
      <c r="Z809" s="486"/>
    </row>
    <row r="810" spans="1:26" ht="15.75" customHeight="1">
      <c r="A810" s="486"/>
      <c r="B810" s="486"/>
      <c r="C810" s="486"/>
      <c r="D810" s="486"/>
      <c r="E810" s="486"/>
      <c r="F810" s="486"/>
      <c r="G810" s="486"/>
      <c r="H810" s="486"/>
      <c r="I810" s="486"/>
      <c r="J810" s="486"/>
      <c r="K810" s="486"/>
      <c r="L810" s="486"/>
      <c r="M810" s="486"/>
      <c r="N810" s="486"/>
      <c r="O810" s="486"/>
      <c r="P810" s="486"/>
      <c r="Q810" s="486"/>
      <c r="R810" s="486"/>
      <c r="S810" s="486"/>
      <c r="T810" s="486"/>
      <c r="U810" s="486"/>
      <c r="V810" s="486"/>
      <c r="W810" s="486"/>
      <c r="X810" s="486"/>
      <c r="Y810" s="486"/>
      <c r="Z810" s="486"/>
    </row>
    <row r="811" spans="1:26" ht="15.75" customHeight="1">
      <c r="A811" s="486"/>
      <c r="B811" s="486"/>
      <c r="C811" s="486"/>
      <c r="D811" s="486"/>
      <c r="E811" s="486"/>
      <c r="F811" s="486"/>
      <c r="G811" s="486"/>
      <c r="H811" s="486"/>
      <c r="I811" s="486"/>
      <c r="J811" s="486"/>
      <c r="K811" s="486"/>
      <c r="L811" s="486"/>
      <c r="M811" s="486"/>
      <c r="N811" s="486"/>
      <c r="O811" s="486"/>
      <c r="P811" s="486"/>
      <c r="Q811" s="486"/>
      <c r="R811" s="486"/>
      <c r="S811" s="486"/>
      <c r="T811" s="486"/>
      <c r="U811" s="486"/>
      <c r="V811" s="486"/>
      <c r="W811" s="486"/>
      <c r="X811" s="486"/>
      <c r="Y811" s="486"/>
      <c r="Z811" s="486"/>
    </row>
    <row r="812" spans="1:26" ht="15.75" customHeight="1">
      <c r="A812" s="486"/>
      <c r="B812" s="486"/>
      <c r="C812" s="486"/>
      <c r="D812" s="486"/>
      <c r="E812" s="486"/>
      <c r="F812" s="486"/>
      <c r="G812" s="486"/>
      <c r="H812" s="486"/>
      <c r="I812" s="486"/>
      <c r="J812" s="486"/>
      <c r="K812" s="486"/>
      <c r="L812" s="486"/>
      <c r="M812" s="486"/>
      <c r="N812" s="486"/>
      <c r="O812" s="486"/>
      <c r="P812" s="486"/>
      <c r="Q812" s="486"/>
      <c r="R812" s="486"/>
      <c r="S812" s="486"/>
      <c r="T812" s="486"/>
      <c r="U812" s="486"/>
      <c r="V812" s="486"/>
      <c r="W812" s="486"/>
      <c r="X812" s="486"/>
      <c r="Y812" s="486"/>
      <c r="Z812" s="486"/>
    </row>
    <row r="813" spans="1:26" ht="15.75" customHeight="1">
      <c r="A813" s="486"/>
      <c r="B813" s="486"/>
      <c r="C813" s="486"/>
      <c r="D813" s="486"/>
      <c r="E813" s="486"/>
      <c r="F813" s="486"/>
      <c r="G813" s="486"/>
      <c r="H813" s="486"/>
      <c r="I813" s="486"/>
      <c r="J813" s="486"/>
      <c r="K813" s="486"/>
      <c r="L813" s="486"/>
      <c r="M813" s="486"/>
      <c r="N813" s="486"/>
      <c r="O813" s="486"/>
      <c r="P813" s="486"/>
      <c r="Q813" s="486"/>
      <c r="R813" s="486"/>
      <c r="S813" s="486"/>
      <c r="T813" s="486"/>
      <c r="U813" s="486"/>
      <c r="V813" s="486"/>
      <c r="W813" s="486"/>
      <c r="X813" s="486"/>
      <c r="Y813" s="486"/>
      <c r="Z813" s="486"/>
    </row>
    <row r="814" spans="1:26" ht="15.75" customHeight="1">
      <c r="A814" s="486"/>
      <c r="B814" s="486"/>
      <c r="C814" s="486"/>
      <c r="D814" s="486"/>
      <c r="E814" s="486"/>
      <c r="F814" s="486"/>
      <c r="G814" s="486"/>
      <c r="H814" s="486"/>
      <c r="I814" s="486"/>
      <c r="J814" s="486"/>
      <c r="K814" s="486"/>
      <c r="L814" s="486"/>
      <c r="M814" s="486"/>
      <c r="N814" s="486"/>
      <c r="O814" s="486"/>
      <c r="P814" s="486"/>
      <c r="Q814" s="486"/>
      <c r="R814" s="486"/>
      <c r="S814" s="486"/>
      <c r="T814" s="486"/>
      <c r="U814" s="486"/>
      <c r="V814" s="486"/>
      <c r="W814" s="486"/>
      <c r="X814" s="486"/>
      <c r="Y814" s="486"/>
      <c r="Z814" s="486"/>
    </row>
    <row r="815" spans="1:26" ht="15.75" customHeight="1">
      <c r="A815" s="486"/>
      <c r="B815" s="486"/>
      <c r="C815" s="486"/>
      <c r="D815" s="486"/>
      <c r="E815" s="486"/>
      <c r="F815" s="486"/>
      <c r="G815" s="486"/>
      <c r="H815" s="486"/>
      <c r="I815" s="486"/>
      <c r="J815" s="486"/>
      <c r="K815" s="486"/>
      <c r="L815" s="486"/>
      <c r="M815" s="486"/>
      <c r="N815" s="486"/>
      <c r="O815" s="486"/>
      <c r="P815" s="486"/>
      <c r="Q815" s="486"/>
      <c r="R815" s="486"/>
      <c r="S815" s="486"/>
      <c r="T815" s="486"/>
      <c r="U815" s="486"/>
      <c r="V815" s="486"/>
      <c r="W815" s="486"/>
      <c r="X815" s="486"/>
      <c r="Y815" s="486"/>
      <c r="Z815" s="486"/>
    </row>
    <row r="816" spans="1:26" ht="15.75" customHeight="1">
      <c r="A816" s="486"/>
      <c r="B816" s="486"/>
      <c r="C816" s="486"/>
      <c r="D816" s="486"/>
      <c r="E816" s="486"/>
      <c r="F816" s="486"/>
      <c r="G816" s="486"/>
      <c r="H816" s="486"/>
      <c r="I816" s="486"/>
      <c r="J816" s="486"/>
      <c r="K816" s="486"/>
      <c r="L816" s="486"/>
      <c r="M816" s="486"/>
      <c r="N816" s="486"/>
      <c r="O816" s="486"/>
      <c r="P816" s="486"/>
      <c r="Q816" s="486"/>
      <c r="R816" s="486"/>
      <c r="S816" s="486"/>
      <c r="T816" s="486"/>
      <c r="U816" s="486"/>
      <c r="V816" s="486"/>
      <c r="W816" s="486"/>
      <c r="X816" s="486"/>
      <c r="Y816" s="486"/>
      <c r="Z816" s="486"/>
    </row>
    <row r="817" spans="1:26" ht="15.75" customHeight="1">
      <c r="A817" s="486"/>
      <c r="B817" s="486"/>
      <c r="C817" s="486"/>
      <c r="D817" s="486"/>
      <c r="E817" s="486"/>
      <c r="F817" s="486"/>
      <c r="G817" s="486"/>
      <c r="H817" s="486"/>
      <c r="I817" s="486"/>
      <c r="J817" s="486"/>
      <c r="K817" s="486"/>
      <c r="L817" s="486"/>
      <c r="M817" s="486"/>
      <c r="N817" s="486"/>
      <c r="O817" s="486"/>
      <c r="P817" s="486"/>
      <c r="Q817" s="486"/>
      <c r="R817" s="486"/>
      <c r="S817" s="486"/>
      <c r="T817" s="486"/>
      <c r="U817" s="486"/>
      <c r="V817" s="486"/>
      <c r="W817" s="486"/>
      <c r="X817" s="486"/>
      <c r="Y817" s="486"/>
      <c r="Z817" s="486"/>
    </row>
    <row r="818" spans="1:26" ht="15.75" customHeight="1">
      <c r="A818" s="486"/>
      <c r="B818" s="486"/>
      <c r="C818" s="486"/>
      <c r="D818" s="486"/>
      <c r="E818" s="486"/>
      <c r="F818" s="486"/>
      <c r="G818" s="486"/>
      <c r="H818" s="486"/>
      <c r="I818" s="486"/>
      <c r="J818" s="486"/>
      <c r="K818" s="486"/>
      <c r="L818" s="486"/>
      <c r="M818" s="486"/>
      <c r="N818" s="486"/>
      <c r="O818" s="486"/>
      <c r="P818" s="486"/>
      <c r="Q818" s="486"/>
      <c r="R818" s="486"/>
      <c r="S818" s="486"/>
      <c r="T818" s="486"/>
      <c r="U818" s="486"/>
      <c r="V818" s="486"/>
      <c r="W818" s="486"/>
      <c r="X818" s="486"/>
      <c r="Y818" s="486"/>
      <c r="Z818" s="486"/>
    </row>
    <row r="819" spans="1:26" ht="15.75" customHeight="1">
      <c r="A819" s="486"/>
      <c r="B819" s="486"/>
      <c r="C819" s="486"/>
      <c r="D819" s="486"/>
      <c r="E819" s="486"/>
      <c r="F819" s="486"/>
      <c r="G819" s="486"/>
      <c r="H819" s="486"/>
      <c r="I819" s="486"/>
      <c r="J819" s="486"/>
      <c r="K819" s="486"/>
      <c r="L819" s="486"/>
      <c r="M819" s="486"/>
      <c r="N819" s="486"/>
      <c r="O819" s="486"/>
      <c r="P819" s="486"/>
      <c r="Q819" s="486"/>
      <c r="R819" s="486"/>
      <c r="S819" s="486"/>
      <c r="T819" s="486"/>
      <c r="U819" s="486"/>
      <c r="V819" s="486"/>
      <c r="W819" s="486"/>
      <c r="X819" s="486"/>
      <c r="Y819" s="486"/>
      <c r="Z819" s="486"/>
    </row>
    <row r="820" spans="1:26" ht="15.75" customHeight="1">
      <c r="A820" s="486"/>
      <c r="B820" s="486"/>
      <c r="C820" s="486"/>
      <c r="D820" s="486"/>
      <c r="E820" s="486"/>
      <c r="F820" s="486"/>
      <c r="G820" s="486"/>
      <c r="H820" s="486"/>
      <c r="I820" s="486"/>
      <c r="J820" s="486"/>
      <c r="K820" s="486"/>
      <c r="L820" s="486"/>
      <c r="M820" s="486"/>
      <c r="N820" s="486"/>
      <c r="O820" s="486"/>
      <c r="P820" s="486"/>
      <c r="Q820" s="486"/>
      <c r="R820" s="486"/>
      <c r="S820" s="486"/>
      <c r="T820" s="486"/>
      <c r="U820" s="486"/>
      <c r="V820" s="486"/>
      <c r="W820" s="486"/>
      <c r="X820" s="486"/>
      <c r="Y820" s="486"/>
      <c r="Z820" s="486"/>
    </row>
    <row r="821" spans="1:26" ht="15.75" customHeight="1">
      <c r="A821" s="486"/>
      <c r="B821" s="486"/>
      <c r="C821" s="486"/>
      <c r="D821" s="486"/>
      <c r="E821" s="486"/>
      <c r="F821" s="486"/>
      <c r="G821" s="486"/>
      <c r="H821" s="486"/>
      <c r="I821" s="486"/>
      <c r="J821" s="486"/>
      <c r="K821" s="486"/>
      <c r="L821" s="486"/>
      <c r="M821" s="486"/>
      <c r="N821" s="486"/>
      <c r="O821" s="486"/>
      <c r="P821" s="486"/>
      <c r="Q821" s="486"/>
      <c r="R821" s="486"/>
      <c r="S821" s="486"/>
      <c r="T821" s="486"/>
      <c r="U821" s="486"/>
      <c r="V821" s="486"/>
      <c r="W821" s="486"/>
      <c r="X821" s="486"/>
      <c r="Y821" s="486"/>
      <c r="Z821" s="486"/>
    </row>
    <row r="822" spans="1:26" ht="15.75" customHeight="1">
      <c r="A822" s="486"/>
      <c r="B822" s="486"/>
      <c r="C822" s="486"/>
      <c r="D822" s="486"/>
      <c r="E822" s="486"/>
      <c r="F822" s="486"/>
      <c r="G822" s="486"/>
      <c r="H822" s="486"/>
      <c r="I822" s="486"/>
      <c r="J822" s="486"/>
      <c r="K822" s="486"/>
      <c r="L822" s="486"/>
      <c r="M822" s="486"/>
      <c r="N822" s="486"/>
      <c r="O822" s="486"/>
      <c r="P822" s="486"/>
      <c r="Q822" s="486"/>
      <c r="R822" s="486"/>
      <c r="S822" s="486"/>
      <c r="T822" s="486"/>
      <c r="U822" s="486"/>
      <c r="V822" s="486"/>
      <c r="W822" s="486"/>
      <c r="X822" s="486"/>
      <c r="Y822" s="486"/>
      <c r="Z822" s="486"/>
    </row>
    <row r="823" spans="1:26" ht="15.75" customHeight="1">
      <c r="A823" s="486"/>
      <c r="B823" s="486"/>
      <c r="C823" s="486"/>
      <c r="D823" s="486"/>
      <c r="E823" s="486"/>
      <c r="F823" s="486"/>
      <c r="G823" s="486"/>
      <c r="H823" s="486"/>
      <c r="I823" s="486"/>
      <c r="J823" s="486"/>
      <c r="K823" s="486"/>
      <c r="L823" s="486"/>
      <c r="M823" s="486"/>
      <c r="N823" s="486"/>
      <c r="O823" s="486"/>
      <c r="P823" s="486"/>
      <c r="Q823" s="486"/>
      <c r="R823" s="486"/>
      <c r="S823" s="486"/>
      <c r="T823" s="486"/>
      <c r="U823" s="486"/>
      <c r="V823" s="486"/>
      <c r="W823" s="486"/>
      <c r="X823" s="486"/>
      <c r="Y823" s="486"/>
      <c r="Z823" s="486"/>
    </row>
    <row r="824" spans="1:26" ht="15.75" customHeight="1">
      <c r="A824" s="486"/>
      <c r="B824" s="486"/>
      <c r="C824" s="486"/>
      <c r="D824" s="486"/>
      <c r="E824" s="486"/>
      <c r="F824" s="486"/>
      <c r="G824" s="486"/>
      <c r="H824" s="486"/>
      <c r="I824" s="486"/>
      <c r="J824" s="486"/>
      <c r="K824" s="486"/>
      <c r="L824" s="486"/>
      <c r="M824" s="486"/>
      <c r="N824" s="486"/>
      <c r="O824" s="486"/>
      <c r="P824" s="486"/>
      <c r="Q824" s="486"/>
      <c r="R824" s="486"/>
      <c r="S824" s="486"/>
      <c r="T824" s="486"/>
      <c r="U824" s="486"/>
      <c r="V824" s="486"/>
      <c r="W824" s="486"/>
      <c r="X824" s="486"/>
      <c r="Y824" s="486"/>
      <c r="Z824" s="486"/>
    </row>
    <row r="825" spans="1:26" ht="15.75" customHeight="1">
      <c r="A825" s="486"/>
      <c r="B825" s="486"/>
      <c r="C825" s="486"/>
      <c r="D825" s="486"/>
      <c r="E825" s="486"/>
      <c r="F825" s="486"/>
      <c r="G825" s="486"/>
      <c r="H825" s="486"/>
      <c r="I825" s="486"/>
      <c r="J825" s="486"/>
      <c r="K825" s="486"/>
      <c r="L825" s="486"/>
      <c r="M825" s="486"/>
      <c r="N825" s="486"/>
      <c r="O825" s="486"/>
      <c r="P825" s="486"/>
      <c r="Q825" s="486"/>
      <c r="R825" s="486"/>
      <c r="S825" s="486"/>
      <c r="T825" s="486"/>
      <c r="U825" s="486"/>
      <c r="V825" s="486"/>
      <c r="W825" s="486"/>
      <c r="X825" s="486"/>
      <c r="Y825" s="486"/>
      <c r="Z825" s="486"/>
    </row>
    <row r="826" spans="1:26" ht="15.75" customHeight="1">
      <c r="A826" s="486"/>
      <c r="B826" s="486"/>
      <c r="C826" s="486"/>
      <c r="D826" s="486"/>
      <c r="E826" s="486"/>
      <c r="F826" s="486"/>
      <c r="G826" s="486"/>
      <c r="H826" s="486"/>
      <c r="I826" s="486"/>
      <c r="J826" s="486"/>
      <c r="K826" s="486"/>
      <c r="L826" s="486"/>
      <c r="M826" s="486"/>
      <c r="N826" s="486"/>
      <c r="O826" s="486"/>
      <c r="P826" s="486"/>
      <c r="Q826" s="486"/>
      <c r="R826" s="486"/>
      <c r="S826" s="486"/>
      <c r="T826" s="486"/>
      <c r="U826" s="486"/>
      <c r="V826" s="486"/>
      <c r="W826" s="486"/>
      <c r="X826" s="486"/>
      <c r="Y826" s="486"/>
      <c r="Z826" s="486"/>
    </row>
    <row r="827" spans="1:26" ht="15.75" customHeight="1">
      <c r="A827" s="486"/>
      <c r="B827" s="486"/>
      <c r="C827" s="486"/>
      <c r="D827" s="486"/>
      <c r="E827" s="486"/>
      <c r="F827" s="486"/>
      <c r="G827" s="486"/>
      <c r="H827" s="486"/>
      <c r="I827" s="486"/>
      <c r="J827" s="486"/>
      <c r="K827" s="486"/>
      <c r="L827" s="486"/>
      <c r="M827" s="486"/>
      <c r="N827" s="486"/>
      <c r="O827" s="486"/>
      <c r="P827" s="486"/>
      <c r="Q827" s="486"/>
      <c r="R827" s="486"/>
      <c r="S827" s="486"/>
      <c r="T827" s="486"/>
      <c r="U827" s="486"/>
      <c r="V827" s="486"/>
      <c r="W827" s="486"/>
      <c r="X827" s="486"/>
      <c r="Y827" s="486"/>
      <c r="Z827" s="486"/>
    </row>
    <row r="828" spans="1:26" ht="15.75" customHeight="1">
      <c r="A828" s="486"/>
      <c r="B828" s="486"/>
      <c r="C828" s="486"/>
      <c r="D828" s="486"/>
      <c r="E828" s="486"/>
      <c r="F828" s="486"/>
      <c r="G828" s="486"/>
      <c r="H828" s="486"/>
      <c r="I828" s="486"/>
      <c r="J828" s="486"/>
      <c r="K828" s="486"/>
      <c r="L828" s="486"/>
      <c r="M828" s="486"/>
      <c r="N828" s="486"/>
      <c r="O828" s="486"/>
      <c r="P828" s="486"/>
      <c r="Q828" s="486"/>
      <c r="R828" s="486"/>
      <c r="S828" s="486"/>
      <c r="T828" s="486"/>
      <c r="U828" s="486"/>
      <c r="V828" s="486"/>
      <c r="W828" s="486"/>
      <c r="X828" s="486"/>
      <c r="Y828" s="486"/>
      <c r="Z828" s="486"/>
    </row>
    <row r="829" spans="1:26" ht="15.75" customHeight="1">
      <c r="A829" s="486"/>
      <c r="B829" s="486"/>
      <c r="C829" s="486"/>
      <c r="D829" s="486"/>
      <c r="E829" s="486"/>
      <c r="F829" s="486"/>
      <c r="G829" s="486"/>
      <c r="H829" s="486"/>
      <c r="I829" s="486"/>
      <c r="J829" s="486"/>
      <c r="K829" s="486"/>
      <c r="L829" s="486"/>
      <c r="M829" s="486"/>
      <c r="N829" s="486"/>
      <c r="O829" s="486"/>
      <c r="P829" s="486"/>
      <c r="Q829" s="486"/>
      <c r="R829" s="486"/>
      <c r="S829" s="486"/>
      <c r="T829" s="486"/>
      <c r="U829" s="486"/>
      <c r="V829" s="486"/>
      <c r="W829" s="486"/>
      <c r="X829" s="486"/>
      <c r="Y829" s="486"/>
      <c r="Z829" s="486"/>
    </row>
    <row r="830" spans="1:26" ht="15.75" customHeight="1">
      <c r="A830" s="486"/>
      <c r="B830" s="486"/>
      <c r="C830" s="486"/>
      <c r="D830" s="486"/>
      <c r="E830" s="486"/>
      <c r="F830" s="486"/>
      <c r="G830" s="486"/>
      <c r="H830" s="486"/>
      <c r="I830" s="486"/>
      <c r="J830" s="486"/>
      <c r="K830" s="486"/>
      <c r="L830" s="486"/>
      <c r="M830" s="486"/>
      <c r="N830" s="486"/>
      <c r="O830" s="486"/>
      <c r="P830" s="486"/>
      <c r="Q830" s="486"/>
      <c r="R830" s="486"/>
      <c r="S830" s="486"/>
      <c r="T830" s="486"/>
      <c r="U830" s="486"/>
      <c r="V830" s="486"/>
      <c r="W830" s="486"/>
      <c r="X830" s="486"/>
      <c r="Y830" s="486"/>
      <c r="Z830" s="486"/>
    </row>
    <row r="831" spans="1:26" ht="15.75" customHeight="1">
      <c r="A831" s="486"/>
      <c r="B831" s="486"/>
      <c r="C831" s="486"/>
      <c r="D831" s="486"/>
      <c r="E831" s="486"/>
      <c r="F831" s="486"/>
      <c r="G831" s="486"/>
      <c r="H831" s="486"/>
      <c r="I831" s="486"/>
      <c r="J831" s="486"/>
      <c r="K831" s="486"/>
      <c r="L831" s="486"/>
      <c r="M831" s="486"/>
      <c r="N831" s="486"/>
      <c r="O831" s="486"/>
      <c r="P831" s="486"/>
      <c r="Q831" s="486"/>
      <c r="R831" s="486"/>
      <c r="S831" s="486"/>
      <c r="T831" s="486"/>
      <c r="U831" s="486"/>
      <c r="V831" s="486"/>
      <c r="W831" s="486"/>
      <c r="X831" s="486"/>
      <c r="Y831" s="486"/>
      <c r="Z831" s="486"/>
    </row>
    <row r="832" spans="1:26" ht="15.75" customHeight="1">
      <c r="A832" s="486"/>
      <c r="B832" s="486"/>
      <c r="C832" s="486"/>
      <c r="D832" s="486"/>
      <c r="E832" s="486"/>
      <c r="F832" s="486"/>
      <c r="G832" s="486"/>
      <c r="H832" s="486"/>
      <c r="I832" s="486"/>
      <c r="J832" s="486"/>
      <c r="K832" s="486"/>
      <c r="L832" s="486"/>
      <c r="M832" s="486"/>
      <c r="N832" s="486"/>
      <c r="O832" s="486"/>
      <c r="P832" s="486"/>
      <c r="Q832" s="486"/>
      <c r="R832" s="486"/>
      <c r="S832" s="486"/>
      <c r="T832" s="486"/>
      <c r="U832" s="486"/>
      <c r="V832" s="486"/>
      <c r="W832" s="486"/>
      <c r="X832" s="486"/>
      <c r="Y832" s="486"/>
      <c r="Z832" s="486"/>
    </row>
    <row r="833" spans="1:26" ht="15.75" customHeight="1">
      <c r="A833" s="486"/>
      <c r="B833" s="486"/>
      <c r="C833" s="486"/>
      <c r="D833" s="486"/>
      <c r="E833" s="486"/>
      <c r="F833" s="486"/>
      <c r="G833" s="486"/>
      <c r="H833" s="486"/>
      <c r="I833" s="486"/>
      <c r="J833" s="486"/>
      <c r="K833" s="486"/>
      <c r="L833" s="486"/>
      <c r="M833" s="486"/>
      <c r="N833" s="486"/>
      <c r="O833" s="486"/>
      <c r="P833" s="486"/>
      <c r="Q833" s="486"/>
      <c r="R833" s="486"/>
      <c r="S833" s="486"/>
      <c r="T833" s="486"/>
      <c r="U833" s="486"/>
      <c r="V833" s="486"/>
      <c r="W833" s="486"/>
      <c r="X833" s="486"/>
      <c r="Y833" s="486"/>
      <c r="Z833" s="486"/>
    </row>
    <row r="834" spans="1:26" ht="15.75" customHeight="1">
      <c r="A834" s="486"/>
      <c r="B834" s="486"/>
      <c r="C834" s="486"/>
      <c r="D834" s="486"/>
      <c r="E834" s="486"/>
      <c r="F834" s="486"/>
      <c r="G834" s="486"/>
      <c r="H834" s="486"/>
      <c r="I834" s="486"/>
      <c r="J834" s="486"/>
      <c r="K834" s="486"/>
      <c r="L834" s="486"/>
      <c r="M834" s="486"/>
      <c r="N834" s="486"/>
      <c r="O834" s="486"/>
      <c r="P834" s="486"/>
      <c r="Q834" s="486"/>
      <c r="R834" s="486"/>
      <c r="S834" s="486"/>
      <c r="T834" s="486"/>
      <c r="U834" s="486"/>
      <c r="V834" s="486"/>
      <c r="W834" s="486"/>
      <c r="X834" s="486"/>
      <c r="Y834" s="486"/>
      <c r="Z834" s="486"/>
    </row>
    <row r="835" spans="1:26" ht="15.75" customHeight="1">
      <c r="A835" s="486"/>
      <c r="B835" s="486"/>
      <c r="C835" s="486"/>
      <c r="D835" s="486"/>
      <c r="E835" s="486"/>
      <c r="F835" s="486"/>
      <c r="G835" s="486"/>
      <c r="H835" s="486"/>
      <c r="I835" s="486"/>
      <c r="J835" s="486"/>
      <c r="K835" s="486"/>
      <c r="L835" s="486"/>
      <c r="M835" s="486"/>
      <c r="N835" s="486"/>
      <c r="O835" s="486"/>
      <c r="P835" s="486"/>
      <c r="Q835" s="486"/>
      <c r="R835" s="486"/>
      <c r="S835" s="486"/>
      <c r="T835" s="486"/>
      <c r="U835" s="486"/>
      <c r="V835" s="486"/>
      <c r="W835" s="486"/>
      <c r="X835" s="486"/>
      <c r="Y835" s="486"/>
      <c r="Z835" s="486"/>
    </row>
    <row r="836" spans="1:26" ht="15.75" customHeight="1">
      <c r="A836" s="486"/>
      <c r="B836" s="486"/>
      <c r="C836" s="486"/>
      <c r="D836" s="486"/>
      <c r="E836" s="486"/>
      <c r="F836" s="486"/>
      <c r="G836" s="486"/>
      <c r="H836" s="486"/>
      <c r="I836" s="486"/>
      <c r="J836" s="486"/>
      <c r="K836" s="486"/>
      <c r="L836" s="486"/>
      <c r="M836" s="486"/>
      <c r="N836" s="486"/>
      <c r="O836" s="486"/>
      <c r="P836" s="486"/>
      <c r="Q836" s="486"/>
      <c r="R836" s="486"/>
      <c r="S836" s="486"/>
      <c r="T836" s="486"/>
      <c r="U836" s="486"/>
      <c r="V836" s="486"/>
      <c r="W836" s="486"/>
      <c r="X836" s="486"/>
      <c r="Y836" s="486"/>
      <c r="Z836" s="486"/>
    </row>
    <row r="837" spans="1:26" ht="15.75" customHeight="1">
      <c r="A837" s="486"/>
      <c r="B837" s="486"/>
      <c r="C837" s="486"/>
      <c r="D837" s="486"/>
      <c r="E837" s="486"/>
      <c r="F837" s="486"/>
      <c r="G837" s="486"/>
      <c r="H837" s="486"/>
      <c r="I837" s="486"/>
      <c r="J837" s="486"/>
      <c r="K837" s="486"/>
      <c r="L837" s="486"/>
      <c r="M837" s="486"/>
      <c r="N837" s="486"/>
      <c r="O837" s="486"/>
      <c r="P837" s="486"/>
      <c r="Q837" s="486"/>
      <c r="R837" s="486"/>
      <c r="S837" s="486"/>
      <c r="T837" s="486"/>
      <c r="U837" s="486"/>
      <c r="V837" s="486"/>
      <c r="W837" s="486"/>
      <c r="X837" s="486"/>
      <c r="Y837" s="486"/>
      <c r="Z837" s="486"/>
    </row>
    <row r="838" spans="1:26" ht="15.75" customHeight="1">
      <c r="A838" s="486"/>
      <c r="B838" s="486"/>
      <c r="C838" s="486"/>
      <c r="D838" s="486"/>
      <c r="E838" s="486"/>
      <c r="F838" s="486"/>
      <c r="G838" s="486"/>
      <c r="H838" s="486"/>
      <c r="I838" s="486"/>
      <c r="J838" s="486"/>
      <c r="K838" s="486"/>
      <c r="L838" s="486"/>
      <c r="M838" s="486"/>
      <c r="N838" s="486"/>
      <c r="O838" s="486"/>
      <c r="P838" s="486"/>
      <c r="Q838" s="486"/>
      <c r="R838" s="486"/>
      <c r="S838" s="486"/>
      <c r="T838" s="486"/>
      <c r="U838" s="486"/>
      <c r="V838" s="486"/>
      <c r="W838" s="486"/>
      <c r="X838" s="486"/>
      <c r="Y838" s="486"/>
      <c r="Z838" s="486"/>
    </row>
    <row r="839" spans="1:26" ht="15.75" customHeight="1">
      <c r="A839" s="486"/>
      <c r="B839" s="486"/>
      <c r="C839" s="486"/>
      <c r="D839" s="486"/>
      <c r="E839" s="486"/>
      <c r="F839" s="486"/>
      <c r="G839" s="486"/>
      <c r="H839" s="486"/>
      <c r="I839" s="486"/>
      <c r="J839" s="486"/>
      <c r="K839" s="486"/>
      <c r="L839" s="486"/>
      <c r="M839" s="486"/>
      <c r="N839" s="486"/>
      <c r="O839" s="486"/>
      <c r="P839" s="486"/>
      <c r="Q839" s="486"/>
      <c r="R839" s="486"/>
      <c r="S839" s="486"/>
      <c r="T839" s="486"/>
      <c r="U839" s="486"/>
      <c r="V839" s="486"/>
      <c r="W839" s="486"/>
      <c r="X839" s="486"/>
      <c r="Y839" s="486"/>
      <c r="Z839" s="486"/>
    </row>
    <row r="840" spans="1:26" ht="15.75" customHeight="1">
      <c r="A840" s="486"/>
      <c r="B840" s="486"/>
      <c r="C840" s="486"/>
      <c r="D840" s="486"/>
      <c r="E840" s="486"/>
      <c r="F840" s="486"/>
      <c r="G840" s="486"/>
      <c r="H840" s="486"/>
      <c r="I840" s="486"/>
      <c r="J840" s="486"/>
      <c r="K840" s="486"/>
      <c r="L840" s="486"/>
      <c r="M840" s="486"/>
      <c r="N840" s="486"/>
      <c r="O840" s="486"/>
      <c r="P840" s="486"/>
      <c r="Q840" s="486"/>
      <c r="R840" s="486"/>
      <c r="S840" s="486"/>
      <c r="T840" s="486"/>
      <c r="U840" s="486"/>
      <c r="V840" s="486"/>
      <c r="W840" s="486"/>
      <c r="X840" s="486"/>
      <c r="Y840" s="486"/>
      <c r="Z840" s="486"/>
    </row>
    <row r="841" spans="1:26" ht="15.75" customHeight="1">
      <c r="A841" s="486"/>
      <c r="B841" s="486"/>
      <c r="C841" s="486"/>
      <c r="D841" s="486"/>
      <c r="E841" s="486"/>
      <c r="F841" s="486"/>
      <c r="G841" s="486"/>
      <c r="H841" s="486"/>
      <c r="I841" s="486"/>
      <c r="J841" s="486"/>
      <c r="K841" s="486"/>
      <c r="L841" s="486"/>
      <c r="M841" s="486"/>
      <c r="N841" s="486"/>
      <c r="O841" s="486"/>
      <c r="P841" s="486"/>
      <c r="Q841" s="486"/>
      <c r="R841" s="486"/>
      <c r="S841" s="486"/>
      <c r="T841" s="486"/>
      <c r="U841" s="486"/>
      <c r="V841" s="486"/>
      <c r="W841" s="486"/>
      <c r="X841" s="486"/>
      <c r="Y841" s="486"/>
      <c r="Z841" s="486"/>
    </row>
    <row r="842" spans="1:26" ht="15.75" customHeight="1">
      <c r="A842" s="486"/>
      <c r="B842" s="486"/>
      <c r="C842" s="486"/>
      <c r="D842" s="486"/>
      <c r="E842" s="486"/>
      <c r="F842" s="486"/>
      <c r="G842" s="486"/>
      <c r="H842" s="486"/>
      <c r="I842" s="486"/>
      <c r="J842" s="486"/>
      <c r="K842" s="486"/>
      <c r="L842" s="486"/>
      <c r="M842" s="486"/>
      <c r="N842" s="486"/>
      <c r="O842" s="486"/>
      <c r="P842" s="486"/>
      <c r="Q842" s="486"/>
      <c r="R842" s="486"/>
      <c r="S842" s="486"/>
      <c r="T842" s="486"/>
      <c r="U842" s="486"/>
      <c r="V842" s="486"/>
      <c r="W842" s="486"/>
      <c r="X842" s="486"/>
      <c r="Y842" s="486"/>
      <c r="Z842" s="486"/>
    </row>
    <row r="843" spans="1:26" ht="15.75" customHeight="1">
      <c r="A843" s="486"/>
      <c r="B843" s="486"/>
      <c r="C843" s="486"/>
      <c r="D843" s="486"/>
      <c r="E843" s="486"/>
      <c r="F843" s="486"/>
      <c r="G843" s="486"/>
      <c r="H843" s="486"/>
      <c r="I843" s="486"/>
      <c r="J843" s="486"/>
      <c r="K843" s="486"/>
      <c r="L843" s="486"/>
      <c r="M843" s="486"/>
      <c r="N843" s="486"/>
      <c r="O843" s="486"/>
      <c r="P843" s="486"/>
      <c r="Q843" s="486"/>
      <c r="R843" s="486"/>
      <c r="S843" s="486"/>
      <c r="T843" s="486"/>
      <c r="U843" s="486"/>
      <c r="V843" s="486"/>
      <c r="W843" s="486"/>
      <c r="X843" s="486"/>
      <c r="Y843" s="486"/>
      <c r="Z843" s="486"/>
    </row>
    <row r="844" spans="1:26" ht="15.75" customHeight="1">
      <c r="A844" s="486"/>
      <c r="B844" s="486"/>
      <c r="C844" s="486"/>
      <c r="D844" s="486"/>
      <c r="E844" s="486"/>
      <c r="F844" s="486"/>
      <c r="G844" s="486"/>
      <c r="H844" s="486"/>
      <c r="I844" s="486"/>
      <c r="J844" s="486"/>
      <c r="K844" s="486"/>
      <c r="L844" s="486"/>
      <c r="M844" s="486"/>
      <c r="N844" s="486"/>
      <c r="O844" s="486"/>
      <c r="P844" s="486"/>
      <c r="Q844" s="486"/>
      <c r="R844" s="486"/>
      <c r="S844" s="486"/>
      <c r="T844" s="486"/>
      <c r="U844" s="486"/>
      <c r="V844" s="486"/>
      <c r="W844" s="486"/>
      <c r="X844" s="486"/>
      <c r="Y844" s="486"/>
      <c r="Z844" s="486"/>
    </row>
    <row r="845" spans="1:26" ht="15.75" customHeight="1">
      <c r="A845" s="486"/>
      <c r="B845" s="486"/>
      <c r="C845" s="486"/>
      <c r="D845" s="486"/>
      <c r="E845" s="486"/>
      <c r="F845" s="486"/>
      <c r="G845" s="486"/>
      <c r="H845" s="486"/>
      <c r="I845" s="486"/>
      <c r="J845" s="486"/>
      <c r="K845" s="486"/>
      <c r="L845" s="486"/>
      <c r="M845" s="486"/>
      <c r="N845" s="486"/>
      <c r="O845" s="486"/>
      <c r="P845" s="486"/>
      <c r="Q845" s="486"/>
      <c r="R845" s="486"/>
      <c r="S845" s="486"/>
      <c r="T845" s="486"/>
      <c r="U845" s="486"/>
      <c r="V845" s="486"/>
      <c r="W845" s="486"/>
      <c r="X845" s="486"/>
      <c r="Y845" s="486"/>
      <c r="Z845" s="486"/>
    </row>
    <row r="846" spans="1:26" ht="15.75" customHeight="1">
      <c r="A846" s="486"/>
      <c r="B846" s="486"/>
      <c r="C846" s="486"/>
      <c r="D846" s="486"/>
      <c r="E846" s="486"/>
      <c r="F846" s="486"/>
      <c r="G846" s="486"/>
      <c r="H846" s="486"/>
      <c r="I846" s="486"/>
      <c r="J846" s="486"/>
      <c r="K846" s="486"/>
      <c r="L846" s="486"/>
      <c r="M846" s="486"/>
      <c r="N846" s="486"/>
      <c r="O846" s="486"/>
      <c r="P846" s="486"/>
      <c r="Q846" s="486"/>
      <c r="R846" s="486"/>
      <c r="S846" s="486"/>
      <c r="T846" s="486"/>
      <c r="U846" s="486"/>
      <c r="V846" s="486"/>
      <c r="W846" s="486"/>
      <c r="X846" s="486"/>
      <c r="Y846" s="486"/>
      <c r="Z846" s="486"/>
    </row>
    <row r="847" spans="1:26" ht="15.75" customHeight="1">
      <c r="A847" s="486"/>
      <c r="B847" s="486"/>
      <c r="C847" s="486"/>
      <c r="D847" s="486"/>
      <c r="E847" s="486"/>
      <c r="F847" s="486"/>
      <c r="G847" s="486"/>
      <c r="H847" s="486"/>
      <c r="I847" s="486"/>
      <c r="J847" s="486"/>
      <c r="K847" s="486"/>
      <c r="L847" s="486"/>
      <c r="M847" s="486"/>
      <c r="N847" s="486"/>
      <c r="O847" s="486"/>
      <c r="P847" s="486"/>
      <c r="Q847" s="486"/>
      <c r="R847" s="486"/>
      <c r="S847" s="486"/>
      <c r="T847" s="486"/>
      <c r="U847" s="486"/>
      <c r="V847" s="486"/>
      <c r="W847" s="486"/>
      <c r="X847" s="486"/>
      <c r="Y847" s="486"/>
      <c r="Z847" s="486"/>
    </row>
    <row r="848" spans="1:26" ht="15.75" customHeight="1">
      <c r="A848" s="486"/>
      <c r="B848" s="486"/>
      <c r="C848" s="486"/>
      <c r="D848" s="486"/>
      <c r="E848" s="486"/>
      <c r="F848" s="486"/>
      <c r="G848" s="486"/>
      <c r="H848" s="486"/>
      <c r="I848" s="486"/>
      <c r="J848" s="486"/>
      <c r="K848" s="486"/>
      <c r="L848" s="486"/>
      <c r="M848" s="486"/>
      <c r="N848" s="486"/>
      <c r="O848" s="486"/>
      <c r="P848" s="486"/>
      <c r="Q848" s="486"/>
      <c r="R848" s="486"/>
      <c r="S848" s="486"/>
      <c r="T848" s="486"/>
      <c r="U848" s="486"/>
      <c r="V848" s="486"/>
      <c r="W848" s="486"/>
      <c r="X848" s="486"/>
      <c r="Y848" s="486"/>
      <c r="Z848" s="486"/>
    </row>
    <row r="849" spans="1:26" ht="15.75" customHeight="1">
      <c r="A849" s="486"/>
      <c r="B849" s="486"/>
      <c r="C849" s="486"/>
      <c r="D849" s="486"/>
      <c r="E849" s="486"/>
      <c r="F849" s="486"/>
      <c r="G849" s="486"/>
      <c r="H849" s="486"/>
      <c r="I849" s="486"/>
      <c r="J849" s="486"/>
      <c r="K849" s="486"/>
      <c r="L849" s="486"/>
      <c r="M849" s="486"/>
      <c r="N849" s="486"/>
      <c r="O849" s="486"/>
      <c r="P849" s="486"/>
      <c r="Q849" s="486"/>
      <c r="R849" s="486"/>
      <c r="S849" s="486"/>
      <c r="T849" s="486"/>
      <c r="U849" s="486"/>
      <c r="V849" s="486"/>
      <c r="W849" s="486"/>
      <c r="X849" s="486"/>
      <c r="Y849" s="486"/>
      <c r="Z849" s="486"/>
    </row>
    <row r="850" spans="1:26" ht="15.75" customHeight="1">
      <c r="A850" s="486"/>
      <c r="B850" s="486"/>
      <c r="C850" s="486"/>
      <c r="D850" s="486"/>
      <c r="E850" s="486"/>
      <c r="F850" s="486"/>
      <c r="G850" s="486"/>
      <c r="H850" s="486"/>
      <c r="I850" s="486"/>
      <c r="J850" s="486"/>
      <c r="K850" s="486"/>
      <c r="L850" s="486"/>
      <c r="M850" s="486"/>
      <c r="N850" s="486"/>
      <c r="O850" s="486"/>
      <c r="P850" s="486"/>
      <c r="Q850" s="486"/>
      <c r="R850" s="486"/>
      <c r="S850" s="486"/>
      <c r="T850" s="486"/>
      <c r="U850" s="486"/>
      <c r="V850" s="486"/>
      <c r="W850" s="486"/>
      <c r="X850" s="486"/>
      <c r="Y850" s="486"/>
      <c r="Z850" s="486"/>
    </row>
    <row r="851" spans="1:26" ht="15.75" customHeight="1">
      <c r="A851" s="486"/>
      <c r="B851" s="486"/>
      <c r="C851" s="486"/>
      <c r="D851" s="486"/>
      <c r="E851" s="486"/>
      <c r="F851" s="486"/>
      <c r="G851" s="486"/>
      <c r="H851" s="486"/>
      <c r="I851" s="486"/>
      <c r="J851" s="486"/>
      <c r="K851" s="486"/>
      <c r="L851" s="486"/>
      <c r="M851" s="486"/>
      <c r="N851" s="486"/>
      <c r="O851" s="486"/>
      <c r="P851" s="486"/>
      <c r="Q851" s="486"/>
      <c r="R851" s="486"/>
      <c r="S851" s="486"/>
      <c r="T851" s="486"/>
      <c r="U851" s="486"/>
      <c r="V851" s="486"/>
      <c r="W851" s="486"/>
      <c r="X851" s="486"/>
      <c r="Y851" s="486"/>
      <c r="Z851" s="486"/>
    </row>
    <row r="852" spans="1:26" ht="15.75" customHeight="1">
      <c r="A852" s="486"/>
      <c r="B852" s="486"/>
      <c r="C852" s="486"/>
      <c r="D852" s="486"/>
      <c r="E852" s="486"/>
      <c r="F852" s="486"/>
      <c r="G852" s="486"/>
      <c r="H852" s="486"/>
      <c r="I852" s="486"/>
      <c r="J852" s="486"/>
      <c r="K852" s="486"/>
      <c r="L852" s="486"/>
      <c r="M852" s="486"/>
      <c r="N852" s="486"/>
      <c r="O852" s="486"/>
      <c r="P852" s="486"/>
      <c r="Q852" s="486"/>
      <c r="R852" s="486"/>
      <c r="S852" s="486"/>
      <c r="T852" s="486"/>
      <c r="U852" s="486"/>
      <c r="V852" s="486"/>
      <c r="W852" s="486"/>
      <c r="X852" s="486"/>
      <c r="Y852" s="486"/>
      <c r="Z852" s="486"/>
    </row>
    <row r="853" spans="1:26" ht="15.75" customHeight="1">
      <c r="A853" s="486"/>
      <c r="B853" s="486"/>
      <c r="C853" s="486"/>
      <c r="D853" s="486"/>
      <c r="E853" s="486"/>
      <c r="F853" s="486"/>
      <c r="G853" s="486"/>
      <c r="H853" s="486"/>
      <c r="I853" s="486"/>
      <c r="J853" s="486"/>
      <c r="K853" s="486"/>
      <c r="L853" s="486"/>
      <c r="M853" s="486"/>
      <c r="N853" s="486"/>
      <c r="O853" s="486"/>
      <c r="P853" s="486"/>
      <c r="Q853" s="486"/>
      <c r="R853" s="486"/>
      <c r="S853" s="486"/>
      <c r="T853" s="486"/>
      <c r="U853" s="486"/>
      <c r="V853" s="486"/>
      <c r="W853" s="486"/>
      <c r="X853" s="486"/>
      <c r="Y853" s="486"/>
      <c r="Z853" s="486"/>
    </row>
    <row r="854" spans="1:26" ht="15.75" customHeight="1">
      <c r="A854" s="486"/>
      <c r="B854" s="486"/>
      <c r="C854" s="486"/>
      <c r="D854" s="486"/>
      <c r="E854" s="486"/>
      <c r="F854" s="486"/>
      <c r="G854" s="486"/>
      <c r="H854" s="486"/>
      <c r="I854" s="486"/>
      <c r="J854" s="486"/>
      <c r="K854" s="486"/>
      <c r="L854" s="486"/>
      <c r="M854" s="486"/>
      <c r="N854" s="486"/>
      <c r="O854" s="486"/>
      <c r="P854" s="486"/>
      <c r="Q854" s="486"/>
      <c r="R854" s="486"/>
      <c r="S854" s="486"/>
      <c r="T854" s="486"/>
      <c r="U854" s="486"/>
      <c r="V854" s="486"/>
      <c r="W854" s="486"/>
      <c r="X854" s="486"/>
      <c r="Y854" s="486"/>
      <c r="Z854" s="486"/>
    </row>
    <row r="855" spans="1:26" ht="15.75" customHeight="1">
      <c r="A855" s="486"/>
      <c r="B855" s="486"/>
      <c r="C855" s="486"/>
      <c r="D855" s="486"/>
      <c r="E855" s="486"/>
      <c r="F855" s="486"/>
      <c r="G855" s="486"/>
      <c r="H855" s="486"/>
      <c r="I855" s="486"/>
      <c r="J855" s="486"/>
      <c r="K855" s="486"/>
      <c r="L855" s="486"/>
      <c r="M855" s="486"/>
      <c r="N855" s="486"/>
      <c r="O855" s="486"/>
      <c r="P855" s="486"/>
      <c r="Q855" s="486"/>
      <c r="R855" s="486"/>
      <c r="S855" s="486"/>
      <c r="T855" s="486"/>
      <c r="U855" s="486"/>
      <c r="V855" s="486"/>
      <c r="W855" s="486"/>
      <c r="X855" s="486"/>
      <c r="Y855" s="486"/>
      <c r="Z855" s="486"/>
    </row>
    <row r="856" spans="1:26" ht="15.75" customHeight="1">
      <c r="A856" s="486"/>
      <c r="B856" s="486"/>
      <c r="C856" s="486"/>
      <c r="D856" s="486"/>
      <c r="E856" s="486"/>
      <c r="F856" s="486"/>
      <c r="G856" s="486"/>
      <c r="H856" s="486"/>
      <c r="I856" s="486"/>
      <c r="J856" s="486"/>
      <c r="K856" s="486"/>
      <c r="L856" s="486"/>
      <c r="M856" s="486"/>
      <c r="N856" s="486"/>
      <c r="O856" s="486"/>
      <c r="P856" s="486"/>
      <c r="Q856" s="486"/>
      <c r="R856" s="486"/>
      <c r="S856" s="486"/>
      <c r="T856" s="486"/>
      <c r="U856" s="486"/>
      <c r="V856" s="486"/>
      <c r="W856" s="486"/>
      <c r="X856" s="486"/>
      <c r="Y856" s="486"/>
      <c r="Z856" s="486"/>
    </row>
    <row r="857" spans="1:26" ht="15.75" customHeight="1">
      <c r="A857" s="486"/>
      <c r="B857" s="486"/>
      <c r="C857" s="486"/>
      <c r="D857" s="486"/>
      <c r="E857" s="486"/>
      <c r="F857" s="486"/>
      <c r="G857" s="486"/>
      <c r="H857" s="486"/>
      <c r="I857" s="486"/>
      <c r="J857" s="486"/>
      <c r="K857" s="486"/>
      <c r="L857" s="486"/>
      <c r="M857" s="486"/>
      <c r="N857" s="486"/>
      <c r="O857" s="486"/>
      <c r="P857" s="486"/>
      <c r="Q857" s="486"/>
      <c r="R857" s="486"/>
      <c r="S857" s="486"/>
      <c r="T857" s="486"/>
      <c r="U857" s="486"/>
      <c r="V857" s="486"/>
      <c r="W857" s="486"/>
      <c r="X857" s="486"/>
      <c r="Y857" s="486"/>
      <c r="Z857" s="486"/>
    </row>
    <row r="858" spans="1:26" ht="15.75" customHeight="1">
      <c r="A858" s="486"/>
      <c r="B858" s="486"/>
      <c r="C858" s="486"/>
      <c r="D858" s="486"/>
      <c r="E858" s="486"/>
      <c r="F858" s="486"/>
      <c r="G858" s="486"/>
      <c r="H858" s="486"/>
      <c r="I858" s="486"/>
      <c r="J858" s="486"/>
      <c r="K858" s="486"/>
      <c r="L858" s="486"/>
      <c r="M858" s="486"/>
      <c r="N858" s="486"/>
      <c r="O858" s="486"/>
      <c r="P858" s="486"/>
      <c r="Q858" s="486"/>
      <c r="R858" s="486"/>
      <c r="S858" s="486"/>
      <c r="T858" s="486"/>
      <c r="U858" s="486"/>
      <c r="V858" s="486"/>
      <c r="W858" s="486"/>
      <c r="X858" s="486"/>
      <c r="Y858" s="486"/>
      <c r="Z858" s="486"/>
    </row>
    <row r="859" spans="1:26" ht="15.75" customHeight="1">
      <c r="A859" s="486"/>
      <c r="B859" s="486"/>
      <c r="C859" s="486"/>
      <c r="D859" s="486"/>
      <c r="E859" s="486"/>
      <c r="F859" s="486"/>
      <c r="G859" s="486"/>
      <c r="H859" s="486"/>
      <c r="I859" s="486"/>
      <c r="J859" s="486"/>
      <c r="K859" s="486"/>
      <c r="L859" s="486"/>
      <c r="M859" s="486"/>
      <c r="N859" s="486"/>
      <c r="O859" s="486"/>
      <c r="P859" s="486"/>
      <c r="Q859" s="486"/>
      <c r="R859" s="486"/>
      <c r="S859" s="486"/>
      <c r="T859" s="486"/>
      <c r="U859" s="486"/>
      <c r="V859" s="486"/>
      <c r="W859" s="486"/>
      <c r="X859" s="486"/>
      <c r="Y859" s="486"/>
      <c r="Z859" s="486"/>
    </row>
    <row r="860" spans="1:26" ht="15.75" customHeight="1">
      <c r="A860" s="486"/>
      <c r="B860" s="486"/>
      <c r="C860" s="486"/>
      <c r="D860" s="486"/>
      <c r="E860" s="486"/>
      <c r="F860" s="486"/>
      <c r="G860" s="486"/>
      <c r="H860" s="486"/>
      <c r="I860" s="486"/>
      <c r="J860" s="486"/>
      <c r="K860" s="486"/>
      <c r="L860" s="486"/>
      <c r="M860" s="486"/>
      <c r="N860" s="486"/>
      <c r="O860" s="486"/>
      <c r="P860" s="486"/>
      <c r="Q860" s="486"/>
      <c r="R860" s="486"/>
      <c r="S860" s="486"/>
      <c r="T860" s="486"/>
      <c r="U860" s="486"/>
      <c r="V860" s="486"/>
      <c r="W860" s="486"/>
      <c r="X860" s="486"/>
      <c r="Y860" s="486"/>
      <c r="Z860" s="486"/>
    </row>
    <row r="861" spans="1:26" ht="15.75" customHeight="1">
      <c r="A861" s="486"/>
      <c r="B861" s="486"/>
      <c r="C861" s="486"/>
      <c r="D861" s="486"/>
      <c r="E861" s="486"/>
      <c r="F861" s="486"/>
      <c r="G861" s="486"/>
      <c r="H861" s="486"/>
      <c r="I861" s="486"/>
      <c r="J861" s="486"/>
      <c r="K861" s="486"/>
      <c r="L861" s="486"/>
      <c r="M861" s="486"/>
      <c r="N861" s="486"/>
      <c r="O861" s="486"/>
      <c r="P861" s="486"/>
      <c r="Q861" s="486"/>
      <c r="R861" s="486"/>
      <c r="S861" s="486"/>
      <c r="T861" s="486"/>
      <c r="U861" s="486"/>
      <c r="V861" s="486"/>
      <c r="W861" s="486"/>
      <c r="X861" s="486"/>
      <c r="Y861" s="486"/>
      <c r="Z861" s="486"/>
    </row>
    <row r="862" spans="1:26" ht="15.75" customHeight="1">
      <c r="A862" s="486"/>
      <c r="B862" s="486"/>
      <c r="C862" s="486"/>
      <c r="D862" s="486"/>
      <c r="E862" s="486"/>
      <c r="F862" s="486"/>
      <c r="G862" s="486"/>
      <c r="H862" s="486"/>
      <c r="I862" s="486"/>
      <c r="J862" s="486"/>
      <c r="K862" s="486"/>
      <c r="L862" s="486"/>
      <c r="M862" s="486"/>
      <c r="N862" s="486"/>
      <c r="O862" s="486"/>
      <c r="P862" s="486"/>
      <c r="Q862" s="486"/>
      <c r="R862" s="486"/>
      <c r="S862" s="486"/>
      <c r="T862" s="486"/>
      <c r="U862" s="486"/>
      <c r="V862" s="486"/>
      <c r="W862" s="486"/>
      <c r="X862" s="486"/>
      <c r="Y862" s="486"/>
      <c r="Z862" s="486"/>
    </row>
    <row r="863" spans="1:26" ht="15.75" customHeight="1">
      <c r="A863" s="486"/>
      <c r="B863" s="486"/>
      <c r="C863" s="486"/>
      <c r="D863" s="486"/>
      <c r="E863" s="486"/>
      <c r="F863" s="486"/>
      <c r="G863" s="486"/>
      <c r="H863" s="486"/>
      <c r="I863" s="486"/>
      <c r="J863" s="486"/>
      <c r="K863" s="486"/>
      <c r="L863" s="486"/>
      <c r="M863" s="486"/>
      <c r="N863" s="486"/>
      <c r="O863" s="486"/>
      <c r="P863" s="486"/>
      <c r="Q863" s="486"/>
      <c r="R863" s="486"/>
      <c r="S863" s="486"/>
      <c r="T863" s="486"/>
      <c r="U863" s="486"/>
      <c r="V863" s="486"/>
      <c r="W863" s="486"/>
      <c r="X863" s="486"/>
      <c r="Y863" s="486"/>
      <c r="Z863" s="486"/>
    </row>
    <row r="864" spans="1:26" ht="15.75" customHeight="1">
      <c r="A864" s="486"/>
      <c r="B864" s="486"/>
      <c r="C864" s="486"/>
      <c r="D864" s="486"/>
      <c r="E864" s="486"/>
      <c r="F864" s="486"/>
      <c r="G864" s="486"/>
      <c r="H864" s="486"/>
      <c r="I864" s="486"/>
      <c r="J864" s="486"/>
      <c r="K864" s="486"/>
      <c r="L864" s="486"/>
      <c r="M864" s="486"/>
      <c r="N864" s="486"/>
      <c r="O864" s="486"/>
      <c r="P864" s="486"/>
      <c r="Q864" s="486"/>
      <c r="R864" s="486"/>
      <c r="S864" s="486"/>
      <c r="T864" s="486"/>
      <c r="U864" s="486"/>
      <c r="V864" s="486"/>
      <c r="W864" s="486"/>
      <c r="X864" s="486"/>
      <c r="Y864" s="486"/>
      <c r="Z864" s="486"/>
    </row>
    <row r="865" spans="1:26" ht="15.75" customHeight="1">
      <c r="A865" s="486"/>
      <c r="B865" s="486"/>
      <c r="C865" s="486"/>
      <c r="D865" s="486"/>
      <c r="E865" s="486"/>
      <c r="F865" s="486"/>
      <c r="G865" s="486"/>
      <c r="H865" s="486"/>
      <c r="I865" s="486"/>
      <c r="J865" s="486"/>
      <c r="K865" s="486"/>
      <c r="L865" s="486"/>
      <c r="M865" s="486"/>
      <c r="N865" s="486"/>
      <c r="O865" s="486"/>
      <c r="P865" s="486"/>
      <c r="Q865" s="486"/>
      <c r="R865" s="486"/>
      <c r="S865" s="486"/>
      <c r="T865" s="486"/>
      <c r="U865" s="486"/>
      <c r="V865" s="486"/>
      <c r="W865" s="486"/>
      <c r="X865" s="486"/>
      <c r="Y865" s="486"/>
      <c r="Z865" s="486"/>
    </row>
    <row r="866" spans="1:26" ht="15.75" customHeight="1">
      <c r="A866" s="486"/>
      <c r="B866" s="486"/>
      <c r="C866" s="486"/>
      <c r="D866" s="486"/>
      <c r="E866" s="486"/>
      <c r="F866" s="486"/>
      <c r="G866" s="486"/>
      <c r="H866" s="486"/>
      <c r="I866" s="486"/>
      <c r="J866" s="486"/>
      <c r="K866" s="486"/>
      <c r="L866" s="486"/>
      <c r="M866" s="486"/>
      <c r="N866" s="486"/>
      <c r="O866" s="486"/>
      <c r="P866" s="486"/>
      <c r="Q866" s="486"/>
      <c r="R866" s="486"/>
      <c r="S866" s="486"/>
      <c r="T866" s="486"/>
      <c r="U866" s="486"/>
      <c r="V866" s="486"/>
      <c r="W866" s="486"/>
      <c r="X866" s="486"/>
      <c r="Y866" s="486"/>
      <c r="Z866" s="486"/>
    </row>
    <row r="867" spans="1:26" ht="15.75" customHeight="1">
      <c r="A867" s="486"/>
      <c r="B867" s="486"/>
      <c r="C867" s="486"/>
      <c r="D867" s="486"/>
      <c r="E867" s="486"/>
      <c r="F867" s="486"/>
      <c r="G867" s="486"/>
      <c r="H867" s="486"/>
      <c r="I867" s="486"/>
      <c r="J867" s="486"/>
      <c r="K867" s="486"/>
      <c r="L867" s="486"/>
      <c r="M867" s="486"/>
      <c r="N867" s="486"/>
      <c r="O867" s="486"/>
      <c r="P867" s="486"/>
      <c r="Q867" s="486"/>
      <c r="R867" s="486"/>
      <c r="S867" s="486"/>
      <c r="T867" s="486"/>
      <c r="U867" s="486"/>
      <c r="V867" s="486"/>
      <c r="W867" s="486"/>
      <c r="X867" s="486"/>
      <c r="Y867" s="486"/>
      <c r="Z867" s="486"/>
    </row>
    <row r="868" spans="1:26" ht="15.75" customHeight="1">
      <c r="A868" s="486"/>
      <c r="B868" s="486"/>
      <c r="C868" s="486"/>
      <c r="D868" s="486"/>
      <c r="E868" s="486"/>
      <c r="F868" s="486"/>
      <c r="G868" s="486"/>
      <c r="H868" s="486"/>
      <c r="I868" s="486"/>
      <c r="J868" s="486"/>
      <c r="K868" s="486"/>
      <c r="L868" s="486"/>
      <c r="M868" s="486"/>
      <c r="N868" s="486"/>
      <c r="O868" s="486"/>
      <c r="P868" s="486"/>
      <c r="Q868" s="486"/>
      <c r="R868" s="486"/>
      <c r="S868" s="486"/>
      <c r="T868" s="486"/>
      <c r="U868" s="486"/>
      <c r="V868" s="486"/>
      <c r="W868" s="486"/>
      <c r="X868" s="486"/>
      <c r="Y868" s="486"/>
      <c r="Z868" s="486"/>
    </row>
    <row r="869" spans="1:26" ht="15.75" customHeight="1">
      <c r="A869" s="486"/>
      <c r="B869" s="486"/>
      <c r="C869" s="486"/>
      <c r="D869" s="486"/>
      <c r="E869" s="486"/>
      <c r="F869" s="486"/>
      <c r="G869" s="486"/>
      <c r="H869" s="486"/>
      <c r="I869" s="486"/>
      <c r="J869" s="486"/>
      <c r="K869" s="486"/>
      <c r="L869" s="486"/>
      <c r="M869" s="486"/>
      <c r="N869" s="486"/>
      <c r="O869" s="486"/>
      <c r="P869" s="486"/>
      <c r="Q869" s="486"/>
      <c r="R869" s="486"/>
      <c r="S869" s="486"/>
      <c r="T869" s="486"/>
      <c r="U869" s="486"/>
      <c r="V869" s="486"/>
      <c r="W869" s="486"/>
      <c r="X869" s="486"/>
      <c r="Y869" s="486"/>
      <c r="Z869" s="486"/>
    </row>
    <row r="870" spans="1:26" ht="15.75" customHeight="1">
      <c r="A870" s="486"/>
      <c r="B870" s="486"/>
      <c r="C870" s="486"/>
      <c r="D870" s="486"/>
      <c r="E870" s="486"/>
      <c r="F870" s="486"/>
      <c r="G870" s="486"/>
      <c r="H870" s="486"/>
      <c r="I870" s="486"/>
      <c r="J870" s="486"/>
      <c r="K870" s="486"/>
      <c r="L870" s="486"/>
      <c r="M870" s="486"/>
      <c r="N870" s="486"/>
      <c r="O870" s="486"/>
      <c r="P870" s="486"/>
      <c r="Q870" s="486"/>
      <c r="R870" s="486"/>
      <c r="S870" s="486"/>
      <c r="T870" s="486"/>
      <c r="U870" s="486"/>
      <c r="V870" s="486"/>
      <c r="W870" s="486"/>
      <c r="X870" s="486"/>
      <c r="Y870" s="486"/>
      <c r="Z870" s="486"/>
    </row>
    <row r="871" spans="1:26" ht="15.75" customHeight="1">
      <c r="A871" s="486"/>
      <c r="B871" s="486"/>
      <c r="C871" s="486"/>
      <c r="D871" s="486"/>
      <c r="E871" s="486"/>
      <c r="F871" s="486"/>
      <c r="G871" s="486"/>
      <c r="H871" s="486"/>
      <c r="I871" s="486"/>
      <c r="J871" s="486"/>
      <c r="K871" s="486"/>
      <c r="L871" s="486"/>
      <c r="M871" s="486"/>
      <c r="N871" s="486"/>
      <c r="O871" s="486"/>
      <c r="P871" s="486"/>
      <c r="Q871" s="486"/>
      <c r="R871" s="486"/>
      <c r="S871" s="486"/>
      <c r="T871" s="486"/>
      <c r="U871" s="486"/>
      <c r="V871" s="486"/>
      <c r="W871" s="486"/>
      <c r="X871" s="486"/>
      <c r="Y871" s="486"/>
      <c r="Z871" s="486"/>
    </row>
    <row r="872" spans="1:26" ht="15.75" customHeight="1">
      <c r="A872" s="486"/>
      <c r="B872" s="486"/>
      <c r="C872" s="486"/>
      <c r="D872" s="486"/>
      <c r="E872" s="486"/>
      <c r="F872" s="486"/>
      <c r="G872" s="486"/>
      <c r="H872" s="486"/>
      <c r="I872" s="486"/>
      <c r="J872" s="486"/>
      <c r="K872" s="486"/>
      <c r="L872" s="486"/>
      <c r="M872" s="486"/>
      <c r="N872" s="486"/>
      <c r="O872" s="486"/>
      <c r="P872" s="486"/>
      <c r="Q872" s="486"/>
      <c r="R872" s="486"/>
      <c r="S872" s="486"/>
      <c r="T872" s="486"/>
      <c r="U872" s="486"/>
      <c r="V872" s="486"/>
      <c r="W872" s="486"/>
      <c r="X872" s="486"/>
      <c r="Y872" s="486"/>
      <c r="Z872" s="486"/>
    </row>
    <row r="873" spans="1:26" ht="15.75" customHeight="1">
      <c r="A873" s="486"/>
      <c r="B873" s="486"/>
      <c r="C873" s="486"/>
      <c r="D873" s="486"/>
      <c r="E873" s="486"/>
      <c r="F873" s="486"/>
      <c r="G873" s="486"/>
      <c r="H873" s="486"/>
      <c r="I873" s="486"/>
      <c r="J873" s="486"/>
      <c r="K873" s="486"/>
      <c r="L873" s="486"/>
      <c r="M873" s="486"/>
      <c r="N873" s="486"/>
      <c r="O873" s="486"/>
      <c r="P873" s="486"/>
      <c r="Q873" s="486"/>
      <c r="R873" s="486"/>
      <c r="S873" s="486"/>
      <c r="T873" s="486"/>
      <c r="U873" s="486"/>
      <c r="V873" s="486"/>
      <c r="W873" s="486"/>
      <c r="X873" s="486"/>
      <c r="Y873" s="486"/>
      <c r="Z873" s="486"/>
    </row>
    <row r="874" spans="1:26" ht="15.75" customHeight="1">
      <c r="A874" s="486"/>
      <c r="B874" s="486"/>
      <c r="C874" s="486"/>
      <c r="D874" s="486"/>
      <c r="E874" s="486"/>
      <c r="F874" s="486"/>
      <c r="G874" s="486"/>
      <c r="H874" s="486"/>
      <c r="I874" s="486"/>
      <c r="J874" s="486"/>
      <c r="K874" s="486"/>
      <c r="L874" s="486"/>
      <c r="M874" s="486"/>
      <c r="N874" s="486"/>
      <c r="O874" s="486"/>
      <c r="P874" s="486"/>
      <c r="Q874" s="486"/>
      <c r="R874" s="486"/>
      <c r="S874" s="486"/>
      <c r="T874" s="486"/>
      <c r="U874" s="486"/>
      <c r="V874" s="486"/>
      <c r="W874" s="486"/>
      <c r="X874" s="486"/>
      <c r="Y874" s="486"/>
      <c r="Z874" s="486"/>
    </row>
    <row r="875" spans="1:26" ht="15.75" customHeight="1">
      <c r="A875" s="486"/>
      <c r="B875" s="486"/>
      <c r="C875" s="486"/>
      <c r="D875" s="486"/>
      <c r="E875" s="486"/>
      <c r="F875" s="486"/>
      <c r="G875" s="486"/>
      <c r="H875" s="486"/>
      <c r="I875" s="486"/>
      <c r="J875" s="486"/>
      <c r="K875" s="486"/>
      <c r="L875" s="486"/>
      <c r="M875" s="486"/>
      <c r="N875" s="486"/>
      <c r="O875" s="486"/>
      <c r="P875" s="486"/>
      <c r="Q875" s="486"/>
      <c r="R875" s="486"/>
      <c r="S875" s="486"/>
      <c r="T875" s="486"/>
      <c r="U875" s="486"/>
      <c r="V875" s="486"/>
      <c r="W875" s="486"/>
      <c r="X875" s="486"/>
      <c r="Y875" s="486"/>
      <c r="Z875" s="486"/>
    </row>
    <row r="876" spans="1:26" ht="15.75" customHeight="1">
      <c r="A876" s="486"/>
      <c r="B876" s="486"/>
      <c r="C876" s="486"/>
      <c r="D876" s="486"/>
      <c r="E876" s="486"/>
      <c r="F876" s="486"/>
      <c r="G876" s="486"/>
      <c r="H876" s="486"/>
      <c r="I876" s="486"/>
      <c r="J876" s="486"/>
      <c r="K876" s="486"/>
      <c r="L876" s="486"/>
      <c r="M876" s="486"/>
      <c r="N876" s="486"/>
      <c r="O876" s="486"/>
      <c r="P876" s="486"/>
      <c r="Q876" s="486"/>
      <c r="R876" s="486"/>
      <c r="S876" s="486"/>
      <c r="T876" s="486"/>
      <c r="U876" s="486"/>
      <c r="V876" s="486"/>
      <c r="W876" s="486"/>
      <c r="X876" s="486"/>
      <c r="Y876" s="486"/>
      <c r="Z876" s="486"/>
    </row>
    <row r="877" spans="1:26" ht="15.75" customHeight="1">
      <c r="A877" s="486"/>
      <c r="B877" s="486"/>
      <c r="C877" s="486"/>
      <c r="D877" s="486"/>
      <c r="E877" s="486"/>
      <c r="F877" s="486"/>
      <c r="G877" s="486"/>
      <c r="H877" s="486"/>
      <c r="I877" s="486"/>
      <c r="J877" s="486"/>
      <c r="K877" s="486"/>
      <c r="L877" s="486"/>
      <c r="M877" s="486"/>
      <c r="N877" s="486"/>
      <c r="O877" s="486"/>
      <c r="P877" s="486"/>
      <c r="Q877" s="486"/>
      <c r="R877" s="486"/>
      <c r="S877" s="486"/>
      <c r="T877" s="486"/>
      <c r="U877" s="486"/>
      <c r="V877" s="486"/>
      <c r="W877" s="486"/>
      <c r="X877" s="486"/>
      <c r="Y877" s="486"/>
      <c r="Z877" s="486"/>
    </row>
    <row r="878" spans="1:26" ht="15.75" customHeight="1">
      <c r="A878" s="486"/>
      <c r="B878" s="486"/>
      <c r="C878" s="486"/>
      <c r="D878" s="486"/>
      <c r="E878" s="486"/>
      <c r="F878" s="486"/>
      <c r="G878" s="486"/>
      <c r="H878" s="486"/>
      <c r="I878" s="486"/>
      <c r="J878" s="486"/>
      <c r="K878" s="486"/>
      <c r="L878" s="486"/>
      <c r="M878" s="486"/>
      <c r="N878" s="486"/>
      <c r="O878" s="486"/>
      <c r="P878" s="486"/>
      <c r="Q878" s="486"/>
      <c r="R878" s="486"/>
      <c r="S878" s="486"/>
      <c r="T878" s="486"/>
      <c r="U878" s="486"/>
      <c r="V878" s="486"/>
      <c r="W878" s="486"/>
      <c r="X878" s="486"/>
      <c r="Y878" s="486"/>
      <c r="Z878" s="486"/>
    </row>
    <row r="879" spans="1:26" ht="15.75" customHeight="1">
      <c r="A879" s="486"/>
      <c r="B879" s="486"/>
      <c r="C879" s="486"/>
      <c r="D879" s="486"/>
      <c r="E879" s="486"/>
      <c r="F879" s="486"/>
      <c r="G879" s="486"/>
      <c r="H879" s="486"/>
      <c r="I879" s="486"/>
      <c r="J879" s="486"/>
      <c r="K879" s="486"/>
      <c r="L879" s="486"/>
      <c r="M879" s="486"/>
      <c r="N879" s="486"/>
      <c r="O879" s="486"/>
      <c r="P879" s="486"/>
      <c r="Q879" s="486"/>
      <c r="R879" s="486"/>
      <c r="S879" s="486"/>
      <c r="T879" s="486"/>
      <c r="U879" s="486"/>
      <c r="V879" s="486"/>
      <c r="W879" s="486"/>
      <c r="X879" s="486"/>
      <c r="Y879" s="486"/>
      <c r="Z879" s="486"/>
    </row>
    <row r="880" spans="1:26" ht="15.75" customHeight="1">
      <c r="A880" s="486"/>
      <c r="B880" s="486"/>
      <c r="C880" s="486"/>
      <c r="D880" s="486"/>
      <c r="E880" s="486"/>
      <c r="F880" s="486"/>
      <c r="G880" s="486"/>
      <c r="H880" s="486"/>
      <c r="I880" s="486"/>
      <c r="J880" s="486"/>
      <c r="K880" s="486"/>
      <c r="L880" s="486"/>
      <c r="M880" s="486"/>
      <c r="N880" s="486"/>
      <c r="O880" s="486"/>
      <c r="P880" s="486"/>
      <c r="Q880" s="486"/>
      <c r="R880" s="486"/>
      <c r="S880" s="486"/>
      <c r="T880" s="486"/>
      <c r="U880" s="486"/>
      <c r="V880" s="486"/>
      <c r="W880" s="486"/>
      <c r="X880" s="486"/>
      <c r="Y880" s="486"/>
      <c r="Z880" s="486"/>
    </row>
    <row r="881" spans="1:26" ht="15.75" customHeight="1">
      <c r="A881" s="486"/>
      <c r="B881" s="486"/>
      <c r="C881" s="486"/>
      <c r="D881" s="486"/>
      <c r="E881" s="486"/>
      <c r="F881" s="486"/>
      <c r="G881" s="486"/>
      <c r="H881" s="486"/>
      <c r="I881" s="486"/>
      <c r="J881" s="486"/>
      <c r="K881" s="486"/>
      <c r="L881" s="486"/>
      <c r="M881" s="486"/>
      <c r="N881" s="486"/>
      <c r="O881" s="486"/>
      <c r="P881" s="486"/>
      <c r="Q881" s="486"/>
      <c r="R881" s="486"/>
      <c r="S881" s="486"/>
      <c r="T881" s="486"/>
      <c r="U881" s="486"/>
      <c r="V881" s="486"/>
      <c r="W881" s="486"/>
      <c r="X881" s="486"/>
      <c r="Y881" s="486"/>
      <c r="Z881" s="486"/>
    </row>
    <row r="882" spans="1:26" ht="15.75" customHeight="1">
      <c r="A882" s="486"/>
      <c r="B882" s="486"/>
      <c r="C882" s="486"/>
      <c r="D882" s="486"/>
      <c r="E882" s="486"/>
      <c r="F882" s="486"/>
      <c r="G882" s="486"/>
      <c r="H882" s="486"/>
      <c r="I882" s="486"/>
      <c r="J882" s="486"/>
      <c r="K882" s="486"/>
      <c r="L882" s="486"/>
      <c r="M882" s="486"/>
      <c r="N882" s="486"/>
      <c r="O882" s="486"/>
      <c r="P882" s="486"/>
      <c r="Q882" s="486"/>
      <c r="R882" s="486"/>
      <c r="S882" s="486"/>
      <c r="T882" s="486"/>
      <c r="U882" s="486"/>
      <c r="V882" s="486"/>
      <c r="W882" s="486"/>
      <c r="X882" s="486"/>
      <c r="Y882" s="486"/>
      <c r="Z882" s="486"/>
    </row>
    <row r="883" spans="1:26" ht="15.75" customHeight="1">
      <c r="A883" s="486"/>
      <c r="B883" s="486"/>
      <c r="C883" s="486"/>
      <c r="D883" s="486"/>
      <c r="E883" s="486"/>
      <c r="F883" s="486"/>
      <c r="G883" s="486"/>
      <c r="H883" s="486"/>
      <c r="I883" s="486"/>
      <c r="J883" s="486"/>
      <c r="K883" s="486"/>
      <c r="L883" s="486"/>
      <c r="M883" s="486"/>
      <c r="N883" s="486"/>
      <c r="O883" s="486"/>
      <c r="P883" s="486"/>
      <c r="Q883" s="486"/>
      <c r="R883" s="486"/>
      <c r="S883" s="486"/>
      <c r="T883" s="486"/>
      <c r="U883" s="486"/>
      <c r="V883" s="486"/>
      <c r="W883" s="486"/>
      <c r="X883" s="486"/>
      <c r="Y883" s="486"/>
      <c r="Z883" s="486"/>
    </row>
    <row r="884" spans="1:26" ht="15.75" customHeight="1">
      <c r="A884" s="486"/>
      <c r="B884" s="486"/>
      <c r="C884" s="486"/>
      <c r="D884" s="486"/>
      <c r="E884" s="486"/>
      <c r="F884" s="486"/>
      <c r="G884" s="486"/>
      <c r="H884" s="486"/>
      <c r="I884" s="486"/>
      <c r="J884" s="486"/>
      <c r="K884" s="486"/>
      <c r="L884" s="486"/>
      <c r="M884" s="486"/>
      <c r="N884" s="486"/>
      <c r="O884" s="486"/>
      <c r="P884" s="486"/>
      <c r="Q884" s="486"/>
      <c r="R884" s="486"/>
      <c r="S884" s="486"/>
      <c r="T884" s="486"/>
      <c r="U884" s="486"/>
      <c r="V884" s="486"/>
      <c r="W884" s="486"/>
      <c r="X884" s="486"/>
      <c r="Y884" s="486"/>
      <c r="Z884" s="486"/>
    </row>
    <row r="885" spans="1:26" ht="15.75" customHeight="1">
      <c r="A885" s="486"/>
      <c r="B885" s="486"/>
      <c r="C885" s="486"/>
      <c r="D885" s="486"/>
      <c r="E885" s="486"/>
      <c r="F885" s="486"/>
      <c r="G885" s="486"/>
      <c r="H885" s="486"/>
      <c r="I885" s="486"/>
      <c r="J885" s="486"/>
      <c r="K885" s="486"/>
      <c r="L885" s="486"/>
      <c r="M885" s="486"/>
      <c r="N885" s="486"/>
      <c r="O885" s="486"/>
      <c r="P885" s="486"/>
      <c r="Q885" s="486"/>
      <c r="R885" s="486"/>
      <c r="S885" s="486"/>
      <c r="T885" s="486"/>
      <c r="U885" s="486"/>
      <c r="V885" s="486"/>
      <c r="W885" s="486"/>
      <c r="X885" s="486"/>
      <c r="Y885" s="486"/>
      <c r="Z885" s="486"/>
    </row>
    <row r="886" spans="1:26" ht="15.75" customHeight="1">
      <c r="A886" s="486"/>
      <c r="B886" s="486"/>
      <c r="C886" s="486"/>
      <c r="D886" s="486"/>
      <c r="E886" s="486"/>
      <c r="F886" s="486"/>
      <c r="G886" s="486"/>
      <c r="H886" s="486"/>
      <c r="I886" s="486"/>
      <c r="J886" s="486"/>
      <c r="K886" s="486"/>
      <c r="L886" s="486"/>
      <c r="M886" s="486"/>
      <c r="N886" s="486"/>
      <c r="O886" s="486"/>
      <c r="P886" s="486"/>
      <c r="Q886" s="486"/>
      <c r="R886" s="486"/>
      <c r="S886" s="486"/>
      <c r="T886" s="486"/>
      <c r="U886" s="486"/>
      <c r="V886" s="486"/>
      <c r="W886" s="486"/>
      <c r="X886" s="486"/>
      <c r="Y886" s="486"/>
      <c r="Z886" s="486"/>
    </row>
    <row r="887" spans="1:26" ht="15.75" customHeight="1">
      <c r="A887" s="486"/>
      <c r="B887" s="486"/>
      <c r="C887" s="486"/>
      <c r="D887" s="486"/>
      <c r="E887" s="486"/>
      <c r="F887" s="486"/>
      <c r="G887" s="486"/>
      <c r="H887" s="486"/>
      <c r="I887" s="486"/>
      <c r="J887" s="486"/>
      <c r="K887" s="486"/>
      <c r="L887" s="486"/>
      <c r="M887" s="486"/>
      <c r="N887" s="486"/>
      <c r="O887" s="486"/>
      <c r="P887" s="486"/>
      <c r="Q887" s="486"/>
      <c r="R887" s="486"/>
      <c r="S887" s="486"/>
      <c r="T887" s="486"/>
      <c r="U887" s="486"/>
      <c r="V887" s="486"/>
      <c r="W887" s="486"/>
      <c r="X887" s="486"/>
      <c r="Y887" s="486"/>
      <c r="Z887" s="486"/>
    </row>
    <row r="888" spans="1:26" ht="15.75" customHeight="1">
      <c r="A888" s="486"/>
      <c r="B888" s="486"/>
      <c r="C888" s="486"/>
      <c r="D888" s="486"/>
      <c r="E888" s="486"/>
      <c r="F888" s="486"/>
      <c r="G888" s="486"/>
      <c r="H888" s="486"/>
      <c r="I888" s="486"/>
      <c r="J888" s="486"/>
      <c r="K888" s="486"/>
      <c r="L888" s="486"/>
      <c r="M888" s="486"/>
      <c r="N888" s="486"/>
      <c r="O888" s="486"/>
      <c r="P888" s="486"/>
      <c r="Q888" s="486"/>
      <c r="R888" s="486"/>
      <c r="S888" s="486"/>
      <c r="T888" s="486"/>
      <c r="U888" s="486"/>
      <c r="V888" s="486"/>
      <c r="W888" s="486"/>
      <c r="X888" s="486"/>
      <c r="Y888" s="486"/>
      <c r="Z888" s="486"/>
    </row>
    <row r="889" spans="1:26" ht="15.75" customHeight="1">
      <c r="A889" s="486"/>
      <c r="B889" s="486"/>
      <c r="C889" s="486"/>
      <c r="D889" s="486"/>
      <c r="E889" s="486"/>
      <c r="F889" s="486"/>
      <c r="G889" s="486"/>
      <c r="H889" s="486"/>
      <c r="I889" s="486"/>
      <c r="J889" s="486"/>
      <c r="K889" s="486"/>
      <c r="L889" s="486"/>
      <c r="M889" s="486"/>
      <c r="N889" s="486"/>
      <c r="O889" s="486"/>
      <c r="P889" s="486"/>
      <c r="Q889" s="486"/>
      <c r="R889" s="486"/>
      <c r="S889" s="486"/>
      <c r="T889" s="486"/>
      <c r="U889" s="486"/>
      <c r="V889" s="486"/>
      <c r="W889" s="486"/>
      <c r="X889" s="486"/>
      <c r="Y889" s="486"/>
      <c r="Z889" s="486"/>
    </row>
    <row r="890" spans="1:26" ht="15.75" customHeight="1">
      <c r="A890" s="486"/>
      <c r="B890" s="486"/>
      <c r="C890" s="486"/>
      <c r="D890" s="486"/>
      <c r="E890" s="486"/>
      <c r="F890" s="486"/>
      <c r="G890" s="486"/>
      <c r="H890" s="486"/>
      <c r="I890" s="486"/>
      <c r="J890" s="486"/>
      <c r="K890" s="486"/>
      <c r="L890" s="486"/>
      <c r="M890" s="486"/>
      <c r="N890" s="486"/>
      <c r="O890" s="486"/>
      <c r="P890" s="486"/>
      <c r="Q890" s="486"/>
      <c r="R890" s="486"/>
      <c r="S890" s="486"/>
      <c r="T890" s="486"/>
      <c r="U890" s="486"/>
      <c r="V890" s="486"/>
      <c r="W890" s="486"/>
      <c r="X890" s="486"/>
      <c r="Y890" s="486"/>
      <c r="Z890" s="486"/>
    </row>
    <row r="891" spans="1:26" ht="15.75" customHeight="1">
      <c r="A891" s="486"/>
      <c r="B891" s="486"/>
      <c r="C891" s="486"/>
      <c r="D891" s="486"/>
      <c r="E891" s="486"/>
      <c r="F891" s="486"/>
      <c r="G891" s="486"/>
      <c r="H891" s="486"/>
      <c r="I891" s="486"/>
      <c r="J891" s="486"/>
      <c r="K891" s="486"/>
      <c r="L891" s="486"/>
      <c r="M891" s="486"/>
      <c r="N891" s="486"/>
      <c r="O891" s="486"/>
      <c r="P891" s="486"/>
      <c r="Q891" s="486"/>
      <c r="R891" s="486"/>
      <c r="S891" s="486"/>
      <c r="T891" s="486"/>
      <c r="U891" s="486"/>
      <c r="V891" s="486"/>
      <c r="W891" s="486"/>
      <c r="X891" s="486"/>
      <c r="Y891" s="486"/>
      <c r="Z891" s="486"/>
    </row>
    <row r="892" spans="1:26" ht="15.75" customHeight="1">
      <c r="A892" s="486"/>
      <c r="B892" s="486"/>
      <c r="C892" s="486"/>
      <c r="D892" s="486"/>
      <c r="E892" s="486"/>
      <c r="F892" s="486"/>
      <c r="G892" s="486"/>
      <c r="H892" s="486"/>
      <c r="I892" s="486"/>
      <c r="J892" s="486"/>
      <c r="K892" s="486"/>
      <c r="L892" s="486"/>
      <c r="M892" s="486"/>
      <c r="N892" s="486"/>
      <c r="O892" s="486"/>
      <c r="P892" s="486"/>
      <c r="Q892" s="486"/>
      <c r="R892" s="486"/>
      <c r="S892" s="486"/>
      <c r="T892" s="486"/>
      <c r="U892" s="486"/>
      <c r="V892" s="486"/>
      <c r="W892" s="486"/>
      <c r="X892" s="486"/>
      <c r="Y892" s="486"/>
      <c r="Z892" s="486"/>
    </row>
    <row r="893" spans="1:26" ht="15.75" customHeight="1">
      <c r="A893" s="486"/>
      <c r="B893" s="486"/>
      <c r="C893" s="486"/>
      <c r="D893" s="486"/>
      <c r="E893" s="486"/>
      <c r="F893" s="486"/>
      <c r="G893" s="486"/>
      <c r="H893" s="486"/>
      <c r="I893" s="486"/>
      <c r="J893" s="486"/>
      <c r="K893" s="486"/>
      <c r="L893" s="486"/>
      <c r="M893" s="486"/>
      <c r="N893" s="486"/>
      <c r="O893" s="486"/>
      <c r="P893" s="486"/>
      <c r="Q893" s="486"/>
      <c r="R893" s="486"/>
      <c r="S893" s="486"/>
      <c r="T893" s="486"/>
      <c r="U893" s="486"/>
      <c r="V893" s="486"/>
      <c r="W893" s="486"/>
      <c r="X893" s="486"/>
      <c r="Y893" s="486"/>
      <c r="Z893" s="486"/>
    </row>
    <row r="894" spans="1:26" ht="15.75" customHeight="1">
      <c r="A894" s="486"/>
      <c r="B894" s="486"/>
      <c r="C894" s="486"/>
      <c r="D894" s="486"/>
      <c r="E894" s="486"/>
      <c r="F894" s="486"/>
      <c r="G894" s="486"/>
      <c r="H894" s="486"/>
      <c r="I894" s="486"/>
      <c r="J894" s="486"/>
      <c r="K894" s="486"/>
      <c r="L894" s="486"/>
      <c r="M894" s="486"/>
      <c r="N894" s="486"/>
      <c r="O894" s="486"/>
      <c r="P894" s="486"/>
      <c r="Q894" s="486"/>
      <c r="R894" s="486"/>
      <c r="S894" s="486"/>
      <c r="T894" s="486"/>
      <c r="U894" s="486"/>
      <c r="V894" s="486"/>
      <c r="W894" s="486"/>
      <c r="X894" s="486"/>
      <c r="Y894" s="486"/>
      <c r="Z894" s="486"/>
    </row>
    <row r="895" spans="1:26" ht="15.75" customHeight="1">
      <c r="A895" s="486"/>
      <c r="B895" s="486"/>
      <c r="C895" s="486"/>
      <c r="D895" s="486"/>
      <c r="E895" s="486"/>
      <c r="F895" s="486"/>
      <c r="G895" s="486"/>
      <c r="H895" s="486"/>
      <c r="I895" s="486"/>
      <c r="J895" s="486"/>
      <c r="K895" s="486"/>
      <c r="L895" s="486"/>
      <c r="M895" s="486"/>
      <c r="N895" s="486"/>
      <c r="O895" s="486"/>
      <c r="P895" s="486"/>
      <c r="Q895" s="486"/>
      <c r="R895" s="486"/>
      <c r="S895" s="486"/>
      <c r="T895" s="486"/>
      <c r="U895" s="486"/>
      <c r="V895" s="486"/>
      <c r="W895" s="486"/>
      <c r="X895" s="486"/>
      <c r="Y895" s="486"/>
      <c r="Z895" s="486"/>
    </row>
    <row r="896" spans="1:26" ht="15.75" customHeight="1">
      <c r="A896" s="486"/>
      <c r="B896" s="486"/>
      <c r="C896" s="486"/>
      <c r="D896" s="486"/>
      <c r="E896" s="486"/>
      <c r="F896" s="486"/>
      <c r="G896" s="486"/>
      <c r="H896" s="486"/>
      <c r="I896" s="486"/>
      <c r="J896" s="486"/>
      <c r="K896" s="486"/>
      <c r="L896" s="486"/>
      <c r="M896" s="486"/>
      <c r="N896" s="486"/>
      <c r="O896" s="486"/>
      <c r="P896" s="486"/>
      <c r="Q896" s="486"/>
      <c r="R896" s="486"/>
      <c r="S896" s="486"/>
      <c r="T896" s="486"/>
      <c r="U896" s="486"/>
      <c r="V896" s="486"/>
      <c r="W896" s="486"/>
      <c r="X896" s="486"/>
      <c r="Y896" s="486"/>
      <c r="Z896" s="486"/>
    </row>
    <row r="897" spans="1:26" ht="15.75" customHeight="1">
      <c r="A897" s="486"/>
      <c r="B897" s="486"/>
      <c r="C897" s="486"/>
      <c r="D897" s="486"/>
      <c r="E897" s="486"/>
      <c r="F897" s="486"/>
      <c r="G897" s="486"/>
      <c r="H897" s="486"/>
      <c r="I897" s="486"/>
      <c r="J897" s="486"/>
      <c r="K897" s="486"/>
      <c r="L897" s="486"/>
      <c r="M897" s="486"/>
      <c r="N897" s="486"/>
      <c r="O897" s="486"/>
      <c r="P897" s="486"/>
      <c r="Q897" s="486"/>
      <c r="R897" s="486"/>
      <c r="S897" s="486"/>
      <c r="T897" s="486"/>
      <c r="U897" s="486"/>
      <c r="V897" s="486"/>
      <c r="W897" s="486"/>
      <c r="X897" s="486"/>
      <c r="Y897" s="486"/>
      <c r="Z897" s="486"/>
    </row>
    <row r="898" spans="1:26" ht="15.75" customHeight="1">
      <c r="A898" s="486"/>
      <c r="B898" s="486"/>
      <c r="C898" s="486"/>
      <c r="D898" s="486"/>
      <c r="E898" s="486"/>
      <c r="F898" s="486"/>
      <c r="G898" s="486"/>
      <c r="H898" s="486"/>
      <c r="I898" s="486"/>
      <c r="J898" s="486"/>
      <c r="K898" s="486"/>
      <c r="L898" s="486"/>
      <c r="M898" s="486"/>
      <c r="N898" s="486"/>
      <c r="O898" s="486"/>
      <c r="P898" s="486"/>
      <c r="Q898" s="486"/>
      <c r="R898" s="486"/>
      <c r="S898" s="486"/>
      <c r="T898" s="486"/>
      <c r="U898" s="486"/>
      <c r="V898" s="486"/>
      <c r="W898" s="486"/>
      <c r="X898" s="486"/>
      <c r="Y898" s="486"/>
      <c r="Z898" s="486"/>
    </row>
    <row r="899" spans="1:26" ht="15.75" customHeight="1">
      <c r="A899" s="486"/>
      <c r="B899" s="486"/>
      <c r="C899" s="486"/>
      <c r="D899" s="486"/>
      <c r="E899" s="486"/>
      <c r="F899" s="486"/>
      <c r="G899" s="486"/>
      <c r="H899" s="486"/>
      <c r="I899" s="486"/>
      <c r="J899" s="486"/>
      <c r="K899" s="486"/>
      <c r="L899" s="486"/>
      <c r="M899" s="486"/>
      <c r="N899" s="486"/>
      <c r="O899" s="486"/>
      <c r="P899" s="486"/>
      <c r="Q899" s="486"/>
      <c r="R899" s="486"/>
      <c r="S899" s="486"/>
      <c r="T899" s="486"/>
      <c r="U899" s="486"/>
      <c r="V899" s="486"/>
      <c r="W899" s="486"/>
      <c r="X899" s="486"/>
      <c r="Y899" s="486"/>
      <c r="Z899" s="486"/>
    </row>
    <row r="900" spans="1:26" ht="15.75" customHeight="1">
      <c r="A900" s="486"/>
      <c r="B900" s="486"/>
      <c r="C900" s="486"/>
      <c r="D900" s="486"/>
      <c r="E900" s="486"/>
      <c r="F900" s="486"/>
      <c r="G900" s="486"/>
      <c r="H900" s="486"/>
      <c r="I900" s="486"/>
      <c r="J900" s="486"/>
      <c r="K900" s="486"/>
      <c r="L900" s="486"/>
      <c r="M900" s="486"/>
      <c r="N900" s="486"/>
      <c r="O900" s="486"/>
      <c r="P900" s="486"/>
      <c r="Q900" s="486"/>
      <c r="R900" s="486"/>
      <c r="S900" s="486"/>
      <c r="T900" s="486"/>
      <c r="U900" s="486"/>
      <c r="V900" s="486"/>
      <c r="W900" s="486"/>
      <c r="X900" s="486"/>
      <c r="Y900" s="486"/>
      <c r="Z900" s="486"/>
    </row>
    <row r="901" spans="1:26" ht="15.75" customHeight="1">
      <c r="A901" s="486"/>
      <c r="B901" s="486"/>
      <c r="C901" s="486"/>
      <c r="D901" s="486"/>
      <c r="E901" s="486"/>
      <c r="F901" s="486"/>
      <c r="G901" s="486"/>
      <c r="H901" s="486"/>
      <c r="I901" s="486"/>
      <c r="J901" s="486"/>
      <c r="K901" s="486"/>
      <c r="L901" s="486"/>
      <c r="M901" s="486"/>
      <c r="N901" s="486"/>
      <c r="O901" s="486"/>
      <c r="P901" s="486"/>
      <c r="Q901" s="486"/>
      <c r="R901" s="486"/>
      <c r="S901" s="486"/>
      <c r="T901" s="486"/>
      <c r="U901" s="486"/>
      <c r="V901" s="486"/>
      <c r="W901" s="486"/>
      <c r="X901" s="486"/>
      <c r="Y901" s="486"/>
      <c r="Z901" s="486"/>
    </row>
    <row r="902" spans="1:26" ht="15.75" customHeight="1">
      <c r="A902" s="486"/>
      <c r="B902" s="486"/>
      <c r="C902" s="486"/>
      <c r="D902" s="486"/>
      <c r="E902" s="486"/>
      <c r="F902" s="486"/>
      <c r="G902" s="486"/>
      <c r="H902" s="486"/>
      <c r="I902" s="486"/>
      <c r="J902" s="486"/>
      <c r="K902" s="486"/>
      <c r="L902" s="486"/>
      <c r="M902" s="486"/>
      <c r="N902" s="486"/>
      <c r="O902" s="486"/>
      <c r="P902" s="486"/>
      <c r="Q902" s="486"/>
      <c r="R902" s="486"/>
      <c r="S902" s="486"/>
      <c r="T902" s="486"/>
      <c r="U902" s="486"/>
      <c r="V902" s="486"/>
      <c r="W902" s="486"/>
      <c r="X902" s="486"/>
      <c r="Y902" s="486"/>
      <c r="Z902" s="486"/>
    </row>
    <row r="903" spans="1:26" ht="15.75" customHeight="1">
      <c r="A903" s="486"/>
      <c r="B903" s="486"/>
      <c r="C903" s="486"/>
      <c r="D903" s="486"/>
      <c r="E903" s="486"/>
      <c r="F903" s="486"/>
      <c r="G903" s="486"/>
      <c r="H903" s="486"/>
      <c r="I903" s="486"/>
      <c r="J903" s="486"/>
      <c r="K903" s="486"/>
      <c r="L903" s="486"/>
      <c r="M903" s="486"/>
      <c r="N903" s="486"/>
      <c r="O903" s="486"/>
      <c r="P903" s="486"/>
      <c r="Q903" s="486"/>
      <c r="R903" s="486"/>
      <c r="S903" s="486"/>
      <c r="T903" s="486"/>
      <c r="U903" s="486"/>
      <c r="V903" s="486"/>
      <c r="W903" s="486"/>
      <c r="X903" s="486"/>
      <c r="Y903" s="486"/>
      <c r="Z903" s="486"/>
    </row>
    <row r="904" spans="1:26" ht="15.75" customHeight="1">
      <c r="A904" s="486"/>
      <c r="B904" s="486"/>
      <c r="C904" s="486"/>
      <c r="D904" s="486"/>
      <c r="E904" s="486"/>
      <c r="F904" s="486"/>
      <c r="G904" s="486"/>
      <c r="H904" s="486"/>
      <c r="I904" s="486"/>
      <c r="J904" s="486"/>
      <c r="K904" s="486"/>
      <c r="L904" s="486"/>
      <c r="M904" s="486"/>
      <c r="N904" s="486"/>
      <c r="O904" s="486"/>
      <c r="P904" s="486"/>
      <c r="Q904" s="486"/>
      <c r="R904" s="486"/>
      <c r="S904" s="486"/>
      <c r="T904" s="486"/>
      <c r="U904" s="486"/>
      <c r="V904" s="486"/>
      <c r="W904" s="486"/>
      <c r="X904" s="486"/>
      <c r="Y904" s="486"/>
      <c r="Z904" s="486"/>
    </row>
    <row r="905" spans="1:26" ht="15.75" customHeight="1">
      <c r="A905" s="486"/>
      <c r="B905" s="486"/>
      <c r="C905" s="486"/>
      <c r="D905" s="486"/>
      <c r="E905" s="486"/>
      <c r="F905" s="486"/>
      <c r="G905" s="486"/>
      <c r="H905" s="486"/>
      <c r="I905" s="486"/>
      <c r="J905" s="486"/>
      <c r="K905" s="486"/>
      <c r="L905" s="486"/>
      <c r="M905" s="486"/>
      <c r="N905" s="486"/>
      <c r="O905" s="486"/>
      <c r="P905" s="486"/>
      <c r="Q905" s="486"/>
      <c r="R905" s="486"/>
      <c r="S905" s="486"/>
      <c r="T905" s="486"/>
      <c r="U905" s="486"/>
      <c r="V905" s="486"/>
      <c r="W905" s="486"/>
      <c r="X905" s="486"/>
      <c r="Y905" s="486"/>
      <c r="Z905" s="486"/>
    </row>
    <row r="906" spans="1:26" ht="15.75" customHeight="1">
      <c r="A906" s="486"/>
      <c r="B906" s="486"/>
      <c r="C906" s="486"/>
      <c r="D906" s="486"/>
      <c r="E906" s="486"/>
      <c r="F906" s="486"/>
      <c r="G906" s="486"/>
      <c r="H906" s="486"/>
      <c r="I906" s="486"/>
      <c r="J906" s="486"/>
      <c r="K906" s="486"/>
      <c r="L906" s="486"/>
      <c r="M906" s="486"/>
      <c r="N906" s="486"/>
      <c r="O906" s="486"/>
      <c r="P906" s="486"/>
      <c r="Q906" s="486"/>
      <c r="R906" s="486"/>
      <c r="S906" s="486"/>
      <c r="T906" s="486"/>
      <c r="U906" s="486"/>
      <c r="V906" s="486"/>
      <c r="W906" s="486"/>
      <c r="X906" s="486"/>
      <c r="Y906" s="486"/>
      <c r="Z906" s="486"/>
    </row>
    <row r="907" spans="1:26" ht="15.75" customHeight="1">
      <c r="A907" s="486"/>
      <c r="B907" s="486"/>
      <c r="C907" s="486"/>
      <c r="D907" s="486"/>
      <c r="E907" s="486"/>
      <c r="F907" s="486"/>
      <c r="G907" s="486"/>
      <c r="H907" s="486"/>
      <c r="I907" s="486"/>
      <c r="J907" s="486"/>
      <c r="K907" s="486"/>
      <c r="L907" s="486"/>
      <c r="M907" s="486"/>
      <c r="N907" s="486"/>
      <c r="O907" s="486"/>
      <c r="P907" s="486"/>
      <c r="Q907" s="486"/>
      <c r="R907" s="486"/>
      <c r="S907" s="486"/>
      <c r="T907" s="486"/>
      <c r="U907" s="486"/>
      <c r="V907" s="486"/>
      <c r="W907" s="486"/>
      <c r="X907" s="486"/>
      <c r="Y907" s="486"/>
      <c r="Z907" s="486"/>
    </row>
    <row r="908" spans="1:26" ht="15.75" customHeight="1">
      <c r="A908" s="486"/>
      <c r="B908" s="486"/>
      <c r="C908" s="486"/>
      <c r="D908" s="486"/>
      <c r="E908" s="486"/>
      <c r="F908" s="486"/>
      <c r="G908" s="486"/>
      <c r="H908" s="486"/>
      <c r="I908" s="486"/>
      <c r="J908" s="486"/>
      <c r="K908" s="486"/>
      <c r="L908" s="486"/>
      <c r="M908" s="486"/>
      <c r="N908" s="486"/>
      <c r="O908" s="486"/>
      <c r="P908" s="486"/>
      <c r="Q908" s="486"/>
      <c r="R908" s="486"/>
      <c r="S908" s="486"/>
      <c r="T908" s="486"/>
      <c r="U908" s="486"/>
      <c r="V908" s="486"/>
      <c r="W908" s="486"/>
      <c r="X908" s="486"/>
      <c r="Y908" s="486"/>
      <c r="Z908" s="486"/>
    </row>
    <row r="909" spans="1:26" ht="15.75" customHeight="1">
      <c r="A909" s="486"/>
      <c r="B909" s="486"/>
      <c r="C909" s="486"/>
      <c r="D909" s="486"/>
      <c r="E909" s="486"/>
      <c r="F909" s="486"/>
      <c r="G909" s="486"/>
      <c r="H909" s="486"/>
      <c r="I909" s="486"/>
      <c r="J909" s="486"/>
      <c r="K909" s="486"/>
      <c r="L909" s="486"/>
      <c r="M909" s="486"/>
      <c r="N909" s="486"/>
      <c r="O909" s="486"/>
      <c r="P909" s="486"/>
      <c r="Q909" s="486"/>
      <c r="R909" s="486"/>
      <c r="S909" s="486"/>
      <c r="T909" s="486"/>
      <c r="U909" s="486"/>
      <c r="V909" s="486"/>
      <c r="W909" s="486"/>
      <c r="X909" s="486"/>
      <c r="Y909" s="486"/>
      <c r="Z909" s="486"/>
    </row>
    <row r="910" spans="1:26" ht="15.75" customHeight="1">
      <c r="A910" s="486"/>
      <c r="B910" s="486"/>
      <c r="C910" s="486"/>
      <c r="D910" s="486"/>
      <c r="E910" s="486"/>
      <c r="F910" s="486"/>
      <c r="G910" s="486"/>
      <c r="H910" s="486"/>
      <c r="I910" s="486"/>
      <c r="J910" s="486"/>
      <c r="K910" s="486"/>
      <c r="L910" s="486"/>
      <c r="M910" s="486"/>
      <c r="N910" s="486"/>
      <c r="O910" s="486"/>
      <c r="P910" s="486"/>
      <c r="Q910" s="486"/>
      <c r="R910" s="486"/>
      <c r="S910" s="486"/>
      <c r="T910" s="486"/>
      <c r="U910" s="486"/>
      <c r="V910" s="486"/>
      <c r="W910" s="486"/>
      <c r="X910" s="486"/>
      <c r="Y910" s="486"/>
      <c r="Z910" s="486"/>
    </row>
    <row r="911" spans="1:26" ht="15.75" customHeight="1">
      <c r="A911" s="486"/>
      <c r="B911" s="486"/>
      <c r="C911" s="486"/>
      <c r="D911" s="486"/>
      <c r="E911" s="486"/>
      <c r="F911" s="486"/>
      <c r="G911" s="486"/>
      <c r="H911" s="486"/>
      <c r="I911" s="486"/>
      <c r="J911" s="486"/>
      <c r="K911" s="486"/>
      <c r="L911" s="486"/>
      <c r="M911" s="486"/>
      <c r="N911" s="486"/>
      <c r="O911" s="486"/>
      <c r="P911" s="486"/>
      <c r="Q911" s="486"/>
      <c r="R911" s="486"/>
      <c r="S911" s="486"/>
      <c r="T911" s="486"/>
      <c r="U911" s="486"/>
      <c r="V911" s="486"/>
      <c r="W911" s="486"/>
      <c r="X911" s="486"/>
      <c r="Y911" s="486"/>
      <c r="Z911" s="486"/>
    </row>
    <row r="912" spans="1:26" ht="15.75" customHeight="1">
      <c r="A912" s="486"/>
      <c r="B912" s="486"/>
      <c r="C912" s="486"/>
      <c r="D912" s="486"/>
      <c r="E912" s="486"/>
      <c r="F912" s="486"/>
      <c r="G912" s="486"/>
      <c r="H912" s="486"/>
      <c r="I912" s="486"/>
      <c r="J912" s="486"/>
      <c r="K912" s="486"/>
      <c r="L912" s="486"/>
      <c r="M912" s="486"/>
      <c r="N912" s="486"/>
      <c r="O912" s="486"/>
      <c r="P912" s="486"/>
      <c r="Q912" s="486"/>
      <c r="R912" s="486"/>
      <c r="S912" s="486"/>
      <c r="T912" s="486"/>
      <c r="U912" s="486"/>
      <c r="V912" s="486"/>
      <c r="W912" s="486"/>
      <c r="X912" s="486"/>
      <c r="Y912" s="486"/>
      <c r="Z912" s="486"/>
    </row>
    <row r="913" spans="1:26" ht="15.75" customHeight="1">
      <c r="A913" s="486"/>
      <c r="B913" s="486"/>
      <c r="C913" s="486"/>
      <c r="D913" s="486"/>
      <c r="E913" s="486"/>
      <c r="F913" s="486"/>
      <c r="G913" s="486"/>
      <c r="H913" s="486"/>
      <c r="I913" s="486"/>
      <c r="J913" s="486"/>
      <c r="K913" s="486"/>
      <c r="L913" s="486"/>
      <c r="M913" s="486"/>
      <c r="N913" s="486"/>
      <c r="O913" s="486"/>
      <c r="P913" s="486"/>
      <c r="Q913" s="486"/>
      <c r="R913" s="486"/>
      <c r="S913" s="486"/>
      <c r="T913" s="486"/>
      <c r="U913" s="486"/>
      <c r="V913" s="486"/>
      <c r="W913" s="486"/>
      <c r="X913" s="486"/>
      <c r="Y913" s="486"/>
      <c r="Z913" s="486"/>
    </row>
    <row r="914" spans="1:26" ht="15.75" customHeight="1">
      <c r="A914" s="486"/>
      <c r="B914" s="486"/>
      <c r="C914" s="486"/>
      <c r="D914" s="486"/>
      <c r="E914" s="486"/>
      <c r="F914" s="486"/>
      <c r="G914" s="486"/>
      <c r="H914" s="486"/>
      <c r="I914" s="486"/>
      <c r="J914" s="486"/>
      <c r="K914" s="486"/>
      <c r="L914" s="486"/>
      <c r="M914" s="486"/>
      <c r="N914" s="486"/>
      <c r="O914" s="486"/>
      <c r="P914" s="486"/>
      <c r="Q914" s="486"/>
      <c r="R914" s="486"/>
      <c r="S914" s="486"/>
      <c r="T914" s="486"/>
      <c r="U914" s="486"/>
      <c r="V914" s="486"/>
      <c r="W914" s="486"/>
      <c r="X914" s="486"/>
      <c r="Y914" s="486"/>
      <c r="Z914" s="486"/>
    </row>
    <row r="915" spans="1:26" ht="15.75" customHeight="1">
      <c r="A915" s="486"/>
      <c r="B915" s="486"/>
      <c r="C915" s="486"/>
      <c r="D915" s="486"/>
      <c r="E915" s="486"/>
      <c r="F915" s="486"/>
      <c r="G915" s="486"/>
      <c r="H915" s="486"/>
      <c r="I915" s="486"/>
      <c r="J915" s="486"/>
      <c r="K915" s="486"/>
      <c r="L915" s="486"/>
      <c r="M915" s="486"/>
      <c r="N915" s="486"/>
      <c r="O915" s="486"/>
      <c r="P915" s="486"/>
      <c r="Q915" s="486"/>
      <c r="R915" s="486"/>
      <c r="S915" s="486"/>
      <c r="T915" s="486"/>
      <c r="U915" s="486"/>
      <c r="V915" s="486"/>
      <c r="W915" s="486"/>
      <c r="X915" s="486"/>
      <c r="Y915" s="486"/>
      <c r="Z915" s="486"/>
    </row>
    <row r="916" spans="1:26" ht="15.75" customHeight="1">
      <c r="A916" s="486"/>
      <c r="B916" s="486"/>
      <c r="C916" s="486"/>
      <c r="D916" s="486"/>
      <c r="E916" s="486"/>
      <c r="F916" s="486"/>
      <c r="G916" s="486"/>
      <c r="H916" s="486"/>
      <c r="I916" s="486"/>
      <c r="J916" s="486"/>
      <c r="K916" s="486"/>
      <c r="L916" s="486"/>
      <c r="M916" s="486"/>
      <c r="N916" s="486"/>
      <c r="O916" s="486"/>
      <c r="P916" s="486"/>
      <c r="Q916" s="486"/>
      <c r="R916" s="486"/>
      <c r="S916" s="486"/>
      <c r="T916" s="486"/>
      <c r="U916" s="486"/>
      <c r="V916" s="486"/>
      <c r="W916" s="486"/>
      <c r="X916" s="486"/>
      <c r="Y916" s="486"/>
      <c r="Z916" s="486"/>
    </row>
    <row r="917" spans="1:26" ht="15.75" customHeight="1">
      <c r="A917" s="486"/>
      <c r="B917" s="486"/>
      <c r="C917" s="486"/>
      <c r="D917" s="486"/>
      <c r="E917" s="486"/>
      <c r="F917" s="486"/>
      <c r="G917" s="486"/>
      <c r="H917" s="486"/>
      <c r="I917" s="486"/>
      <c r="J917" s="486"/>
      <c r="K917" s="486"/>
      <c r="L917" s="486"/>
      <c r="M917" s="486"/>
      <c r="N917" s="486"/>
      <c r="O917" s="486"/>
      <c r="P917" s="486"/>
      <c r="Q917" s="486"/>
      <c r="R917" s="486"/>
      <c r="S917" s="486"/>
      <c r="T917" s="486"/>
      <c r="U917" s="486"/>
      <c r="V917" s="486"/>
      <c r="W917" s="486"/>
      <c r="X917" s="486"/>
      <c r="Y917" s="486"/>
      <c r="Z917" s="486"/>
    </row>
    <row r="918" spans="1:26" ht="15.75" customHeight="1">
      <c r="A918" s="486"/>
      <c r="B918" s="486"/>
      <c r="C918" s="486"/>
      <c r="D918" s="486"/>
      <c r="E918" s="486"/>
      <c r="F918" s="486"/>
      <c r="G918" s="486"/>
      <c r="H918" s="486"/>
      <c r="I918" s="486"/>
      <c r="J918" s="486"/>
      <c r="K918" s="486"/>
      <c r="L918" s="486"/>
      <c r="M918" s="486"/>
      <c r="N918" s="486"/>
      <c r="O918" s="486"/>
      <c r="P918" s="486"/>
      <c r="Q918" s="486"/>
      <c r="R918" s="486"/>
      <c r="S918" s="486"/>
      <c r="T918" s="486"/>
      <c r="U918" s="486"/>
      <c r="V918" s="486"/>
      <c r="W918" s="486"/>
      <c r="X918" s="486"/>
      <c r="Y918" s="486"/>
      <c r="Z918" s="486"/>
    </row>
    <row r="919" spans="1:26" ht="15.75" customHeight="1">
      <c r="A919" s="486"/>
      <c r="B919" s="486"/>
      <c r="C919" s="486"/>
      <c r="D919" s="486"/>
      <c r="E919" s="486"/>
      <c r="F919" s="486"/>
      <c r="G919" s="486"/>
      <c r="H919" s="486"/>
      <c r="I919" s="486"/>
      <c r="J919" s="486"/>
      <c r="K919" s="486"/>
      <c r="L919" s="486"/>
      <c r="M919" s="486"/>
      <c r="N919" s="486"/>
      <c r="O919" s="486"/>
      <c r="P919" s="486"/>
      <c r="Q919" s="486"/>
      <c r="R919" s="486"/>
      <c r="S919" s="486"/>
      <c r="T919" s="486"/>
      <c r="U919" s="486"/>
      <c r="V919" s="486"/>
      <c r="W919" s="486"/>
      <c r="X919" s="486"/>
      <c r="Y919" s="486"/>
      <c r="Z919" s="486"/>
    </row>
    <row r="920" spans="1:26" ht="15.75" customHeight="1">
      <c r="A920" s="486"/>
      <c r="B920" s="486"/>
      <c r="C920" s="486"/>
      <c r="D920" s="486"/>
      <c r="E920" s="486"/>
      <c r="F920" s="486"/>
      <c r="G920" s="486"/>
      <c r="H920" s="486"/>
      <c r="I920" s="486"/>
      <c r="J920" s="486"/>
      <c r="K920" s="486"/>
      <c r="L920" s="486"/>
      <c r="M920" s="486"/>
      <c r="N920" s="486"/>
      <c r="O920" s="486"/>
      <c r="P920" s="486"/>
      <c r="Q920" s="486"/>
      <c r="R920" s="486"/>
      <c r="S920" s="486"/>
      <c r="T920" s="486"/>
      <c r="U920" s="486"/>
      <c r="V920" s="486"/>
      <c r="W920" s="486"/>
      <c r="X920" s="486"/>
      <c r="Y920" s="486"/>
      <c r="Z920" s="486"/>
    </row>
    <row r="921" spans="1:26" ht="15.75" customHeight="1">
      <c r="A921" s="486"/>
      <c r="B921" s="486"/>
      <c r="C921" s="486"/>
      <c r="D921" s="486"/>
      <c r="E921" s="486"/>
      <c r="F921" s="486"/>
      <c r="G921" s="486"/>
      <c r="H921" s="486"/>
      <c r="I921" s="486"/>
      <c r="J921" s="486"/>
      <c r="K921" s="486"/>
      <c r="L921" s="486"/>
      <c r="M921" s="486"/>
      <c r="N921" s="486"/>
      <c r="O921" s="486"/>
      <c r="P921" s="486"/>
      <c r="Q921" s="486"/>
      <c r="R921" s="486"/>
      <c r="S921" s="486"/>
      <c r="T921" s="486"/>
      <c r="U921" s="486"/>
      <c r="V921" s="486"/>
      <c r="W921" s="486"/>
      <c r="X921" s="486"/>
      <c r="Y921" s="486"/>
      <c r="Z921" s="486"/>
    </row>
    <row r="922" spans="1:26" ht="15.75" customHeight="1">
      <c r="A922" s="486"/>
      <c r="B922" s="486"/>
      <c r="C922" s="486"/>
      <c r="D922" s="486"/>
      <c r="E922" s="486"/>
      <c r="F922" s="486"/>
      <c r="G922" s="486"/>
      <c r="H922" s="486"/>
      <c r="I922" s="486"/>
      <c r="J922" s="486"/>
      <c r="K922" s="486"/>
      <c r="L922" s="486"/>
      <c r="M922" s="486"/>
      <c r="N922" s="486"/>
      <c r="O922" s="486"/>
      <c r="P922" s="486"/>
      <c r="Q922" s="486"/>
      <c r="R922" s="486"/>
      <c r="S922" s="486"/>
      <c r="T922" s="486"/>
      <c r="U922" s="486"/>
      <c r="V922" s="486"/>
      <c r="W922" s="486"/>
      <c r="X922" s="486"/>
      <c r="Y922" s="486"/>
      <c r="Z922" s="486"/>
    </row>
    <row r="923" spans="1:26" ht="15.75" customHeight="1">
      <c r="A923" s="486"/>
      <c r="B923" s="486"/>
      <c r="C923" s="486"/>
      <c r="D923" s="486"/>
      <c r="E923" s="486"/>
      <c r="F923" s="486"/>
      <c r="G923" s="486"/>
      <c r="H923" s="486"/>
      <c r="I923" s="486"/>
      <c r="J923" s="486"/>
      <c r="K923" s="486"/>
      <c r="L923" s="486"/>
      <c r="M923" s="486"/>
      <c r="N923" s="486"/>
      <c r="O923" s="486"/>
      <c r="P923" s="486"/>
      <c r="Q923" s="486"/>
      <c r="R923" s="486"/>
      <c r="S923" s="486"/>
      <c r="T923" s="486"/>
      <c r="U923" s="486"/>
      <c r="V923" s="486"/>
      <c r="W923" s="486"/>
      <c r="X923" s="486"/>
      <c r="Y923" s="486"/>
      <c r="Z923" s="486"/>
    </row>
    <row r="924" spans="1:26" ht="15.75" customHeight="1">
      <c r="A924" s="486"/>
      <c r="B924" s="486"/>
      <c r="C924" s="486"/>
      <c r="D924" s="486"/>
      <c r="E924" s="486"/>
      <c r="F924" s="486"/>
      <c r="G924" s="486"/>
      <c r="H924" s="486"/>
      <c r="I924" s="486"/>
      <c r="J924" s="486"/>
      <c r="K924" s="486"/>
      <c r="L924" s="486"/>
      <c r="M924" s="486"/>
      <c r="N924" s="486"/>
      <c r="O924" s="486"/>
      <c r="P924" s="486"/>
      <c r="Q924" s="486"/>
      <c r="R924" s="486"/>
      <c r="S924" s="486"/>
      <c r="T924" s="486"/>
      <c r="U924" s="486"/>
      <c r="V924" s="486"/>
      <c r="W924" s="486"/>
      <c r="X924" s="486"/>
      <c r="Y924" s="486"/>
      <c r="Z924" s="486"/>
    </row>
    <row r="925" spans="1:26" ht="15.75" customHeight="1">
      <c r="A925" s="486"/>
      <c r="B925" s="486"/>
      <c r="C925" s="486"/>
      <c r="D925" s="486"/>
      <c r="E925" s="486"/>
      <c r="F925" s="486"/>
      <c r="G925" s="486"/>
      <c r="H925" s="486"/>
      <c r="I925" s="486"/>
      <c r="J925" s="486"/>
      <c r="K925" s="486"/>
      <c r="L925" s="486"/>
      <c r="M925" s="486"/>
      <c r="N925" s="486"/>
      <c r="O925" s="486"/>
      <c r="P925" s="486"/>
      <c r="Q925" s="486"/>
      <c r="R925" s="486"/>
      <c r="S925" s="486"/>
      <c r="T925" s="486"/>
      <c r="U925" s="486"/>
      <c r="V925" s="486"/>
      <c r="W925" s="486"/>
      <c r="X925" s="486"/>
      <c r="Y925" s="486"/>
      <c r="Z925" s="486"/>
    </row>
    <row r="926" spans="1:26" ht="15.75" customHeight="1">
      <c r="A926" s="486"/>
      <c r="B926" s="486"/>
      <c r="C926" s="486"/>
      <c r="D926" s="486"/>
      <c r="E926" s="486"/>
      <c r="F926" s="486"/>
      <c r="G926" s="486"/>
      <c r="H926" s="486"/>
      <c r="I926" s="486"/>
      <c r="J926" s="486"/>
      <c r="K926" s="486"/>
      <c r="L926" s="486"/>
      <c r="M926" s="486"/>
      <c r="N926" s="486"/>
      <c r="O926" s="486"/>
      <c r="P926" s="486"/>
      <c r="Q926" s="486"/>
      <c r="R926" s="486"/>
      <c r="S926" s="486"/>
      <c r="T926" s="486"/>
      <c r="U926" s="486"/>
      <c r="V926" s="486"/>
      <c r="W926" s="486"/>
      <c r="X926" s="486"/>
      <c r="Y926" s="486"/>
      <c r="Z926" s="486"/>
    </row>
    <row r="927" spans="1:26" ht="15.75" customHeight="1">
      <c r="A927" s="486"/>
      <c r="B927" s="486"/>
      <c r="C927" s="486"/>
      <c r="D927" s="486"/>
      <c r="E927" s="486"/>
      <c r="F927" s="486"/>
      <c r="G927" s="486"/>
      <c r="H927" s="486"/>
      <c r="I927" s="486"/>
      <c r="J927" s="486"/>
      <c r="K927" s="486"/>
      <c r="L927" s="486"/>
      <c r="M927" s="486"/>
      <c r="N927" s="486"/>
      <c r="O927" s="486"/>
      <c r="P927" s="486"/>
      <c r="Q927" s="486"/>
      <c r="R927" s="486"/>
      <c r="S927" s="486"/>
      <c r="T927" s="486"/>
      <c r="U927" s="486"/>
      <c r="V927" s="486"/>
      <c r="W927" s="486"/>
      <c r="X927" s="486"/>
      <c r="Y927" s="486"/>
      <c r="Z927" s="486"/>
    </row>
    <row r="928" spans="1:26" ht="15.75" customHeight="1">
      <c r="A928" s="486"/>
      <c r="B928" s="486"/>
      <c r="C928" s="486"/>
      <c r="D928" s="486"/>
      <c r="E928" s="486"/>
      <c r="F928" s="486"/>
      <c r="G928" s="486"/>
      <c r="H928" s="486"/>
      <c r="I928" s="486"/>
      <c r="J928" s="486"/>
      <c r="K928" s="486"/>
      <c r="L928" s="486"/>
      <c r="M928" s="486"/>
      <c r="N928" s="486"/>
      <c r="O928" s="486"/>
      <c r="P928" s="486"/>
      <c r="Q928" s="486"/>
      <c r="R928" s="486"/>
      <c r="S928" s="486"/>
      <c r="T928" s="486"/>
      <c r="U928" s="486"/>
      <c r="V928" s="486"/>
      <c r="W928" s="486"/>
      <c r="X928" s="486"/>
      <c r="Y928" s="486"/>
      <c r="Z928" s="486"/>
    </row>
    <row r="929" spans="1:26" ht="15.75" customHeight="1">
      <c r="A929" s="486"/>
      <c r="B929" s="486"/>
      <c r="C929" s="486"/>
      <c r="D929" s="486"/>
      <c r="E929" s="486"/>
      <c r="F929" s="486"/>
      <c r="G929" s="486"/>
      <c r="H929" s="486"/>
      <c r="I929" s="486"/>
      <c r="J929" s="486"/>
      <c r="K929" s="486"/>
      <c r="L929" s="486"/>
      <c r="M929" s="486"/>
      <c r="N929" s="486"/>
      <c r="O929" s="486"/>
      <c r="P929" s="486"/>
      <c r="Q929" s="486"/>
      <c r="R929" s="486"/>
      <c r="S929" s="486"/>
      <c r="T929" s="486"/>
      <c r="U929" s="486"/>
      <c r="V929" s="486"/>
      <c r="W929" s="486"/>
      <c r="X929" s="486"/>
      <c r="Y929" s="486"/>
      <c r="Z929" s="486"/>
    </row>
    <row r="930" spans="1:26" ht="15.75" customHeight="1">
      <c r="A930" s="486"/>
      <c r="B930" s="486"/>
      <c r="C930" s="486"/>
      <c r="D930" s="486"/>
      <c r="E930" s="486"/>
      <c r="F930" s="486"/>
      <c r="G930" s="486"/>
      <c r="H930" s="486"/>
      <c r="I930" s="486"/>
      <c r="J930" s="486"/>
      <c r="K930" s="486"/>
      <c r="L930" s="486"/>
      <c r="M930" s="486"/>
      <c r="N930" s="486"/>
      <c r="O930" s="486"/>
      <c r="P930" s="486"/>
      <c r="Q930" s="486"/>
      <c r="R930" s="486"/>
      <c r="S930" s="486"/>
      <c r="T930" s="486"/>
      <c r="U930" s="486"/>
      <c r="V930" s="486"/>
      <c r="W930" s="486"/>
      <c r="X930" s="486"/>
      <c r="Y930" s="486"/>
      <c r="Z930" s="486"/>
    </row>
    <row r="931" spans="1:26" ht="15.75" customHeight="1">
      <c r="A931" s="486"/>
      <c r="B931" s="486"/>
      <c r="C931" s="486"/>
      <c r="D931" s="486"/>
      <c r="E931" s="486"/>
      <c r="F931" s="486"/>
      <c r="G931" s="486"/>
      <c r="H931" s="486"/>
      <c r="I931" s="486"/>
      <c r="J931" s="486"/>
      <c r="K931" s="486"/>
      <c r="L931" s="486"/>
      <c r="M931" s="486"/>
      <c r="N931" s="486"/>
      <c r="O931" s="486"/>
      <c r="P931" s="486"/>
      <c r="Q931" s="486"/>
      <c r="R931" s="486"/>
      <c r="S931" s="486"/>
      <c r="T931" s="486"/>
      <c r="U931" s="486"/>
      <c r="V931" s="486"/>
      <c r="W931" s="486"/>
      <c r="X931" s="486"/>
      <c r="Y931" s="486"/>
      <c r="Z931" s="486"/>
    </row>
    <row r="932" spans="1:26" ht="15.75" customHeight="1">
      <c r="A932" s="486"/>
      <c r="B932" s="486"/>
      <c r="C932" s="486"/>
      <c r="D932" s="486"/>
      <c r="E932" s="486"/>
      <c r="F932" s="486"/>
      <c r="G932" s="486"/>
      <c r="H932" s="486"/>
      <c r="I932" s="486"/>
      <c r="J932" s="486"/>
      <c r="K932" s="486"/>
      <c r="L932" s="486"/>
      <c r="M932" s="486"/>
      <c r="N932" s="486"/>
      <c r="O932" s="486"/>
      <c r="P932" s="486"/>
      <c r="Q932" s="486"/>
      <c r="R932" s="486"/>
      <c r="S932" s="486"/>
      <c r="T932" s="486"/>
      <c r="U932" s="486"/>
      <c r="V932" s="486"/>
      <c r="W932" s="486"/>
      <c r="X932" s="486"/>
      <c r="Y932" s="486"/>
      <c r="Z932" s="486"/>
    </row>
    <row r="933" spans="1:26" ht="15.75" customHeight="1">
      <c r="A933" s="486"/>
      <c r="B933" s="486"/>
      <c r="C933" s="486"/>
      <c r="D933" s="486"/>
      <c r="E933" s="486"/>
      <c r="F933" s="486"/>
      <c r="G933" s="486"/>
      <c r="H933" s="486"/>
      <c r="I933" s="486"/>
      <c r="J933" s="486"/>
      <c r="K933" s="486"/>
      <c r="L933" s="486"/>
      <c r="M933" s="486"/>
      <c r="N933" s="486"/>
      <c r="O933" s="486"/>
      <c r="P933" s="486"/>
      <c r="Q933" s="486"/>
      <c r="R933" s="486"/>
      <c r="S933" s="486"/>
      <c r="T933" s="486"/>
      <c r="U933" s="486"/>
      <c r="V933" s="486"/>
      <c r="W933" s="486"/>
      <c r="X933" s="486"/>
      <c r="Y933" s="486"/>
      <c r="Z933" s="486"/>
    </row>
    <row r="934" spans="1:26" ht="15.75" customHeight="1">
      <c r="A934" s="486"/>
      <c r="B934" s="486"/>
      <c r="C934" s="486"/>
      <c r="D934" s="486"/>
      <c r="E934" s="486"/>
      <c r="F934" s="486"/>
      <c r="G934" s="486"/>
      <c r="H934" s="486"/>
      <c r="I934" s="486"/>
      <c r="J934" s="486"/>
      <c r="K934" s="486"/>
      <c r="L934" s="486"/>
      <c r="M934" s="486"/>
      <c r="N934" s="486"/>
      <c r="O934" s="486"/>
      <c r="P934" s="486"/>
      <c r="Q934" s="486"/>
      <c r="R934" s="486"/>
      <c r="S934" s="486"/>
      <c r="T934" s="486"/>
      <c r="U934" s="486"/>
      <c r="V934" s="486"/>
      <c r="W934" s="486"/>
      <c r="X934" s="486"/>
      <c r="Y934" s="486"/>
      <c r="Z934" s="486"/>
    </row>
    <row r="935" spans="1:26" ht="15.75" customHeight="1">
      <c r="A935" s="486"/>
      <c r="B935" s="486"/>
      <c r="C935" s="486"/>
      <c r="D935" s="486"/>
      <c r="E935" s="486"/>
      <c r="F935" s="486"/>
      <c r="G935" s="486"/>
      <c r="H935" s="486"/>
      <c r="I935" s="486"/>
      <c r="J935" s="486"/>
      <c r="K935" s="486"/>
      <c r="L935" s="486"/>
      <c r="M935" s="486"/>
      <c r="N935" s="486"/>
      <c r="O935" s="486"/>
      <c r="P935" s="486"/>
      <c r="Q935" s="486"/>
      <c r="R935" s="486"/>
      <c r="S935" s="486"/>
      <c r="T935" s="486"/>
      <c r="U935" s="486"/>
      <c r="V935" s="486"/>
      <c r="W935" s="486"/>
      <c r="X935" s="486"/>
      <c r="Y935" s="486"/>
      <c r="Z935" s="486"/>
    </row>
    <row r="936" spans="1:26" ht="15.75" customHeight="1">
      <c r="A936" s="486"/>
      <c r="B936" s="486"/>
      <c r="C936" s="486"/>
      <c r="D936" s="486"/>
      <c r="E936" s="486"/>
      <c r="F936" s="486"/>
      <c r="G936" s="486"/>
      <c r="H936" s="486"/>
      <c r="I936" s="486"/>
      <c r="J936" s="486"/>
      <c r="K936" s="486"/>
      <c r="L936" s="486"/>
      <c r="M936" s="486"/>
      <c r="N936" s="486"/>
      <c r="O936" s="486"/>
      <c r="P936" s="486"/>
      <c r="Q936" s="486"/>
      <c r="R936" s="486"/>
      <c r="S936" s="486"/>
      <c r="T936" s="486"/>
      <c r="U936" s="486"/>
      <c r="V936" s="486"/>
      <c r="W936" s="486"/>
      <c r="X936" s="486"/>
      <c r="Y936" s="486"/>
      <c r="Z936" s="486"/>
    </row>
    <row r="937" spans="1:26" ht="15.75" customHeight="1">
      <c r="A937" s="486"/>
      <c r="B937" s="486"/>
      <c r="C937" s="486"/>
      <c r="D937" s="486"/>
      <c r="E937" s="486"/>
      <c r="F937" s="486"/>
      <c r="G937" s="486"/>
      <c r="H937" s="486"/>
      <c r="I937" s="486"/>
      <c r="J937" s="486"/>
      <c r="K937" s="486"/>
      <c r="L937" s="486"/>
      <c r="M937" s="486"/>
      <c r="N937" s="486"/>
      <c r="O937" s="486"/>
      <c r="P937" s="486"/>
      <c r="Q937" s="486"/>
      <c r="R937" s="486"/>
      <c r="S937" s="486"/>
      <c r="T937" s="486"/>
      <c r="U937" s="486"/>
      <c r="V937" s="486"/>
      <c r="W937" s="486"/>
      <c r="X937" s="486"/>
      <c r="Y937" s="486"/>
      <c r="Z937" s="486"/>
    </row>
    <row r="938" spans="1:26" ht="15.75" customHeight="1">
      <c r="A938" s="486"/>
      <c r="B938" s="486"/>
      <c r="C938" s="486"/>
      <c r="D938" s="486"/>
      <c r="E938" s="486"/>
      <c r="F938" s="486"/>
      <c r="G938" s="486"/>
      <c r="H938" s="486"/>
      <c r="I938" s="486"/>
      <c r="J938" s="486"/>
      <c r="K938" s="486"/>
      <c r="L938" s="486"/>
      <c r="M938" s="486"/>
      <c r="N938" s="486"/>
      <c r="O938" s="486"/>
      <c r="P938" s="486"/>
      <c r="Q938" s="486"/>
      <c r="R938" s="486"/>
      <c r="S938" s="486"/>
      <c r="T938" s="486"/>
      <c r="U938" s="486"/>
      <c r="V938" s="486"/>
      <c r="W938" s="486"/>
      <c r="X938" s="486"/>
      <c r="Y938" s="486"/>
      <c r="Z938" s="486"/>
    </row>
    <row r="939" spans="1:26" ht="15.75" customHeight="1">
      <c r="A939" s="486"/>
      <c r="B939" s="486"/>
      <c r="C939" s="486"/>
      <c r="D939" s="486"/>
      <c r="E939" s="486"/>
      <c r="F939" s="486"/>
      <c r="G939" s="486"/>
      <c r="H939" s="486"/>
      <c r="I939" s="486"/>
      <c r="J939" s="486"/>
      <c r="K939" s="486"/>
      <c r="L939" s="486"/>
      <c r="M939" s="486"/>
      <c r="N939" s="486"/>
      <c r="O939" s="486"/>
      <c r="P939" s="486"/>
      <c r="Q939" s="486"/>
      <c r="R939" s="486"/>
      <c r="S939" s="486"/>
      <c r="T939" s="486"/>
      <c r="U939" s="486"/>
      <c r="V939" s="486"/>
      <c r="W939" s="486"/>
      <c r="X939" s="486"/>
      <c r="Y939" s="486"/>
      <c r="Z939" s="486"/>
    </row>
    <row r="940" spans="1:26" ht="15.75" customHeight="1">
      <c r="A940" s="486"/>
      <c r="B940" s="486"/>
      <c r="C940" s="486"/>
      <c r="D940" s="486"/>
      <c r="E940" s="486"/>
      <c r="F940" s="486"/>
      <c r="G940" s="486"/>
      <c r="H940" s="486"/>
      <c r="I940" s="486"/>
      <c r="J940" s="486"/>
      <c r="K940" s="486"/>
      <c r="L940" s="486"/>
      <c r="M940" s="486"/>
      <c r="N940" s="486"/>
      <c r="O940" s="486"/>
      <c r="P940" s="486"/>
      <c r="Q940" s="486"/>
      <c r="R940" s="486"/>
      <c r="S940" s="486"/>
      <c r="T940" s="486"/>
      <c r="U940" s="486"/>
      <c r="V940" s="486"/>
      <c r="W940" s="486"/>
      <c r="X940" s="486"/>
      <c r="Y940" s="486"/>
      <c r="Z940" s="486"/>
    </row>
    <row r="941" spans="1:26" ht="15.75" customHeight="1">
      <c r="A941" s="486"/>
      <c r="B941" s="486"/>
      <c r="C941" s="486"/>
      <c r="D941" s="486"/>
      <c r="E941" s="486"/>
      <c r="F941" s="486"/>
      <c r="G941" s="486"/>
      <c r="H941" s="486"/>
      <c r="I941" s="486"/>
      <c r="J941" s="486"/>
      <c r="K941" s="486"/>
      <c r="L941" s="486"/>
      <c r="M941" s="486"/>
      <c r="N941" s="486"/>
      <c r="O941" s="486"/>
      <c r="P941" s="486"/>
      <c r="Q941" s="486"/>
      <c r="R941" s="486"/>
      <c r="S941" s="486"/>
      <c r="T941" s="486"/>
      <c r="U941" s="486"/>
      <c r="V941" s="486"/>
      <c r="W941" s="486"/>
      <c r="X941" s="486"/>
      <c r="Y941" s="486"/>
      <c r="Z941" s="486"/>
    </row>
    <row r="942" spans="1:26" ht="15.75" customHeight="1">
      <c r="A942" s="486"/>
      <c r="B942" s="486"/>
      <c r="C942" s="486"/>
      <c r="D942" s="486"/>
      <c r="E942" s="486"/>
      <c r="F942" s="486"/>
      <c r="G942" s="486"/>
      <c r="H942" s="486"/>
      <c r="I942" s="486"/>
      <c r="J942" s="486"/>
      <c r="K942" s="486"/>
      <c r="L942" s="486"/>
      <c r="M942" s="486"/>
      <c r="N942" s="486"/>
      <c r="O942" s="486"/>
      <c r="P942" s="486"/>
      <c r="Q942" s="486"/>
      <c r="R942" s="486"/>
      <c r="S942" s="486"/>
      <c r="T942" s="486"/>
      <c r="U942" s="486"/>
      <c r="V942" s="486"/>
      <c r="W942" s="486"/>
      <c r="X942" s="486"/>
      <c r="Y942" s="486"/>
      <c r="Z942" s="486"/>
    </row>
    <row r="943" spans="1:26" ht="15.75" customHeight="1">
      <c r="A943" s="486"/>
      <c r="B943" s="486"/>
      <c r="C943" s="486"/>
      <c r="D943" s="486"/>
      <c r="E943" s="486"/>
      <c r="F943" s="486"/>
      <c r="G943" s="486"/>
      <c r="H943" s="486"/>
      <c r="I943" s="486"/>
      <c r="J943" s="486"/>
      <c r="K943" s="486"/>
      <c r="L943" s="486"/>
      <c r="M943" s="486"/>
      <c r="N943" s="486"/>
      <c r="O943" s="486"/>
      <c r="P943" s="486"/>
      <c r="Q943" s="486"/>
      <c r="R943" s="486"/>
      <c r="S943" s="486"/>
      <c r="T943" s="486"/>
      <c r="U943" s="486"/>
      <c r="V943" s="486"/>
      <c r="W943" s="486"/>
      <c r="X943" s="486"/>
      <c r="Y943" s="486"/>
      <c r="Z943" s="486"/>
    </row>
    <row r="944" spans="1:26" ht="15.75" customHeight="1">
      <c r="A944" s="486"/>
      <c r="B944" s="486"/>
      <c r="C944" s="486"/>
      <c r="D944" s="486"/>
      <c r="E944" s="486"/>
      <c r="F944" s="486"/>
      <c r="G944" s="486"/>
      <c r="H944" s="486"/>
      <c r="I944" s="486"/>
      <c r="J944" s="486"/>
      <c r="K944" s="486"/>
      <c r="L944" s="486"/>
      <c r="M944" s="486"/>
      <c r="N944" s="486"/>
      <c r="O944" s="486"/>
      <c r="P944" s="486"/>
      <c r="Q944" s="486"/>
      <c r="R944" s="486"/>
      <c r="S944" s="486"/>
      <c r="T944" s="486"/>
      <c r="U944" s="486"/>
      <c r="V944" s="486"/>
      <c r="W944" s="486"/>
      <c r="X944" s="486"/>
      <c r="Y944" s="486"/>
      <c r="Z944" s="486"/>
    </row>
    <row r="945" spans="1:26" ht="15.75" customHeight="1">
      <c r="A945" s="486"/>
      <c r="B945" s="486"/>
      <c r="C945" s="486"/>
      <c r="D945" s="486"/>
      <c r="E945" s="486"/>
      <c r="F945" s="486"/>
      <c r="G945" s="486"/>
      <c r="H945" s="486"/>
      <c r="I945" s="486"/>
      <c r="J945" s="486"/>
      <c r="K945" s="486"/>
      <c r="L945" s="486"/>
      <c r="M945" s="486"/>
      <c r="N945" s="486"/>
      <c r="O945" s="486"/>
      <c r="P945" s="486"/>
      <c r="Q945" s="486"/>
      <c r="R945" s="486"/>
      <c r="S945" s="486"/>
      <c r="T945" s="486"/>
      <c r="U945" s="486"/>
      <c r="V945" s="486"/>
      <c r="W945" s="486"/>
      <c r="X945" s="486"/>
      <c r="Y945" s="486"/>
      <c r="Z945" s="486"/>
    </row>
    <row r="946" spans="1:26" ht="15.75" customHeight="1">
      <c r="A946" s="486"/>
      <c r="B946" s="486"/>
      <c r="C946" s="486"/>
      <c r="D946" s="486"/>
      <c r="E946" s="486"/>
      <c r="F946" s="486"/>
      <c r="G946" s="486"/>
      <c r="H946" s="486"/>
      <c r="I946" s="486"/>
      <c r="J946" s="486"/>
      <c r="K946" s="486"/>
      <c r="L946" s="486"/>
      <c r="M946" s="486"/>
      <c r="N946" s="486"/>
      <c r="O946" s="486"/>
      <c r="P946" s="486"/>
      <c r="Q946" s="486"/>
      <c r="R946" s="486"/>
      <c r="S946" s="486"/>
      <c r="T946" s="486"/>
      <c r="U946" s="486"/>
      <c r="V946" s="486"/>
      <c r="W946" s="486"/>
      <c r="X946" s="486"/>
      <c r="Y946" s="486"/>
      <c r="Z946" s="486"/>
    </row>
    <row r="947" spans="1:26" ht="15.75" customHeight="1">
      <c r="A947" s="486"/>
      <c r="B947" s="486"/>
      <c r="C947" s="486"/>
      <c r="D947" s="486"/>
      <c r="E947" s="486"/>
      <c r="F947" s="486"/>
      <c r="G947" s="486"/>
      <c r="H947" s="486"/>
      <c r="I947" s="486"/>
      <c r="J947" s="486"/>
      <c r="K947" s="486"/>
      <c r="L947" s="486"/>
      <c r="M947" s="486"/>
      <c r="N947" s="486"/>
      <c r="O947" s="486"/>
      <c r="P947" s="486"/>
      <c r="Q947" s="486"/>
      <c r="R947" s="486"/>
      <c r="S947" s="486"/>
      <c r="T947" s="486"/>
      <c r="U947" s="486"/>
      <c r="V947" s="486"/>
      <c r="W947" s="486"/>
      <c r="X947" s="486"/>
      <c r="Y947" s="486"/>
      <c r="Z947" s="486"/>
    </row>
    <row r="948" spans="1:26" ht="15.75" customHeight="1">
      <c r="A948" s="486"/>
      <c r="B948" s="486"/>
      <c r="C948" s="486"/>
      <c r="D948" s="486"/>
      <c r="E948" s="486"/>
      <c r="F948" s="486"/>
      <c r="G948" s="486"/>
      <c r="H948" s="486"/>
      <c r="I948" s="486"/>
      <c r="J948" s="486"/>
      <c r="K948" s="486"/>
      <c r="L948" s="486"/>
      <c r="M948" s="486"/>
      <c r="N948" s="486"/>
      <c r="O948" s="486"/>
      <c r="P948" s="486"/>
      <c r="Q948" s="486"/>
      <c r="R948" s="486"/>
      <c r="S948" s="486"/>
      <c r="T948" s="486"/>
      <c r="U948" s="486"/>
      <c r="V948" s="486"/>
      <c r="W948" s="486"/>
      <c r="X948" s="486"/>
      <c r="Y948" s="486"/>
      <c r="Z948" s="486"/>
    </row>
    <row r="949" spans="1:26" ht="15.75" customHeight="1">
      <c r="A949" s="486"/>
      <c r="B949" s="486"/>
      <c r="C949" s="486"/>
      <c r="D949" s="486"/>
      <c r="E949" s="486"/>
      <c r="F949" s="486"/>
      <c r="G949" s="486"/>
      <c r="H949" s="486"/>
      <c r="I949" s="486"/>
      <c r="J949" s="486"/>
      <c r="K949" s="486"/>
      <c r="L949" s="486"/>
      <c r="M949" s="486"/>
      <c r="N949" s="486"/>
      <c r="O949" s="486"/>
      <c r="P949" s="486"/>
      <c r="Q949" s="486"/>
      <c r="R949" s="486"/>
      <c r="S949" s="486"/>
      <c r="T949" s="486"/>
      <c r="U949" s="486"/>
      <c r="V949" s="486"/>
      <c r="W949" s="486"/>
      <c r="X949" s="486"/>
      <c r="Y949" s="486"/>
      <c r="Z949" s="486"/>
    </row>
    <row r="950" spans="1:26" ht="15.75" customHeight="1">
      <c r="A950" s="486"/>
      <c r="B950" s="486"/>
      <c r="C950" s="486"/>
      <c r="D950" s="486"/>
      <c r="E950" s="486"/>
      <c r="F950" s="486"/>
      <c r="G950" s="486"/>
      <c r="H950" s="486"/>
      <c r="I950" s="486"/>
      <c r="J950" s="486"/>
      <c r="K950" s="486"/>
      <c r="L950" s="486"/>
      <c r="M950" s="486"/>
      <c r="N950" s="486"/>
      <c r="O950" s="486"/>
      <c r="P950" s="486"/>
      <c r="Q950" s="486"/>
      <c r="R950" s="486"/>
      <c r="S950" s="486"/>
      <c r="T950" s="486"/>
      <c r="U950" s="486"/>
      <c r="V950" s="486"/>
      <c r="W950" s="486"/>
      <c r="X950" s="486"/>
      <c r="Y950" s="486"/>
      <c r="Z950" s="486"/>
    </row>
    <row r="951" spans="1:26" ht="15.75" customHeight="1">
      <c r="A951" s="486"/>
      <c r="B951" s="486"/>
      <c r="C951" s="486"/>
      <c r="D951" s="486"/>
      <c r="E951" s="486"/>
      <c r="F951" s="486"/>
      <c r="G951" s="486"/>
      <c r="H951" s="486"/>
      <c r="I951" s="486"/>
      <c r="J951" s="486"/>
      <c r="K951" s="486"/>
      <c r="L951" s="486"/>
      <c r="M951" s="486"/>
      <c r="N951" s="486"/>
      <c r="O951" s="486"/>
      <c r="P951" s="486"/>
      <c r="Q951" s="486"/>
      <c r="R951" s="486"/>
      <c r="S951" s="486"/>
      <c r="T951" s="486"/>
      <c r="U951" s="486"/>
      <c r="V951" s="486"/>
      <c r="W951" s="486"/>
      <c r="X951" s="486"/>
      <c r="Y951" s="486"/>
      <c r="Z951" s="486"/>
    </row>
    <row r="952" spans="1:26" ht="15.75" customHeight="1">
      <c r="A952" s="486"/>
      <c r="B952" s="486"/>
      <c r="C952" s="486"/>
      <c r="D952" s="486"/>
      <c r="E952" s="486"/>
      <c r="F952" s="486"/>
      <c r="G952" s="486"/>
      <c r="H952" s="486"/>
      <c r="I952" s="486"/>
      <c r="J952" s="486"/>
      <c r="K952" s="486"/>
      <c r="L952" s="486"/>
      <c r="M952" s="486"/>
      <c r="N952" s="486"/>
      <c r="O952" s="486"/>
      <c r="P952" s="486"/>
      <c r="Q952" s="486"/>
      <c r="R952" s="486"/>
      <c r="S952" s="486"/>
      <c r="T952" s="486"/>
      <c r="U952" s="486"/>
      <c r="V952" s="486"/>
      <c r="W952" s="486"/>
      <c r="X952" s="486"/>
      <c r="Y952" s="486"/>
      <c r="Z952" s="486"/>
    </row>
    <row r="953" spans="1:26" ht="15.75" customHeight="1">
      <c r="A953" s="486"/>
      <c r="B953" s="486"/>
      <c r="C953" s="486"/>
      <c r="D953" s="486"/>
      <c r="E953" s="486"/>
      <c r="F953" s="486"/>
      <c r="G953" s="486"/>
      <c r="H953" s="486"/>
      <c r="I953" s="486"/>
      <c r="J953" s="486"/>
      <c r="K953" s="486"/>
      <c r="L953" s="486"/>
      <c r="M953" s="486"/>
      <c r="N953" s="486"/>
      <c r="O953" s="486"/>
      <c r="P953" s="486"/>
      <c r="Q953" s="486"/>
      <c r="R953" s="486"/>
      <c r="S953" s="486"/>
      <c r="T953" s="486"/>
      <c r="U953" s="486"/>
      <c r="V953" s="486"/>
      <c r="W953" s="486"/>
      <c r="X953" s="486"/>
      <c r="Y953" s="486"/>
      <c r="Z953" s="486"/>
    </row>
    <row r="954" spans="1:26" ht="15.75" customHeight="1">
      <c r="A954" s="486"/>
      <c r="B954" s="486"/>
      <c r="C954" s="486"/>
      <c r="D954" s="486"/>
      <c r="E954" s="486"/>
      <c r="F954" s="486"/>
      <c r="G954" s="486"/>
      <c r="H954" s="486"/>
      <c r="I954" s="486"/>
      <c r="J954" s="486"/>
      <c r="K954" s="486"/>
      <c r="L954" s="486"/>
      <c r="M954" s="486"/>
      <c r="N954" s="486"/>
      <c r="O954" s="486"/>
      <c r="P954" s="486"/>
      <c r="Q954" s="486"/>
      <c r="R954" s="486"/>
      <c r="S954" s="486"/>
      <c r="T954" s="486"/>
      <c r="U954" s="486"/>
      <c r="V954" s="486"/>
      <c r="W954" s="486"/>
      <c r="X954" s="486"/>
      <c r="Y954" s="486"/>
      <c r="Z954" s="486"/>
    </row>
    <row r="955" spans="1:26" ht="15.75" customHeight="1">
      <c r="A955" s="486"/>
      <c r="B955" s="486"/>
      <c r="C955" s="486"/>
      <c r="D955" s="486"/>
      <c r="E955" s="486"/>
      <c r="F955" s="486"/>
      <c r="G955" s="486"/>
      <c r="H955" s="486"/>
      <c r="I955" s="486"/>
      <c r="J955" s="486"/>
      <c r="K955" s="486"/>
      <c r="L955" s="486"/>
      <c r="M955" s="486"/>
      <c r="N955" s="486"/>
      <c r="O955" s="486"/>
      <c r="P955" s="486"/>
      <c r="Q955" s="486"/>
      <c r="R955" s="486"/>
      <c r="S955" s="486"/>
      <c r="T955" s="486"/>
      <c r="U955" s="486"/>
      <c r="V955" s="486"/>
      <c r="W955" s="486"/>
      <c r="X955" s="486"/>
      <c r="Y955" s="486"/>
      <c r="Z955" s="486"/>
    </row>
    <row r="956" spans="1:26" ht="15.75" customHeight="1">
      <c r="A956" s="486"/>
      <c r="B956" s="486"/>
      <c r="C956" s="486"/>
      <c r="D956" s="486"/>
      <c r="E956" s="486"/>
      <c r="F956" s="486"/>
      <c r="G956" s="486"/>
      <c r="H956" s="486"/>
      <c r="I956" s="486"/>
      <c r="J956" s="486"/>
      <c r="K956" s="486"/>
      <c r="L956" s="486"/>
      <c r="M956" s="486"/>
      <c r="N956" s="486"/>
      <c r="O956" s="486"/>
      <c r="P956" s="486"/>
      <c r="Q956" s="486"/>
      <c r="R956" s="486"/>
      <c r="S956" s="486"/>
      <c r="T956" s="486"/>
      <c r="U956" s="486"/>
      <c r="V956" s="486"/>
      <c r="W956" s="486"/>
      <c r="X956" s="486"/>
      <c r="Y956" s="486"/>
      <c r="Z956" s="486"/>
    </row>
    <row r="957" spans="1:26" ht="15.75" customHeight="1">
      <c r="A957" s="486"/>
      <c r="B957" s="486"/>
      <c r="C957" s="486"/>
      <c r="D957" s="486"/>
      <c r="E957" s="486"/>
      <c r="F957" s="486"/>
      <c r="G957" s="486"/>
      <c r="H957" s="486"/>
      <c r="I957" s="486"/>
      <c r="J957" s="486"/>
      <c r="K957" s="486"/>
      <c r="L957" s="486"/>
      <c r="M957" s="486"/>
      <c r="N957" s="486"/>
      <c r="O957" s="486"/>
      <c r="P957" s="486"/>
      <c r="Q957" s="486"/>
      <c r="R957" s="486"/>
      <c r="S957" s="486"/>
      <c r="T957" s="486"/>
      <c r="U957" s="486"/>
      <c r="V957" s="486"/>
      <c r="W957" s="486"/>
      <c r="X957" s="486"/>
      <c r="Y957" s="486"/>
      <c r="Z957" s="486"/>
    </row>
    <row r="958" spans="1:26" ht="15.75" customHeight="1">
      <c r="A958" s="486"/>
      <c r="B958" s="486"/>
      <c r="C958" s="486"/>
      <c r="D958" s="486"/>
      <c r="E958" s="486"/>
      <c r="F958" s="486"/>
      <c r="G958" s="486"/>
      <c r="H958" s="486"/>
      <c r="I958" s="486"/>
      <c r="J958" s="486"/>
      <c r="K958" s="486"/>
      <c r="L958" s="486"/>
      <c r="M958" s="486"/>
      <c r="N958" s="486"/>
      <c r="O958" s="486"/>
      <c r="P958" s="486"/>
      <c r="Q958" s="486"/>
      <c r="R958" s="486"/>
      <c r="S958" s="486"/>
      <c r="T958" s="486"/>
      <c r="U958" s="486"/>
      <c r="V958" s="486"/>
      <c r="W958" s="486"/>
      <c r="X958" s="486"/>
      <c r="Y958" s="486"/>
      <c r="Z958" s="486"/>
    </row>
    <row r="959" spans="1:26" ht="15.75" customHeight="1">
      <c r="A959" s="486"/>
      <c r="B959" s="486"/>
      <c r="C959" s="486"/>
      <c r="D959" s="486"/>
      <c r="E959" s="486"/>
      <c r="F959" s="486"/>
      <c r="G959" s="486"/>
      <c r="H959" s="486"/>
      <c r="I959" s="486"/>
      <c r="J959" s="486"/>
      <c r="K959" s="486"/>
      <c r="L959" s="486"/>
      <c r="M959" s="486"/>
      <c r="N959" s="486"/>
      <c r="O959" s="486"/>
      <c r="P959" s="486"/>
      <c r="Q959" s="486"/>
      <c r="R959" s="486"/>
      <c r="S959" s="486"/>
      <c r="T959" s="486"/>
      <c r="U959" s="486"/>
      <c r="V959" s="486"/>
      <c r="W959" s="486"/>
      <c r="X959" s="486"/>
      <c r="Y959" s="486"/>
      <c r="Z959" s="486"/>
    </row>
    <row r="960" spans="1:26" ht="15.75" customHeight="1">
      <c r="A960" s="486"/>
      <c r="B960" s="486"/>
      <c r="C960" s="486"/>
      <c r="D960" s="486"/>
      <c r="E960" s="486"/>
      <c r="F960" s="486"/>
      <c r="G960" s="486"/>
      <c r="H960" s="486"/>
      <c r="I960" s="486"/>
      <c r="J960" s="486"/>
      <c r="K960" s="486"/>
      <c r="L960" s="486"/>
      <c r="M960" s="486"/>
      <c r="N960" s="486"/>
      <c r="O960" s="486"/>
      <c r="P960" s="486"/>
      <c r="Q960" s="486"/>
      <c r="R960" s="486"/>
      <c r="S960" s="486"/>
      <c r="T960" s="486"/>
      <c r="U960" s="486"/>
      <c r="V960" s="486"/>
      <c r="W960" s="486"/>
      <c r="X960" s="486"/>
      <c r="Y960" s="486"/>
      <c r="Z960" s="486"/>
    </row>
    <row r="961" spans="1:26" ht="15.75" customHeight="1">
      <c r="A961" s="486"/>
      <c r="B961" s="486"/>
      <c r="C961" s="486"/>
      <c r="D961" s="486"/>
      <c r="E961" s="486"/>
      <c r="F961" s="486"/>
      <c r="G961" s="486"/>
      <c r="H961" s="486"/>
      <c r="I961" s="486"/>
      <c r="J961" s="486"/>
      <c r="K961" s="486"/>
      <c r="L961" s="486"/>
      <c r="M961" s="486"/>
      <c r="N961" s="486"/>
      <c r="O961" s="486"/>
      <c r="P961" s="486"/>
      <c r="Q961" s="486"/>
      <c r="R961" s="486"/>
      <c r="S961" s="486"/>
      <c r="T961" s="486"/>
      <c r="U961" s="486"/>
      <c r="V961" s="486"/>
      <c r="W961" s="486"/>
      <c r="X961" s="486"/>
      <c r="Y961" s="486"/>
      <c r="Z961" s="486"/>
    </row>
    <row r="962" spans="1:26" ht="15.75" customHeight="1">
      <c r="A962" s="486"/>
      <c r="B962" s="486"/>
      <c r="C962" s="486"/>
      <c r="D962" s="486"/>
      <c r="E962" s="486"/>
      <c r="F962" s="486"/>
      <c r="G962" s="486"/>
      <c r="H962" s="486"/>
      <c r="I962" s="486"/>
      <c r="J962" s="486"/>
      <c r="K962" s="486"/>
      <c r="L962" s="486"/>
      <c r="M962" s="486"/>
      <c r="N962" s="486"/>
      <c r="O962" s="486"/>
      <c r="P962" s="486"/>
      <c r="Q962" s="486"/>
      <c r="R962" s="486"/>
      <c r="S962" s="486"/>
      <c r="T962" s="486"/>
      <c r="U962" s="486"/>
      <c r="V962" s="486"/>
      <c r="W962" s="486"/>
      <c r="X962" s="486"/>
      <c r="Y962" s="486"/>
      <c r="Z962" s="486"/>
    </row>
    <row r="963" spans="1:26" ht="15.75" customHeight="1">
      <c r="A963" s="486"/>
      <c r="B963" s="486"/>
      <c r="C963" s="486"/>
      <c r="D963" s="486"/>
      <c r="E963" s="486"/>
      <c r="F963" s="486"/>
      <c r="G963" s="486"/>
      <c r="H963" s="486"/>
      <c r="I963" s="486"/>
      <c r="J963" s="486"/>
      <c r="K963" s="486"/>
      <c r="L963" s="486"/>
      <c r="M963" s="486"/>
      <c r="N963" s="486"/>
      <c r="O963" s="486"/>
      <c r="P963" s="486"/>
      <c r="Q963" s="486"/>
      <c r="R963" s="486"/>
      <c r="S963" s="486"/>
      <c r="T963" s="486"/>
      <c r="U963" s="486"/>
      <c r="V963" s="486"/>
      <c r="W963" s="486"/>
      <c r="X963" s="486"/>
      <c r="Y963" s="486"/>
      <c r="Z963" s="486"/>
    </row>
    <row r="964" spans="1:26" ht="15.75" customHeight="1">
      <c r="A964" s="486"/>
      <c r="B964" s="486"/>
      <c r="C964" s="486"/>
      <c r="D964" s="486"/>
      <c r="E964" s="486"/>
      <c r="F964" s="486"/>
      <c r="G964" s="486"/>
      <c r="H964" s="486"/>
      <c r="I964" s="486"/>
      <c r="J964" s="486"/>
      <c r="K964" s="486"/>
      <c r="L964" s="486"/>
      <c r="M964" s="486"/>
      <c r="N964" s="486"/>
      <c r="O964" s="486"/>
      <c r="P964" s="486"/>
      <c r="Q964" s="486"/>
      <c r="R964" s="486"/>
      <c r="S964" s="486"/>
      <c r="T964" s="486"/>
      <c r="U964" s="486"/>
      <c r="V964" s="486"/>
      <c r="W964" s="486"/>
      <c r="X964" s="486"/>
      <c r="Y964" s="486"/>
      <c r="Z964" s="486"/>
    </row>
    <row r="965" spans="1:26" ht="15.75" customHeight="1">
      <c r="A965" s="486"/>
      <c r="B965" s="486"/>
      <c r="C965" s="486"/>
      <c r="D965" s="486"/>
      <c r="E965" s="486"/>
      <c r="F965" s="486"/>
      <c r="G965" s="486"/>
      <c r="H965" s="486"/>
      <c r="I965" s="486"/>
      <c r="J965" s="486"/>
      <c r="K965" s="486"/>
      <c r="L965" s="486"/>
      <c r="M965" s="486"/>
      <c r="N965" s="486"/>
      <c r="O965" s="486"/>
      <c r="P965" s="486"/>
      <c r="Q965" s="486"/>
      <c r="R965" s="486"/>
      <c r="S965" s="486"/>
      <c r="T965" s="486"/>
      <c r="U965" s="486"/>
      <c r="V965" s="486"/>
      <c r="W965" s="486"/>
      <c r="X965" s="486"/>
      <c r="Y965" s="486"/>
      <c r="Z965" s="486"/>
    </row>
    <row r="966" spans="1:26" ht="15.75" customHeight="1">
      <c r="A966" s="486"/>
      <c r="B966" s="486"/>
      <c r="C966" s="486"/>
      <c r="D966" s="486"/>
      <c r="E966" s="486"/>
      <c r="F966" s="486"/>
      <c r="G966" s="486"/>
      <c r="H966" s="486"/>
      <c r="I966" s="486"/>
      <c r="J966" s="486"/>
      <c r="K966" s="486"/>
      <c r="L966" s="486"/>
      <c r="M966" s="486"/>
      <c r="N966" s="486"/>
      <c r="O966" s="486"/>
      <c r="P966" s="486"/>
      <c r="Q966" s="486"/>
      <c r="R966" s="486"/>
      <c r="S966" s="486"/>
      <c r="T966" s="486"/>
      <c r="U966" s="486"/>
      <c r="V966" s="486"/>
      <c r="W966" s="486"/>
      <c r="X966" s="486"/>
      <c r="Y966" s="486"/>
      <c r="Z966" s="486"/>
    </row>
    <row r="967" spans="1:26" ht="15.75" customHeight="1">
      <c r="A967" s="486"/>
      <c r="B967" s="486"/>
      <c r="C967" s="486"/>
      <c r="D967" s="486"/>
      <c r="E967" s="486"/>
      <c r="F967" s="486"/>
      <c r="G967" s="486"/>
      <c r="H967" s="486"/>
      <c r="I967" s="486"/>
      <c r="J967" s="486"/>
      <c r="K967" s="486"/>
      <c r="L967" s="486"/>
      <c r="M967" s="486"/>
      <c r="N967" s="486"/>
      <c r="O967" s="486"/>
      <c r="P967" s="486"/>
      <c r="Q967" s="486"/>
      <c r="R967" s="486"/>
      <c r="S967" s="486"/>
      <c r="T967" s="486"/>
      <c r="U967" s="486"/>
      <c r="V967" s="486"/>
      <c r="W967" s="486"/>
      <c r="X967" s="486"/>
      <c r="Y967" s="486"/>
      <c r="Z967" s="486"/>
    </row>
    <row r="968" spans="1:26" ht="15.75" customHeight="1">
      <c r="A968" s="486"/>
      <c r="B968" s="486"/>
      <c r="C968" s="486"/>
      <c r="D968" s="486"/>
      <c r="E968" s="486"/>
      <c r="F968" s="486"/>
      <c r="G968" s="486"/>
      <c r="H968" s="486"/>
      <c r="I968" s="486"/>
      <c r="J968" s="486"/>
      <c r="K968" s="486"/>
      <c r="L968" s="486"/>
      <c r="M968" s="486"/>
      <c r="N968" s="486"/>
      <c r="O968" s="486"/>
      <c r="P968" s="486"/>
      <c r="Q968" s="486"/>
      <c r="R968" s="486"/>
      <c r="S968" s="486"/>
      <c r="T968" s="486"/>
      <c r="U968" s="486"/>
      <c r="V968" s="486"/>
      <c r="W968" s="486"/>
      <c r="X968" s="486"/>
      <c r="Y968" s="486"/>
      <c r="Z968" s="486"/>
    </row>
    <row r="969" spans="1:26" ht="15.75" customHeight="1">
      <c r="A969" s="486"/>
      <c r="B969" s="486"/>
      <c r="C969" s="486"/>
      <c r="D969" s="486"/>
      <c r="E969" s="486"/>
      <c r="F969" s="486"/>
      <c r="G969" s="486"/>
      <c r="H969" s="486"/>
      <c r="I969" s="486"/>
      <c r="J969" s="486"/>
      <c r="K969" s="486"/>
      <c r="L969" s="486"/>
      <c r="M969" s="486"/>
      <c r="N969" s="486"/>
      <c r="O969" s="486"/>
      <c r="P969" s="486"/>
      <c r="Q969" s="486"/>
      <c r="R969" s="486"/>
      <c r="S969" s="486"/>
      <c r="T969" s="486"/>
      <c r="U969" s="486"/>
      <c r="V969" s="486"/>
      <c r="W969" s="486"/>
      <c r="X969" s="486"/>
      <c r="Y969" s="486"/>
      <c r="Z969" s="486"/>
    </row>
    <row r="970" spans="1:26" ht="15.75" customHeight="1">
      <c r="A970" s="486"/>
      <c r="B970" s="486"/>
      <c r="C970" s="486"/>
      <c r="D970" s="486"/>
      <c r="E970" s="486"/>
      <c r="F970" s="486"/>
      <c r="G970" s="486"/>
      <c r="H970" s="486"/>
      <c r="I970" s="486"/>
      <c r="J970" s="486"/>
      <c r="K970" s="486"/>
      <c r="L970" s="486"/>
      <c r="M970" s="486"/>
      <c r="N970" s="486"/>
      <c r="O970" s="486"/>
      <c r="P970" s="486"/>
      <c r="Q970" s="486"/>
      <c r="R970" s="486"/>
      <c r="S970" s="486"/>
      <c r="T970" s="486"/>
      <c r="U970" s="486"/>
      <c r="V970" s="486"/>
      <c r="W970" s="486"/>
      <c r="X970" s="486"/>
      <c r="Y970" s="486"/>
      <c r="Z970" s="486"/>
    </row>
    <row r="971" spans="1:26" ht="15.75" customHeight="1">
      <c r="A971" s="486"/>
      <c r="B971" s="486"/>
      <c r="C971" s="486"/>
      <c r="D971" s="486"/>
      <c r="E971" s="486"/>
      <c r="F971" s="486"/>
      <c r="G971" s="486"/>
      <c r="H971" s="486"/>
      <c r="I971" s="486"/>
      <c r="J971" s="486"/>
      <c r="K971" s="486"/>
      <c r="L971" s="486"/>
      <c r="M971" s="486"/>
      <c r="N971" s="486"/>
      <c r="O971" s="486"/>
      <c r="P971" s="486"/>
      <c r="Q971" s="486"/>
      <c r="R971" s="486"/>
      <c r="S971" s="486"/>
      <c r="T971" s="486"/>
      <c r="U971" s="486"/>
      <c r="V971" s="486"/>
      <c r="W971" s="486"/>
      <c r="X971" s="486"/>
      <c r="Y971" s="486"/>
      <c r="Z971" s="486"/>
    </row>
    <row r="972" spans="1:26" ht="15.75" customHeight="1">
      <c r="A972" s="486"/>
      <c r="B972" s="486"/>
      <c r="C972" s="486"/>
      <c r="D972" s="486"/>
      <c r="E972" s="486"/>
      <c r="F972" s="486"/>
      <c r="G972" s="486"/>
      <c r="H972" s="486"/>
      <c r="I972" s="486"/>
      <c r="J972" s="486"/>
      <c r="K972" s="486"/>
      <c r="L972" s="486"/>
      <c r="M972" s="486"/>
      <c r="N972" s="486"/>
      <c r="O972" s="486"/>
      <c r="P972" s="486"/>
      <c r="Q972" s="486"/>
      <c r="R972" s="486"/>
      <c r="S972" s="486"/>
      <c r="T972" s="486"/>
      <c r="U972" s="486"/>
      <c r="V972" s="486"/>
      <c r="W972" s="486"/>
      <c r="X972" s="486"/>
      <c r="Y972" s="486"/>
      <c r="Z972" s="486"/>
    </row>
    <row r="973" spans="1:26" ht="15.75" customHeight="1">
      <c r="A973" s="486"/>
      <c r="B973" s="486"/>
      <c r="C973" s="486"/>
      <c r="D973" s="486"/>
      <c r="E973" s="486"/>
      <c r="F973" s="486"/>
      <c r="G973" s="486"/>
      <c r="H973" s="486"/>
      <c r="I973" s="486"/>
      <c r="J973" s="486"/>
      <c r="K973" s="486"/>
      <c r="L973" s="486"/>
      <c r="M973" s="486"/>
      <c r="N973" s="486"/>
      <c r="O973" s="486"/>
      <c r="P973" s="486"/>
      <c r="Q973" s="486"/>
      <c r="R973" s="486"/>
      <c r="S973" s="486"/>
      <c r="T973" s="486"/>
      <c r="U973" s="486"/>
      <c r="V973" s="486"/>
      <c r="W973" s="486"/>
      <c r="X973" s="486"/>
      <c r="Y973" s="486"/>
      <c r="Z973" s="486"/>
    </row>
    <row r="974" spans="1:26" ht="15.75" customHeight="1">
      <c r="A974" s="486"/>
      <c r="B974" s="486"/>
      <c r="C974" s="486"/>
      <c r="D974" s="486"/>
      <c r="E974" s="486"/>
      <c r="F974" s="486"/>
      <c r="G974" s="486"/>
      <c r="H974" s="486"/>
      <c r="I974" s="486"/>
      <c r="J974" s="486"/>
      <c r="K974" s="486"/>
      <c r="L974" s="486"/>
      <c r="M974" s="486"/>
      <c r="N974" s="486"/>
      <c r="O974" s="486"/>
      <c r="P974" s="486"/>
      <c r="Q974" s="486"/>
      <c r="R974" s="486"/>
      <c r="S974" s="486"/>
      <c r="T974" s="486"/>
      <c r="U974" s="486"/>
      <c r="V974" s="486"/>
      <c r="W974" s="486"/>
      <c r="X974" s="486"/>
      <c r="Y974" s="486"/>
      <c r="Z974" s="486"/>
    </row>
    <row r="975" spans="1:26" ht="15.75" customHeight="1">
      <c r="A975" s="486"/>
      <c r="B975" s="486"/>
      <c r="C975" s="486"/>
      <c r="D975" s="486"/>
      <c r="E975" s="486"/>
      <c r="F975" s="486"/>
      <c r="G975" s="486"/>
      <c r="H975" s="486"/>
      <c r="I975" s="486"/>
      <c r="J975" s="486"/>
      <c r="K975" s="486"/>
      <c r="L975" s="486"/>
      <c r="M975" s="486"/>
      <c r="N975" s="486"/>
      <c r="O975" s="486"/>
      <c r="P975" s="486"/>
      <c r="Q975" s="486"/>
      <c r="R975" s="486"/>
      <c r="S975" s="486"/>
      <c r="T975" s="486"/>
      <c r="U975" s="486"/>
      <c r="V975" s="486"/>
      <c r="W975" s="486"/>
      <c r="X975" s="486"/>
      <c r="Y975" s="486"/>
      <c r="Z975" s="486"/>
    </row>
    <row r="976" spans="1:26" ht="15.75" customHeight="1">
      <c r="A976" s="486"/>
      <c r="B976" s="486"/>
      <c r="C976" s="486"/>
      <c r="D976" s="486"/>
      <c r="E976" s="486"/>
      <c r="F976" s="486"/>
      <c r="G976" s="486"/>
      <c r="H976" s="486"/>
      <c r="I976" s="486"/>
      <c r="J976" s="486"/>
      <c r="K976" s="486"/>
      <c r="L976" s="486"/>
      <c r="M976" s="486"/>
      <c r="N976" s="486"/>
      <c r="O976" s="486"/>
      <c r="P976" s="486"/>
      <c r="Q976" s="486"/>
      <c r="R976" s="486"/>
      <c r="S976" s="486"/>
      <c r="T976" s="486"/>
      <c r="U976" s="486"/>
      <c r="V976" s="486"/>
      <c r="W976" s="486"/>
      <c r="X976" s="486"/>
      <c r="Y976" s="486"/>
      <c r="Z976" s="486"/>
    </row>
    <row r="977" spans="1:26" ht="15.75" customHeight="1">
      <c r="A977" s="486"/>
      <c r="B977" s="486"/>
      <c r="C977" s="486"/>
      <c r="D977" s="486"/>
      <c r="E977" s="486"/>
      <c r="F977" s="486"/>
      <c r="G977" s="486"/>
      <c r="H977" s="486"/>
      <c r="I977" s="486"/>
      <c r="J977" s="486"/>
      <c r="K977" s="486"/>
      <c r="L977" s="486"/>
      <c r="M977" s="486"/>
      <c r="N977" s="486"/>
      <c r="O977" s="486"/>
      <c r="P977" s="486"/>
      <c r="Q977" s="486"/>
      <c r="R977" s="486"/>
      <c r="S977" s="486"/>
      <c r="T977" s="486"/>
      <c r="U977" s="486"/>
      <c r="V977" s="486"/>
      <c r="W977" s="486"/>
      <c r="X977" s="486"/>
      <c r="Y977" s="486"/>
      <c r="Z977" s="486"/>
    </row>
    <row r="978" spans="1:26" ht="15.75" customHeight="1">
      <c r="A978" s="486"/>
      <c r="B978" s="486"/>
      <c r="C978" s="486"/>
      <c r="D978" s="486"/>
      <c r="E978" s="486"/>
      <c r="F978" s="486"/>
      <c r="G978" s="486"/>
      <c r="H978" s="486"/>
      <c r="I978" s="486"/>
      <c r="J978" s="486"/>
      <c r="K978" s="486"/>
      <c r="L978" s="486"/>
      <c r="M978" s="486"/>
      <c r="N978" s="486"/>
      <c r="O978" s="486"/>
      <c r="P978" s="486"/>
      <c r="Q978" s="486"/>
      <c r="R978" s="486"/>
      <c r="S978" s="486"/>
      <c r="T978" s="486"/>
      <c r="U978" s="486"/>
      <c r="V978" s="486"/>
      <c r="W978" s="486"/>
      <c r="X978" s="486"/>
      <c r="Y978" s="486"/>
      <c r="Z978" s="486"/>
    </row>
    <row r="979" spans="1:26" ht="15.75" customHeight="1">
      <c r="A979" s="486"/>
      <c r="B979" s="486"/>
      <c r="C979" s="486"/>
      <c r="D979" s="486"/>
      <c r="E979" s="486"/>
      <c r="F979" s="486"/>
      <c r="G979" s="486"/>
      <c r="H979" s="486"/>
      <c r="I979" s="486"/>
      <c r="J979" s="486"/>
      <c r="K979" s="486"/>
      <c r="L979" s="486"/>
      <c r="M979" s="486"/>
      <c r="N979" s="486"/>
      <c r="O979" s="486"/>
      <c r="P979" s="486"/>
      <c r="Q979" s="486"/>
      <c r="R979" s="486"/>
      <c r="S979" s="486"/>
      <c r="T979" s="486"/>
      <c r="U979" s="486"/>
      <c r="V979" s="486"/>
      <c r="W979" s="486"/>
      <c r="X979" s="486"/>
      <c r="Y979" s="486"/>
      <c r="Z979" s="486"/>
    </row>
    <row r="980" spans="1:26" ht="15.75" customHeight="1">
      <c r="A980" s="486"/>
      <c r="B980" s="486"/>
      <c r="C980" s="486"/>
      <c r="D980" s="486"/>
      <c r="E980" s="486"/>
      <c r="F980" s="486"/>
      <c r="G980" s="486"/>
      <c r="H980" s="486"/>
      <c r="I980" s="486"/>
      <c r="J980" s="486"/>
      <c r="K980" s="486"/>
      <c r="L980" s="486"/>
      <c r="M980" s="486"/>
      <c r="N980" s="486"/>
      <c r="O980" s="486"/>
      <c r="P980" s="486"/>
      <c r="Q980" s="486"/>
      <c r="R980" s="486"/>
      <c r="S980" s="486"/>
      <c r="T980" s="486"/>
      <c r="U980" s="486"/>
      <c r="V980" s="486"/>
      <c r="W980" s="486"/>
      <c r="X980" s="486"/>
      <c r="Y980" s="486"/>
      <c r="Z980" s="486"/>
    </row>
    <row r="981" spans="1:26" ht="15.75" customHeight="1">
      <c r="A981" s="486"/>
      <c r="B981" s="486"/>
      <c r="C981" s="486"/>
      <c r="D981" s="486"/>
      <c r="E981" s="486"/>
      <c r="F981" s="486"/>
      <c r="G981" s="486"/>
      <c r="H981" s="486"/>
      <c r="I981" s="486"/>
      <c r="J981" s="486"/>
      <c r="K981" s="486"/>
      <c r="L981" s="486"/>
      <c r="M981" s="486"/>
      <c r="N981" s="486"/>
      <c r="O981" s="486"/>
      <c r="P981" s="486"/>
      <c r="Q981" s="486"/>
      <c r="R981" s="486"/>
      <c r="S981" s="486"/>
      <c r="T981" s="486"/>
      <c r="U981" s="486"/>
      <c r="V981" s="486"/>
      <c r="W981" s="486"/>
      <c r="X981" s="486"/>
      <c r="Y981" s="486"/>
      <c r="Z981" s="486"/>
    </row>
    <row r="982" spans="1:26" ht="15.75" customHeight="1">
      <c r="A982" s="486"/>
      <c r="B982" s="486"/>
      <c r="C982" s="486"/>
      <c r="D982" s="486"/>
      <c r="E982" s="486"/>
      <c r="F982" s="486"/>
      <c r="G982" s="486"/>
      <c r="H982" s="486"/>
      <c r="I982" s="486"/>
      <c r="J982" s="486"/>
      <c r="K982" s="486"/>
      <c r="L982" s="486"/>
      <c r="M982" s="486"/>
      <c r="N982" s="486"/>
      <c r="O982" s="486"/>
      <c r="P982" s="486"/>
      <c r="Q982" s="486"/>
      <c r="R982" s="486"/>
      <c r="S982" s="486"/>
      <c r="T982" s="486"/>
      <c r="U982" s="486"/>
      <c r="V982" s="486"/>
      <c r="W982" s="486"/>
      <c r="X982" s="486"/>
      <c r="Y982" s="486"/>
      <c r="Z982" s="486"/>
    </row>
    <row r="983" spans="1:26" ht="15.75" customHeight="1">
      <c r="A983" s="486"/>
      <c r="B983" s="486"/>
      <c r="C983" s="486"/>
      <c r="D983" s="486"/>
      <c r="E983" s="486"/>
      <c r="F983" s="486"/>
      <c r="G983" s="486"/>
      <c r="H983" s="486"/>
      <c r="I983" s="486"/>
      <c r="J983" s="486"/>
      <c r="K983" s="486"/>
      <c r="L983" s="486"/>
      <c r="M983" s="486"/>
      <c r="N983" s="486"/>
      <c r="O983" s="486"/>
      <c r="P983" s="486"/>
      <c r="Q983" s="486"/>
      <c r="R983" s="486"/>
      <c r="S983" s="486"/>
      <c r="T983" s="486"/>
      <c r="U983" s="486"/>
      <c r="V983" s="486"/>
      <c r="W983" s="486"/>
      <c r="X983" s="486"/>
      <c r="Y983" s="486"/>
      <c r="Z983" s="486"/>
    </row>
    <row r="984" spans="1:26" ht="15.75" customHeight="1">
      <c r="A984" s="486"/>
      <c r="B984" s="486"/>
      <c r="C984" s="486"/>
      <c r="D984" s="486"/>
      <c r="E984" s="486"/>
      <c r="F984" s="486"/>
      <c r="G984" s="486"/>
      <c r="H984" s="486"/>
      <c r="I984" s="486"/>
      <c r="J984" s="486"/>
      <c r="K984" s="486"/>
      <c r="L984" s="486"/>
      <c r="M984" s="486"/>
      <c r="N984" s="486"/>
      <c r="O984" s="486"/>
      <c r="P984" s="486"/>
      <c r="Q984" s="486"/>
      <c r="R984" s="486"/>
      <c r="S984" s="486"/>
      <c r="T984" s="486"/>
      <c r="U984" s="486"/>
      <c r="V984" s="486"/>
      <c r="W984" s="486"/>
      <c r="X984" s="486"/>
      <c r="Y984" s="486"/>
      <c r="Z984" s="486"/>
    </row>
    <row r="985" spans="1:26" ht="15.75" customHeight="1">
      <c r="A985" s="486"/>
      <c r="B985" s="486"/>
      <c r="C985" s="486"/>
      <c r="D985" s="486"/>
      <c r="E985" s="486"/>
      <c r="F985" s="486"/>
      <c r="G985" s="486"/>
      <c r="H985" s="486"/>
      <c r="I985" s="486"/>
      <c r="J985" s="486"/>
      <c r="K985" s="486"/>
      <c r="L985" s="486"/>
      <c r="M985" s="486"/>
      <c r="N985" s="486"/>
      <c r="O985" s="486"/>
      <c r="P985" s="486"/>
      <c r="Q985" s="486"/>
      <c r="R985" s="486"/>
      <c r="S985" s="486"/>
      <c r="T985" s="486"/>
      <c r="U985" s="486"/>
      <c r="V985" s="486"/>
      <c r="W985" s="486"/>
      <c r="X985" s="486"/>
      <c r="Y985" s="486"/>
      <c r="Z985" s="486"/>
    </row>
    <row r="986" spans="1:26" ht="15.75" customHeight="1">
      <c r="A986" s="486"/>
      <c r="B986" s="486"/>
      <c r="C986" s="486"/>
      <c r="D986" s="486"/>
      <c r="E986" s="486"/>
      <c r="F986" s="486"/>
      <c r="G986" s="486"/>
      <c r="H986" s="486"/>
      <c r="I986" s="486"/>
      <c r="J986" s="486"/>
      <c r="K986" s="486"/>
      <c r="L986" s="486"/>
      <c r="M986" s="486"/>
      <c r="N986" s="486"/>
      <c r="O986" s="486"/>
      <c r="P986" s="486"/>
      <c r="Q986" s="486"/>
      <c r="R986" s="486"/>
      <c r="S986" s="486"/>
      <c r="T986" s="486"/>
      <c r="U986" s="486"/>
      <c r="V986" s="486"/>
      <c r="W986" s="486"/>
      <c r="X986" s="486"/>
      <c r="Y986" s="486"/>
      <c r="Z986" s="486"/>
    </row>
    <row r="987" spans="1:26" ht="15.75" customHeight="1">
      <c r="A987" s="486"/>
      <c r="B987" s="486"/>
      <c r="C987" s="486"/>
      <c r="D987" s="486"/>
      <c r="E987" s="486"/>
      <c r="F987" s="486"/>
      <c r="G987" s="486"/>
      <c r="H987" s="486"/>
      <c r="I987" s="486"/>
      <c r="J987" s="486"/>
      <c r="K987" s="486"/>
      <c r="L987" s="486"/>
      <c r="M987" s="486"/>
      <c r="N987" s="486"/>
      <c r="O987" s="486"/>
      <c r="P987" s="486"/>
      <c r="Q987" s="486"/>
      <c r="R987" s="486"/>
      <c r="S987" s="486"/>
      <c r="T987" s="486"/>
      <c r="U987" s="486"/>
      <c r="V987" s="486"/>
      <c r="W987" s="486"/>
      <c r="X987" s="486"/>
      <c r="Y987" s="486"/>
      <c r="Z987" s="486"/>
    </row>
    <row r="988" spans="1:26" ht="15.75" customHeight="1">
      <c r="A988" s="486"/>
      <c r="B988" s="486"/>
      <c r="C988" s="486"/>
      <c r="D988" s="486"/>
      <c r="E988" s="486"/>
      <c r="F988" s="486"/>
      <c r="G988" s="486"/>
      <c r="H988" s="486"/>
      <c r="I988" s="486"/>
      <c r="J988" s="486"/>
      <c r="K988" s="486"/>
      <c r="L988" s="486"/>
      <c r="M988" s="486"/>
      <c r="N988" s="486"/>
      <c r="O988" s="486"/>
      <c r="P988" s="486"/>
      <c r="Q988" s="486"/>
      <c r="R988" s="486"/>
      <c r="S988" s="486"/>
      <c r="T988" s="486"/>
      <c r="U988" s="486"/>
      <c r="V988" s="486"/>
      <c r="W988" s="486"/>
      <c r="X988" s="486"/>
      <c r="Y988" s="486"/>
      <c r="Z988" s="486"/>
    </row>
    <row r="989" spans="1:26" ht="15.75" customHeight="1">
      <c r="A989" s="486"/>
      <c r="B989" s="486"/>
      <c r="C989" s="486"/>
      <c r="D989" s="486"/>
      <c r="E989" s="486"/>
      <c r="F989" s="486"/>
      <c r="G989" s="486"/>
      <c r="H989" s="486"/>
      <c r="I989" s="486"/>
      <c r="J989" s="486"/>
      <c r="K989" s="486"/>
      <c r="L989" s="486"/>
      <c r="M989" s="486"/>
      <c r="N989" s="486"/>
      <c r="O989" s="486"/>
      <c r="P989" s="486"/>
      <c r="Q989" s="486"/>
      <c r="R989" s="486"/>
      <c r="S989" s="486"/>
      <c r="T989" s="486"/>
      <c r="U989" s="486"/>
      <c r="V989" s="486"/>
      <c r="W989" s="486"/>
      <c r="X989" s="486"/>
      <c r="Y989" s="486"/>
      <c r="Z989" s="486"/>
    </row>
    <row r="990" spans="1:26" ht="15.75" customHeight="1">
      <c r="A990" s="486"/>
      <c r="B990" s="486"/>
      <c r="C990" s="486"/>
      <c r="D990" s="486"/>
      <c r="E990" s="486"/>
      <c r="F990" s="486"/>
      <c r="G990" s="486"/>
      <c r="H990" s="486"/>
      <c r="I990" s="486"/>
      <c r="J990" s="486"/>
      <c r="K990" s="486"/>
      <c r="L990" s="486"/>
      <c r="M990" s="486"/>
      <c r="N990" s="486"/>
      <c r="O990" s="486"/>
      <c r="P990" s="486"/>
      <c r="Q990" s="486"/>
      <c r="R990" s="486"/>
      <c r="S990" s="486"/>
      <c r="T990" s="486"/>
      <c r="U990" s="486"/>
      <c r="V990" s="486"/>
      <c r="W990" s="486"/>
      <c r="X990" s="486"/>
      <c r="Y990" s="486"/>
      <c r="Z990" s="486"/>
    </row>
    <row r="991" spans="1:26" ht="15.75" customHeight="1">
      <c r="A991" s="486"/>
      <c r="B991" s="486"/>
      <c r="C991" s="486"/>
      <c r="D991" s="486"/>
      <c r="E991" s="486"/>
      <c r="F991" s="486"/>
      <c r="G991" s="486"/>
      <c r="H991" s="486"/>
      <c r="I991" s="486"/>
      <c r="J991" s="486"/>
      <c r="K991" s="486"/>
      <c r="L991" s="486"/>
      <c r="M991" s="486"/>
      <c r="N991" s="486"/>
      <c r="O991" s="486"/>
      <c r="P991" s="486"/>
      <c r="Q991" s="486"/>
      <c r="R991" s="486"/>
      <c r="S991" s="486"/>
      <c r="T991" s="486"/>
      <c r="U991" s="486"/>
      <c r="V991" s="486"/>
      <c r="W991" s="486"/>
      <c r="X991" s="486"/>
      <c r="Y991" s="486"/>
      <c r="Z991" s="486"/>
    </row>
    <row r="992" spans="1:26" ht="15.75" customHeight="1">
      <c r="A992" s="486"/>
      <c r="B992" s="486"/>
      <c r="C992" s="486"/>
      <c r="D992" s="486"/>
      <c r="E992" s="486"/>
      <c r="F992" s="486"/>
      <c r="G992" s="486"/>
      <c r="H992" s="486"/>
      <c r="I992" s="486"/>
      <c r="J992" s="486"/>
      <c r="K992" s="486"/>
      <c r="L992" s="486"/>
      <c r="M992" s="486"/>
      <c r="N992" s="486"/>
      <c r="O992" s="486"/>
      <c r="P992" s="486"/>
      <c r="Q992" s="486"/>
      <c r="R992" s="486"/>
      <c r="S992" s="486"/>
      <c r="T992" s="486"/>
      <c r="U992" s="486"/>
      <c r="V992" s="486"/>
      <c r="W992" s="486"/>
      <c r="X992" s="486"/>
      <c r="Y992" s="486"/>
      <c r="Z992" s="486"/>
    </row>
    <row r="993" spans="1:26" ht="15.75" customHeight="1">
      <c r="A993" s="486"/>
      <c r="B993" s="486"/>
      <c r="C993" s="486"/>
      <c r="D993" s="486"/>
      <c r="E993" s="486"/>
      <c r="F993" s="486"/>
      <c r="G993" s="486"/>
      <c r="H993" s="486"/>
      <c r="I993" s="486"/>
      <c r="J993" s="486"/>
      <c r="K993" s="486"/>
      <c r="L993" s="486"/>
      <c r="M993" s="486"/>
      <c r="N993" s="486"/>
      <c r="O993" s="486"/>
      <c r="P993" s="486"/>
      <c r="Q993" s="486"/>
      <c r="R993" s="486"/>
      <c r="S993" s="486"/>
      <c r="T993" s="486"/>
      <c r="U993" s="486"/>
      <c r="V993" s="486"/>
      <c r="W993" s="486"/>
      <c r="X993" s="486"/>
      <c r="Y993" s="486"/>
      <c r="Z993" s="486"/>
    </row>
    <row r="994" spans="1:26" ht="15.75" customHeight="1">
      <c r="A994" s="486"/>
      <c r="B994" s="486"/>
      <c r="C994" s="486"/>
      <c r="D994" s="486"/>
      <c r="E994" s="486"/>
      <c r="F994" s="486"/>
      <c r="G994" s="486"/>
      <c r="H994" s="486"/>
      <c r="I994" s="486"/>
      <c r="J994" s="486"/>
      <c r="K994" s="486"/>
      <c r="L994" s="486"/>
      <c r="M994" s="486"/>
      <c r="N994" s="486"/>
      <c r="O994" s="486"/>
      <c r="P994" s="486"/>
      <c r="Q994" s="486"/>
      <c r="R994" s="486"/>
      <c r="S994" s="486"/>
      <c r="T994" s="486"/>
      <c r="U994" s="486"/>
      <c r="V994" s="486"/>
      <c r="W994" s="486"/>
      <c r="X994" s="486"/>
      <c r="Y994" s="486"/>
      <c r="Z994" s="486"/>
    </row>
    <row r="995" spans="1:26" ht="15.75" customHeight="1">
      <c r="A995" s="486"/>
      <c r="B995" s="486"/>
      <c r="C995" s="486"/>
      <c r="D995" s="486"/>
      <c r="E995" s="486"/>
      <c r="F995" s="486"/>
      <c r="G995" s="486"/>
      <c r="H995" s="486"/>
      <c r="I995" s="486"/>
      <c r="J995" s="486"/>
      <c r="K995" s="486"/>
      <c r="L995" s="486"/>
      <c r="M995" s="486"/>
      <c r="N995" s="486"/>
      <c r="O995" s="486"/>
      <c r="P995" s="486"/>
      <c r="Q995" s="486"/>
      <c r="R995" s="486"/>
      <c r="S995" s="486"/>
      <c r="T995" s="486"/>
      <c r="U995" s="486"/>
      <c r="V995" s="486"/>
      <c r="W995" s="486"/>
      <c r="X995" s="486"/>
      <c r="Y995" s="486"/>
      <c r="Z995" s="486"/>
    </row>
    <row r="996" spans="1:26" ht="15.75" customHeight="1">
      <c r="A996" s="486"/>
      <c r="B996" s="486"/>
      <c r="C996" s="486"/>
      <c r="D996" s="486"/>
      <c r="E996" s="486"/>
      <c r="F996" s="486"/>
      <c r="G996" s="486"/>
      <c r="H996" s="486"/>
      <c r="I996" s="486"/>
      <c r="J996" s="486"/>
      <c r="K996" s="486"/>
      <c r="L996" s="486"/>
      <c r="M996" s="486"/>
      <c r="N996" s="486"/>
      <c r="O996" s="486"/>
      <c r="P996" s="486"/>
      <c r="Q996" s="486"/>
      <c r="R996" s="486"/>
      <c r="S996" s="486"/>
      <c r="T996" s="486"/>
      <c r="U996" s="486"/>
      <c r="V996" s="486"/>
      <c r="W996" s="486"/>
      <c r="X996" s="486"/>
      <c r="Y996" s="486"/>
      <c r="Z996" s="486"/>
    </row>
    <row r="997" spans="1:26" ht="15.75" customHeight="1">
      <c r="A997" s="486"/>
      <c r="B997" s="486"/>
      <c r="C997" s="486"/>
      <c r="D997" s="486"/>
      <c r="E997" s="486"/>
      <c r="F997" s="486"/>
      <c r="G997" s="486"/>
      <c r="H997" s="486"/>
      <c r="I997" s="486"/>
      <c r="J997" s="486"/>
      <c r="K997" s="486"/>
      <c r="L997" s="486"/>
      <c r="M997" s="486"/>
      <c r="N997" s="486"/>
      <c r="O997" s="486"/>
      <c r="P997" s="486"/>
      <c r="Q997" s="486"/>
      <c r="R997" s="486"/>
      <c r="S997" s="486"/>
      <c r="T997" s="486"/>
      <c r="U997" s="486"/>
      <c r="V997" s="486"/>
      <c r="W997" s="486"/>
      <c r="X997" s="486"/>
      <c r="Y997" s="486"/>
      <c r="Z997" s="486"/>
    </row>
    <row r="998" spans="1:26" ht="15.75" customHeight="1">
      <c r="A998" s="486"/>
      <c r="B998" s="486"/>
      <c r="C998" s="486"/>
      <c r="D998" s="486"/>
      <c r="E998" s="486"/>
      <c r="F998" s="486"/>
      <c r="G998" s="486"/>
      <c r="H998" s="486"/>
      <c r="I998" s="486"/>
      <c r="J998" s="486"/>
      <c r="K998" s="486"/>
      <c r="L998" s="486"/>
      <c r="M998" s="486"/>
      <c r="N998" s="486"/>
      <c r="O998" s="486"/>
      <c r="P998" s="486"/>
      <c r="Q998" s="486"/>
      <c r="R998" s="486"/>
      <c r="S998" s="486"/>
      <c r="T998" s="486"/>
      <c r="U998" s="486"/>
      <c r="V998" s="486"/>
      <c r="W998" s="486"/>
      <c r="X998" s="486"/>
      <c r="Y998" s="486"/>
      <c r="Z998" s="486"/>
    </row>
    <row r="999" spans="1:26" ht="15.75" customHeight="1">
      <c r="A999" s="486"/>
      <c r="B999" s="486"/>
      <c r="C999" s="486"/>
      <c r="D999" s="486"/>
      <c r="E999" s="486"/>
      <c r="F999" s="486"/>
      <c r="G999" s="486"/>
      <c r="H999" s="486"/>
      <c r="I999" s="486"/>
      <c r="J999" s="486"/>
      <c r="K999" s="486"/>
      <c r="L999" s="486"/>
      <c r="M999" s="486"/>
      <c r="N999" s="486"/>
      <c r="O999" s="486"/>
      <c r="P999" s="486"/>
      <c r="Q999" s="486"/>
      <c r="R999" s="486"/>
      <c r="S999" s="486"/>
      <c r="T999" s="486"/>
      <c r="U999" s="486"/>
      <c r="V999" s="486"/>
      <c r="W999" s="486"/>
      <c r="X999" s="486"/>
      <c r="Y999" s="486"/>
      <c r="Z999" s="486"/>
    </row>
    <row r="1000" spans="1:26" ht="15.75" customHeight="1">
      <c r="A1000" s="486"/>
      <c r="B1000" s="486"/>
      <c r="C1000" s="486"/>
      <c r="D1000" s="486"/>
      <c r="E1000" s="486"/>
      <c r="F1000" s="486"/>
      <c r="G1000" s="486"/>
      <c r="H1000" s="486"/>
      <c r="I1000" s="486"/>
      <c r="J1000" s="486"/>
      <c r="K1000" s="486"/>
      <c r="L1000" s="486"/>
      <c r="M1000" s="486"/>
      <c r="N1000" s="486"/>
      <c r="O1000" s="486"/>
      <c r="P1000" s="486"/>
      <c r="Q1000" s="486"/>
      <c r="R1000" s="486"/>
      <c r="S1000" s="486"/>
      <c r="T1000" s="486"/>
      <c r="U1000" s="486"/>
      <c r="V1000" s="486"/>
      <c r="W1000" s="486"/>
      <c r="X1000" s="486"/>
      <c r="Y1000" s="486"/>
      <c r="Z1000" s="486"/>
    </row>
  </sheetData>
  <mergeCells count="19">
    <mergeCell ref="B1:C1"/>
    <mergeCell ref="B2:L2"/>
    <mergeCell ref="B4:C4"/>
    <mergeCell ref="B6:C6"/>
    <mergeCell ref="D6:G6"/>
    <mergeCell ref="J6:L6"/>
    <mergeCell ref="D4:E4"/>
    <mergeCell ref="D7:L7"/>
    <mergeCell ref="B10:C10"/>
    <mergeCell ref="D10:G10"/>
    <mergeCell ref="C12:L12"/>
    <mergeCell ref="B14:B26"/>
    <mergeCell ref="B7:C7"/>
    <mergeCell ref="B8:C8"/>
    <mergeCell ref="D8:G8"/>
    <mergeCell ref="I8:L8"/>
    <mergeCell ref="B9:C9"/>
    <mergeCell ref="D9:G9"/>
    <mergeCell ref="J9:L9"/>
  </mergeCells>
  <conditionalFormatting sqref="K14">
    <cfRule type="cellIs" dxfId="185" priority="1" operator="greaterThan">
      <formula>0</formula>
    </cfRule>
  </conditionalFormatting>
  <conditionalFormatting sqref="K15">
    <cfRule type="cellIs" dxfId="184" priority="2" operator="greaterThan">
      <formula>0</formula>
    </cfRule>
  </conditionalFormatting>
  <conditionalFormatting sqref="K16">
    <cfRule type="cellIs" dxfId="183" priority="3" operator="greaterThan">
      <formula>0</formula>
    </cfRule>
  </conditionalFormatting>
  <conditionalFormatting sqref="K17">
    <cfRule type="cellIs" dxfId="182" priority="4" operator="greaterThan">
      <formula>0</formula>
    </cfRule>
  </conditionalFormatting>
  <conditionalFormatting sqref="K18:K24">
    <cfRule type="cellIs" dxfId="181" priority="5" operator="greaterThan">
      <formula>0</formula>
    </cfRule>
  </conditionalFormatting>
  <conditionalFormatting sqref="H14">
    <cfRule type="expression" dxfId="180" priority="6">
      <formula>$K$14&gt;0</formula>
    </cfRule>
  </conditionalFormatting>
  <conditionalFormatting sqref="H15">
    <cfRule type="expression" dxfId="179" priority="7">
      <formula>$K$15&gt;0</formula>
    </cfRule>
  </conditionalFormatting>
  <conditionalFormatting sqref="H16">
    <cfRule type="expression" dxfId="178" priority="8">
      <formula>$K$16&gt;0</formula>
    </cfRule>
  </conditionalFormatting>
  <conditionalFormatting sqref="H17">
    <cfRule type="expression" dxfId="177" priority="9">
      <formula>$K$17&gt;0</formula>
    </cfRule>
  </conditionalFormatting>
  <conditionalFormatting sqref="H18">
    <cfRule type="expression" dxfId="176" priority="10">
      <formula>$K$18&gt;0</formula>
    </cfRule>
  </conditionalFormatting>
  <conditionalFormatting sqref="H18">
    <cfRule type="expression" dxfId="175" priority="11">
      <formula>$K$17&gt;0</formula>
    </cfRule>
  </conditionalFormatting>
  <conditionalFormatting sqref="H19">
    <cfRule type="expression" dxfId="174" priority="12">
      <formula>$K$19&gt;0</formula>
    </cfRule>
  </conditionalFormatting>
  <conditionalFormatting sqref="H20">
    <cfRule type="expression" dxfId="173" priority="13">
      <formula>$K$20&gt;0</formula>
    </cfRule>
  </conditionalFormatting>
  <conditionalFormatting sqref="H21">
    <cfRule type="expression" dxfId="172" priority="14">
      <formula>$K$21&gt;0</formula>
    </cfRule>
  </conditionalFormatting>
  <conditionalFormatting sqref="H22">
    <cfRule type="expression" dxfId="171" priority="15">
      <formula>$K$22&gt;0</formula>
    </cfRule>
  </conditionalFormatting>
  <conditionalFormatting sqref="H23">
    <cfRule type="expression" dxfId="170" priority="16">
      <formula>$K$23&gt;0</formula>
    </cfRule>
  </conditionalFormatting>
  <conditionalFormatting sqref="H24">
    <cfRule type="expression" dxfId="169" priority="17">
      <formula>$K$24&gt;0</formula>
    </cfRule>
  </conditionalFormatting>
  <conditionalFormatting sqref="H25">
    <cfRule type="expression" dxfId="168" priority="18">
      <formula>$K$25&gt;0</formula>
    </cfRule>
  </conditionalFormatting>
  <conditionalFormatting sqref="M14">
    <cfRule type="expression" dxfId="167" priority="19">
      <formula>$K$14&gt;0</formula>
    </cfRule>
  </conditionalFormatting>
  <conditionalFormatting sqref="M15">
    <cfRule type="expression" dxfId="166" priority="20">
      <formula>$K$15&gt;0</formula>
    </cfRule>
  </conditionalFormatting>
  <conditionalFormatting sqref="M16">
    <cfRule type="expression" dxfId="165" priority="21">
      <formula>$K$16&gt;0</formula>
    </cfRule>
  </conditionalFormatting>
  <conditionalFormatting sqref="M17">
    <cfRule type="expression" dxfId="164" priority="22">
      <formula>$K$17&gt;0</formula>
    </cfRule>
  </conditionalFormatting>
  <conditionalFormatting sqref="M18">
    <cfRule type="expression" dxfId="163" priority="23">
      <formula>$K$18&gt;0</formula>
    </cfRule>
  </conditionalFormatting>
  <conditionalFormatting sqref="M19">
    <cfRule type="expression" dxfId="162" priority="24">
      <formula>$K$19&gt;0</formula>
    </cfRule>
  </conditionalFormatting>
  <conditionalFormatting sqref="M20">
    <cfRule type="expression" dxfId="161" priority="25">
      <formula>$K$20&gt;0</formula>
    </cfRule>
  </conditionalFormatting>
  <conditionalFormatting sqref="M21">
    <cfRule type="expression" dxfId="160" priority="26">
      <formula>$K$21&gt;0</formula>
    </cfRule>
  </conditionalFormatting>
  <conditionalFormatting sqref="M22">
    <cfRule type="expression" dxfId="159" priority="27">
      <formula>$K$22&gt;0</formula>
    </cfRule>
  </conditionalFormatting>
  <conditionalFormatting sqref="M23">
    <cfRule type="expression" dxfId="158" priority="28">
      <formula>$K$23&gt;0</formula>
    </cfRule>
  </conditionalFormatting>
  <conditionalFormatting sqref="M24">
    <cfRule type="expression" dxfId="157" priority="29">
      <formula>$K$24&gt;0</formula>
    </cfRule>
  </conditionalFormatting>
  <conditionalFormatting sqref="M25">
    <cfRule type="expression" dxfId="156" priority="30">
      <formula>$K$25&gt;0</formula>
    </cfRule>
  </conditionalFormatting>
  <conditionalFormatting sqref="C14">
    <cfRule type="expression" dxfId="155" priority="31">
      <formula>$E$14&gt;0</formula>
    </cfRule>
  </conditionalFormatting>
  <conditionalFormatting sqref="C14">
    <cfRule type="expression" dxfId="154" priority="32">
      <formula>$C$14&gt;0</formula>
    </cfRule>
  </conditionalFormatting>
  <conditionalFormatting sqref="C16">
    <cfRule type="expression" dxfId="153" priority="33">
      <formula>$E$16&gt;0</formula>
    </cfRule>
  </conditionalFormatting>
  <conditionalFormatting sqref="C17">
    <cfRule type="expression" dxfId="152" priority="34">
      <formula>$E$17&gt;0</formula>
    </cfRule>
  </conditionalFormatting>
  <conditionalFormatting sqref="C18">
    <cfRule type="expression" dxfId="151" priority="35">
      <formula>$E$18&gt;0</formula>
    </cfRule>
  </conditionalFormatting>
  <conditionalFormatting sqref="C19">
    <cfRule type="expression" dxfId="150" priority="36">
      <formula>$E$19&gt;0</formula>
    </cfRule>
  </conditionalFormatting>
  <conditionalFormatting sqref="C20">
    <cfRule type="expression" dxfId="149" priority="37">
      <formula>$E$20&gt;0</formula>
    </cfRule>
  </conditionalFormatting>
  <conditionalFormatting sqref="C21">
    <cfRule type="expression" dxfId="148" priority="38">
      <formula>$E$21&gt;0</formula>
    </cfRule>
  </conditionalFormatting>
  <conditionalFormatting sqref="C22">
    <cfRule type="expression" dxfId="147" priority="39">
      <formula>$E$22&gt;0</formula>
    </cfRule>
  </conditionalFormatting>
  <conditionalFormatting sqref="C23">
    <cfRule type="expression" dxfId="146" priority="40">
      <formula>$E$23&gt;0</formula>
    </cfRule>
  </conditionalFormatting>
  <conditionalFormatting sqref="C24">
    <cfRule type="expression" dxfId="145" priority="41">
      <formula>$E$24&gt;0</formula>
    </cfRule>
  </conditionalFormatting>
  <conditionalFormatting sqref="C25">
    <cfRule type="expression" dxfId="144" priority="42">
      <formula>$E$25&gt;0</formula>
    </cfRule>
  </conditionalFormatting>
  <conditionalFormatting sqref="C15">
    <cfRule type="expression" dxfId="143" priority="43">
      <formula>$E$15&gt;0</formula>
    </cfRule>
  </conditionalFormatting>
  <conditionalFormatting sqref="E15:E16">
    <cfRule type="cellIs" dxfId="142" priority="44" operator="greaterThan">
      <formula>0</formula>
    </cfRule>
  </conditionalFormatting>
  <conditionalFormatting sqref="E14">
    <cfRule type="cellIs" dxfId="141" priority="45" operator="greaterThan">
      <formula>0</formula>
    </cfRule>
  </conditionalFormatting>
  <conditionalFormatting sqref="E17">
    <cfRule type="cellIs" dxfId="140" priority="46" operator="greaterThan">
      <formula>0</formula>
    </cfRule>
  </conditionalFormatting>
  <conditionalFormatting sqref="E18">
    <cfRule type="cellIs" dxfId="139" priority="47" operator="greaterThan">
      <formula>0</formula>
    </cfRule>
  </conditionalFormatting>
  <conditionalFormatting sqref="E19">
    <cfRule type="cellIs" dxfId="138" priority="48" operator="greaterThan">
      <formula>0</formula>
    </cfRule>
  </conditionalFormatting>
  <conditionalFormatting sqref="E20">
    <cfRule type="cellIs" dxfId="137" priority="49" operator="greaterThan">
      <formula>0</formula>
    </cfRule>
  </conditionalFormatting>
  <conditionalFormatting sqref="E21">
    <cfRule type="cellIs" dxfId="136" priority="50" operator="greaterThan">
      <formula>0</formula>
    </cfRule>
  </conditionalFormatting>
  <conditionalFormatting sqref="E22">
    <cfRule type="cellIs" dxfId="135" priority="51" operator="greaterThan">
      <formula>0</formula>
    </cfRule>
  </conditionalFormatting>
  <conditionalFormatting sqref="E23">
    <cfRule type="cellIs" dxfId="134" priority="52" operator="greaterThan">
      <formula>0</formula>
    </cfRule>
  </conditionalFormatting>
  <conditionalFormatting sqref="E24">
    <cfRule type="cellIs" dxfId="133" priority="53" operator="greaterThan">
      <formula>0</formula>
    </cfRule>
  </conditionalFormatting>
  <conditionalFormatting sqref="E25">
    <cfRule type="cellIs" dxfId="132" priority="54" operator="greaterThan">
      <formula>0</formula>
    </cfRule>
  </conditionalFormatting>
  <conditionalFormatting sqref="I14">
    <cfRule type="cellIs" dxfId="131" priority="55" operator="greaterThan">
      <formula>0</formula>
    </cfRule>
  </conditionalFormatting>
  <conditionalFormatting sqref="I15">
    <cfRule type="cellIs" dxfId="130" priority="56" operator="greaterThan">
      <formula>0</formula>
    </cfRule>
  </conditionalFormatting>
  <conditionalFormatting sqref="I16">
    <cfRule type="cellIs" dxfId="129" priority="57" operator="greaterThan">
      <formula>0</formula>
    </cfRule>
  </conditionalFormatting>
  <conditionalFormatting sqref="I17">
    <cfRule type="cellIs" dxfId="128" priority="58" operator="greaterThan">
      <formula>0</formula>
    </cfRule>
  </conditionalFormatting>
  <conditionalFormatting sqref="I18">
    <cfRule type="cellIs" dxfId="127" priority="59" operator="greaterThan">
      <formula>0</formula>
    </cfRule>
  </conditionalFormatting>
  <conditionalFormatting sqref="I19">
    <cfRule type="cellIs" dxfId="126" priority="60" operator="greaterThan">
      <formula>0</formula>
    </cfRule>
  </conditionalFormatting>
  <conditionalFormatting sqref="I20">
    <cfRule type="cellIs" dxfId="125" priority="61" operator="greaterThan">
      <formula>0</formula>
    </cfRule>
  </conditionalFormatting>
  <conditionalFormatting sqref="I21">
    <cfRule type="cellIs" dxfId="124" priority="62" operator="greaterThan">
      <formula>0</formula>
    </cfRule>
  </conditionalFormatting>
  <conditionalFormatting sqref="I22">
    <cfRule type="cellIs" dxfId="123" priority="63" operator="greaterThan">
      <formula>0</formula>
    </cfRule>
  </conditionalFormatting>
  <conditionalFormatting sqref="I23">
    <cfRule type="cellIs" dxfId="122" priority="64" operator="greaterThan">
      <formula>0</formula>
    </cfRule>
  </conditionalFormatting>
  <conditionalFormatting sqref="I24">
    <cfRule type="cellIs" dxfId="121" priority="65" operator="greaterThan">
      <formula>0</formula>
    </cfRule>
  </conditionalFormatting>
  <conditionalFormatting sqref="I25">
    <cfRule type="cellIs" dxfId="120" priority="66" operator="greaterThan">
      <formula>0</formula>
    </cfRule>
  </conditionalFormatting>
  <printOptions horizontalCentered="1" verticalCentered="1"/>
  <pageMargins left="0.23622047244094491" right="0.11811023622047245" top="0.11811023622047245" bottom="0.11811023622047245"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0"/>
  <sheetViews>
    <sheetView workbookViewId="0"/>
  </sheetViews>
  <sheetFormatPr defaultColWidth="14.42578125" defaultRowHeight="15" customHeight="1"/>
  <cols>
    <col min="1" max="1" width="4.42578125" customWidth="1"/>
    <col min="2" max="2" width="74.85546875" customWidth="1"/>
    <col min="3" max="3" width="15.7109375" customWidth="1"/>
    <col min="4" max="4" width="11.5703125" customWidth="1"/>
    <col min="5" max="5" width="13.85546875" customWidth="1"/>
    <col min="6" max="6" width="15.28515625" customWidth="1"/>
    <col min="7" max="8" width="7.5703125" customWidth="1"/>
    <col min="9" max="9" width="14.28515625" customWidth="1"/>
  </cols>
  <sheetData>
    <row r="1" spans="1:9" ht="18" customHeight="1">
      <c r="A1" s="522"/>
      <c r="B1" s="1058" t="s">
        <v>341</v>
      </c>
      <c r="C1" s="1023"/>
      <c r="D1" s="1023"/>
      <c r="E1" s="1023"/>
      <c r="F1" s="1023"/>
      <c r="G1" s="1023"/>
      <c r="H1" s="1023"/>
      <c r="I1" s="1023"/>
    </row>
    <row r="2" spans="1:9" ht="9.75" customHeight="1">
      <c r="A2" s="522"/>
      <c r="B2" s="523"/>
      <c r="C2" s="523"/>
      <c r="D2" s="524"/>
      <c r="E2" s="523"/>
      <c r="F2" s="523"/>
      <c r="G2" s="523"/>
      <c r="H2" s="523"/>
      <c r="I2" s="523"/>
    </row>
    <row r="3" spans="1:9" ht="23.25" customHeight="1">
      <c r="A3" s="1054" t="s">
        <v>342</v>
      </c>
      <c r="B3" s="977"/>
      <c r="C3" s="977"/>
      <c r="D3" s="977"/>
      <c r="E3" s="977"/>
      <c r="F3" s="977"/>
      <c r="G3" s="977"/>
      <c r="H3" s="977"/>
      <c r="I3" s="1007"/>
    </row>
    <row r="4" spans="1:9" ht="30" customHeight="1">
      <c r="A4" s="1055" t="s">
        <v>343</v>
      </c>
      <c r="B4" s="1009"/>
      <c r="C4" s="1009"/>
      <c r="D4" s="1009"/>
      <c r="E4" s="1009"/>
      <c r="F4" s="1009"/>
      <c r="G4" s="1009"/>
      <c r="H4" s="1009"/>
      <c r="I4" s="1010"/>
    </row>
    <row r="5" spans="1:9" ht="42" customHeight="1">
      <c r="A5" s="525" t="s">
        <v>344</v>
      </c>
      <c r="B5" s="526" t="s">
        <v>345</v>
      </c>
      <c r="C5" s="526" t="s">
        <v>346</v>
      </c>
      <c r="D5" s="526" t="s">
        <v>347</v>
      </c>
      <c r="E5" s="526" t="s">
        <v>348</v>
      </c>
      <c r="F5" s="526" t="s">
        <v>349</v>
      </c>
      <c r="G5" s="1057" t="s">
        <v>350</v>
      </c>
      <c r="H5" s="1009"/>
      <c r="I5" s="1010"/>
    </row>
    <row r="6" spans="1:9" ht="77.25">
      <c r="A6" s="527">
        <v>1</v>
      </c>
      <c r="B6" s="528" t="str">
        <f>Insumos_Base!B4</f>
        <v>Álcool etílico hidratado, 70º GL, acondicionado em embalagem primária, tipo frasco, de 01 litro de volume líquido, com tampa roscável. Classificação de aplicação: para uso hospitalar e indústria alimentícia e afins. Validade mínima do produto no ato da entrega: 10 meses. Produto com notificação ou registro junto à ANVISA/MS, conforme classificação de risco, RDC n° 46/2002, RDC n° 14/2007, Portarias n° 269 e n° 270/2008 e outras legislações cabíveis</v>
      </c>
      <c r="C6" s="529" t="str">
        <f>Insumos_Base!C4</f>
        <v>Frasco 1 litro</v>
      </c>
      <c r="D6" s="530">
        <f>Insumos_Base!D4</f>
        <v>5.66</v>
      </c>
      <c r="E6" s="531">
        <f t="shared" ref="E6:E68" si="0">IFERROR(G6/H6,0)</f>
        <v>25</v>
      </c>
      <c r="F6" s="532">
        <f t="shared" ref="F6:F68" si="1">E6*D6</f>
        <v>141.5</v>
      </c>
      <c r="G6" s="533">
        <f>IF('1-ABA-DE-CARREGAMENTO'!$C$14 = "PANAMBI ",Insumos_Base!E4,IF('1-ABA-DE-CARREGAMENTO'!$C$14 = "JULIO-DE-CASTILHOS ",Insumos_Base!F4,IF('1-ABA-DE-CARREGAMENTO'!$C$14 = "SANTO-AUGUSTO ",Insumos_Base!G4,IF('1-ABA-DE-CARREGAMENTO'!$C$14 = "SAO-VICENTE-DO-SUL",Insumos_Base!H4,0))))</f>
        <v>25</v>
      </c>
      <c r="H6" s="529">
        <f>Insumos_Base!I4</f>
        <v>1</v>
      </c>
      <c r="I6" s="529" t="s">
        <v>351</v>
      </c>
    </row>
    <row r="7" spans="1:9" ht="64.5">
      <c r="A7" s="534">
        <v>2</v>
      </c>
      <c r="B7" s="535" t="str">
        <f>Insumos_Base!B5</f>
        <v>Alvejante líquido biodegradável, sem aromatizantes, sem corantes, acondicionado em embalagem primária plástica, tipo galão, 05 litros de peso líquido. Ação bactericida, fungicida e germicida, com teor de cloro ativo entre 2,0 e 2,5% (especificado na embalagem). Saneante com notificação ou registro junto à ANVISA/MS, conforme classificação de risco, RDC n° 184/2001 e outras legislações cabíveis</v>
      </c>
      <c r="C7" s="536" t="str">
        <f>Insumos_Base!C5</f>
        <v>Bombona 5 litros</v>
      </c>
      <c r="D7" s="537">
        <f>Insumos_Base!D5</f>
        <v>6.68</v>
      </c>
      <c r="E7" s="538">
        <f t="shared" si="0"/>
        <v>8</v>
      </c>
      <c r="F7" s="539">
        <f t="shared" si="1"/>
        <v>53.44</v>
      </c>
      <c r="G7" s="540">
        <f>IF('1-ABA-DE-CARREGAMENTO'!$C$14 = "PANAMBI ",Insumos_Base!E5,IF('1-ABA-DE-CARREGAMENTO'!$C$14 = "JULIO-DE-CASTILHOS ",Insumos_Base!F5,IF('1-ABA-DE-CARREGAMENTO'!$C$14 = "SANTO-AUGUSTO ",Insumos_Base!G5,IF('1-ABA-DE-CARREGAMENTO'!$C$14 = "SAO-VICENTE-DO-SUL",Insumos_Base!H5,0))))</f>
        <v>8</v>
      </c>
      <c r="H7" s="536">
        <f>Insumos_Base!I5</f>
        <v>1</v>
      </c>
      <c r="I7" s="536" t="s">
        <v>351</v>
      </c>
    </row>
    <row r="8" spans="1:9" ht="26.25">
      <c r="A8" s="527">
        <v>3</v>
      </c>
      <c r="B8" s="528" t="str">
        <f>Insumos_Base!B6</f>
        <v>ÁLCOOL GEL 70 % (70 ºgl), indicado para assepsia e desinfecção da pele, incolor, frasco com 500 ml.</v>
      </c>
      <c r="C8" s="529" t="str">
        <f>Insumos_Base!C6</f>
        <v>Frasco 500 ml</v>
      </c>
      <c r="D8" s="530">
        <f>Insumos_Base!D6</f>
        <v>6.71</v>
      </c>
      <c r="E8" s="531">
        <f t="shared" si="0"/>
        <v>15</v>
      </c>
      <c r="F8" s="532">
        <f t="shared" si="1"/>
        <v>100.65</v>
      </c>
      <c r="G8" s="533">
        <f>IF('1-ABA-DE-CARREGAMENTO'!$C$14 = "PANAMBI ",Insumos_Base!E6,IF('1-ABA-DE-CARREGAMENTO'!$C$14 = "JULIO-DE-CASTILHOS ",Insumos_Base!F6,IF('1-ABA-DE-CARREGAMENTO'!$C$14 = "SANTO-AUGUSTO ",Insumos_Base!G6,IF('1-ABA-DE-CARREGAMENTO'!$C$14 = "SAO-VICENTE-DO-SUL",Insumos_Base!H6,0))))</f>
        <v>15</v>
      </c>
      <c r="H8" s="529">
        <f>Insumos_Base!I6</f>
        <v>1</v>
      </c>
      <c r="I8" s="529" t="s">
        <v>351</v>
      </c>
    </row>
    <row r="9" spans="1:9" ht="166.5">
      <c r="A9" s="534">
        <v>4</v>
      </c>
      <c r="B9" s="535" t="str">
        <f>Insumos_Base!B7</f>
        <v>Detergente alcalino clorado, em gel, de ampla aplicação, com alto poder sanitizante e desengordurante. Possui excelente rendimento e formação de espuma aderindo facilmente em superfícies inclinadas limpando e desinfetando em uma única operação. Possui eficácia comprovada através de ensaios, conforme RDC n°14/07 da Agência Nacional de Vigilância Sanitária (ANVISA/MS) para bactérias testadas: Gram-positivas e Gram-negativas, Staphylococcus aureus, Salmonella choleraesuis, Escherichia coli e Pseudomonas aeruginosa. INDICAÇÃO DE USO Em equipamentos, utensílios, balcões climatizados, áreas de preparo de alimentos e afins, pisos frios vitrificados, paredes, azulejos encardidos, câmaras frigoríficas, lixeiras, plásticos, placas de corte, grelhas, etc. Muito utilizado em açougues, peixarias, laticínios, frigoríficos, padarias e restaurantes. Indicado para: Cozinhas - Shopping - Supermercado - Escola - Escritório - Hotel - Indústria - Residência. pH 12,00 - 14,00. Odor: Cloro. Cor: amarelo esverdeado. Diluição até: 1:100. Embalagem com 5 litros.</v>
      </c>
      <c r="C9" s="536" t="str">
        <f>Insumos_Base!C7</f>
        <v>5 Litros</v>
      </c>
      <c r="D9" s="537">
        <f>Insumos_Base!D7</f>
        <v>12.47</v>
      </c>
      <c r="E9" s="538">
        <f t="shared" si="0"/>
        <v>2</v>
      </c>
      <c r="F9" s="539">
        <f t="shared" si="1"/>
        <v>24.94</v>
      </c>
      <c r="G9" s="540">
        <f>IF('1-ABA-DE-CARREGAMENTO'!$C$14 = "PANAMBI ",Insumos_Base!E7,IF('1-ABA-DE-CARREGAMENTO'!$C$14 = "JULIO-DE-CASTILHOS ",Insumos_Base!F7,IF('1-ABA-DE-CARREGAMENTO'!$C$14 = "SANTO-AUGUSTO ",Insumos_Base!G7,IF('1-ABA-DE-CARREGAMENTO'!$C$14 = "SAO-VICENTE-DO-SUL",Insumos_Base!H7,0))))</f>
        <v>2</v>
      </c>
      <c r="H9" s="536">
        <f>Insumos_Base!I7</f>
        <v>1</v>
      </c>
      <c r="I9" s="536" t="s">
        <v>351</v>
      </c>
    </row>
    <row r="10" spans="1:9" ht="26.25">
      <c r="A10" s="527">
        <v>5</v>
      </c>
      <c r="B10" s="528" t="str">
        <f>Insumos_Base!B8</f>
        <v>DETERGENTE LÍQUIDO, para lavar louça, auxilia na remoção de gorduras de louças, talheres e panelas, natural, contém tensoativo biodegradável 500ml.</v>
      </c>
      <c r="C10" s="529">
        <f>Insumos_Base!C8</f>
        <v>0</v>
      </c>
      <c r="D10" s="530">
        <f>Insumos_Base!D8</f>
        <v>1.33</v>
      </c>
      <c r="E10" s="531">
        <f t="shared" si="0"/>
        <v>150</v>
      </c>
      <c r="F10" s="532">
        <f t="shared" si="1"/>
        <v>199.5</v>
      </c>
      <c r="G10" s="533">
        <f>IF('1-ABA-DE-CARREGAMENTO'!$C$14 = "PANAMBI ",Insumos_Base!E8,IF('1-ABA-DE-CARREGAMENTO'!$C$14 = "JULIO-DE-CASTILHOS ",Insumos_Base!F8,IF('1-ABA-DE-CARREGAMENTO'!$C$14 = "SANTO-AUGUSTO ",Insumos_Base!G8,IF('1-ABA-DE-CARREGAMENTO'!$C$14 = "SAO-VICENTE-DO-SUL",Insumos_Base!H8,0))))</f>
        <v>150</v>
      </c>
      <c r="H10" s="529">
        <f>Insumos_Base!I8</f>
        <v>1</v>
      </c>
      <c r="I10" s="529" t="s">
        <v>351</v>
      </c>
    </row>
    <row r="11" spans="1:9" ht="39">
      <c r="A11" s="534">
        <v>6</v>
      </c>
      <c r="B11" s="535" t="str">
        <f>Insumos_Base!B9</f>
        <v>DETERGENTE LÍQUIDO CONCENTRADO, neutro, líquido, diluição mínima de 1 x 10 litros de água, c/ 5 litros. Com validade mínima de 10 meses a partir da entrega e embalagem com dados de identificação do produto e do fabricante.</v>
      </c>
      <c r="C11" s="536" t="str">
        <f>Insumos_Base!C9</f>
        <v>Embalagem 5 litros</v>
      </c>
      <c r="D11" s="537">
        <f>Insumos_Base!D9</f>
        <v>11.41</v>
      </c>
      <c r="E11" s="538">
        <f t="shared" si="0"/>
        <v>4</v>
      </c>
      <c r="F11" s="539">
        <f t="shared" si="1"/>
        <v>45.64</v>
      </c>
      <c r="G11" s="540">
        <f>IF('1-ABA-DE-CARREGAMENTO'!$C$14 = "PANAMBI ",Insumos_Base!E9,IF('1-ABA-DE-CARREGAMENTO'!$C$14 = "JULIO-DE-CASTILHOS ",Insumos_Base!F9,IF('1-ABA-DE-CARREGAMENTO'!$C$14 = "SANTO-AUGUSTO ",Insumos_Base!G9,IF('1-ABA-DE-CARREGAMENTO'!$C$14 = "SAO-VICENTE-DO-SUL",Insumos_Base!H9,0))))</f>
        <v>4</v>
      </c>
      <c r="H11" s="536">
        <f>Insumos_Base!I9</f>
        <v>1</v>
      </c>
      <c r="I11" s="536" t="s">
        <v>351</v>
      </c>
    </row>
    <row r="12" spans="1:9">
      <c r="A12" s="527">
        <v>7</v>
      </c>
      <c r="B12" s="528" t="str">
        <f>Insumos_Base!B10</f>
        <v>Esfregão de aço inox, no mínimo 10 gramas. Embalagem com 8 unidades.</v>
      </c>
      <c r="C12" s="529" t="str">
        <f>Insumos_Base!C10</f>
        <v>Und</v>
      </c>
      <c r="D12" s="530">
        <f>Insumos_Base!D10</f>
        <v>1.47</v>
      </c>
      <c r="E12" s="531">
        <f t="shared" si="0"/>
        <v>5</v>
      </c>
      <c r="F12" s="532">
        <f t="shared" si="1"/>
        <v>7.35</v>
      </c>
      <c r="G12" s="533">
        <f>IF('1-ABA-DE-CARREGAMENTO'!$C$14 = "PANAMBI ",Insumos_Base!E10,IF('1-ABA-DE-CARREGAMENTO'!$C$14 = "JULIO-DE-CASTILHOS ",Insumos_Base!F10,IF('1-ABA-DE-CARREGAMENTO'!$C$14 = "SANTO-AUGUSTO ",Insumos_Base!G10,IF('1-ABA-DE-CARREGAMENTO'!$C$14 = "SAO-VICENTE-DO-SUL",Insumos_Base!H10,0))))</f>
        <v>5</v>
      </c>
      <c r="H12" s="529">
        <f>Insumos_Base!I10</f>
        <v>1</v>
      </c>
      <c r="I12" s="529" t="s">
        <v>351</v>
      </c>
    </row>
    <row r="13" spans="1:9" ht="39">
      <c r="A13" s="534">
        <v>8</v>
      </c>
      <c r="B13" s="535" t="str">
        <f>Insumos_Base!B11</f>
        <v>Esponja para limpeza dupla face, produto não-tecido, à base de fibras sintéticas e mineral abrasivo unidos por resina à prova d'água. Medidas mínimas 110 mm x 75 mm x 20 mm. Embalada em plástico com no máximo em 4 unidades.</v>
      </c>
      <c r="C13" s="536" t="str">
        <f>Insumos_Base!C11</f>
        <v>Unidade</v>
      </c>
      <c r="D13" s="537">
        <f>Insumos_Base!D11</f>
        <v>0.7</v>
      </c>
      <c r="E13" s="538">
        <f t="shared" si="0"/>
        <v>30</v>
      </c>
      <c r="F13" s="539">
        <f t="shared" si="1"/>
        <v>21</v>
      </c>
      <c r="G13" s="540">
        <f>IF('1-ABA-DE-CARREGAMENTO'!$C$14 = "PANAMBI ",Insumos_Base!E11,IF('1-ABA-DE-CARREGAMENTO'!$C$14 = "JULIO-DE-CASTILHOS ",Insumos_Base!F11,IF('1-ABA-DE-CARREGAMENTO'!$C$14 = "SANTO-AUGUSTO ",Insumos_Base!G11,IF('1-ABA-DE-CARREGAMENTO'!$C$14 = "SAO-VICENTE-DO-SUL",Insumos_Base!H11,0))))</f>
        <v>30</v>
      </c>
      <c r="H13" s="536">
        <f>Insumos_Base!I11</f>
        <v>1</v>
      </c>
      <c r="I13" s="536" t="s">
        <v>351</v>
      </c>
    </row>
    <row r="14" spans="1:9" ht="26.25">
      <c r="A14" s="527">
        <v>9</v>
      </c>
      <c r="B14" s="528" t="str">
        <f>Insumos_Base!B12</f>
        <v>Esponja de aço, formato retangular, aplicação limpeza geral, textura macia e isenta de Sinais de oxidação, medindo, no mínimo, 100x75. Pct c/ 8 unidades.</v>
      </c>
      <c r="C14" s="529" t="str">
        <f>Insumos_Base!C12</f>
        <v>Pacote 8 unidades</v>
      </c>
      <c r="D14" s="530">
        <f>Insumos_Base!D12</f>
        <v>2.37</v>
      </c>
      <c r="E14" s="531">
        <f t="shared" si="0"/>
        <v>10</v>
      </c>
      <c r="F14" s="532">
        <f t="shared" si="1"/>
        <v>23.700000000000003</v>
      </c>
      <c r="G14" s="533">
        <f>IF('1-ABA-DE-CARREGAMENTO'!$C$14 = "PANAMBI ",Insumos_Base!E12,IF('1-ABA-DE-CARREGAMENTO'!$C$14 = "JULIO-DE-CASTILHOS ",Insumos_Base!F12,IF('1-ABA-DE-CARREGAMENTO'!$C$14 = "SANTO-AUGUSTO ",Insumos_Base!G12,IF('1-ABA-DE-CARREGAMENTO'!$C$14 = "SAO-VICENTE-DO-SUL",Insumos_Base!H12,0))))</f>
        <v>10</v>
      </c>
      <c r="H14" s="529">
        <f>Insumos_Base!I12</f>
        <v>1</v>
      </c>
      <c r="I14" s="529" t="s">
        <v>351</v>
      </c>
    </row>
    <row r="15" spans="1:9" ht="64.5">
      <c r="A15" s="534">
        <v>10</v>
      </c>
      <c r="B15" s="535" t="str">
        <f>Insumos_Base!B13</f>
        <v>LIMPADOR DE USO GERAL (multiuso), tubo com 500ml. Utilizado para limpeza de azulejos, plásticos e esmaltados, fogões e superfícies laváveis. Indicado para remover gorduras, fuligem, poeira, marcas de dedos e saltos, riscos de lápis. Aroma campestre. Sem a presença de amônia na composição. Acondicionadas em embalagens de papelão devidamente identificadas. (VEJA)</v>
      </c>
      <c r="C15" s="536" t="str">
        <f>Insumos_Base!C13</f>
        <v>Tubo 500 ml</v>
      </c>
      <c r="D15" s="537">
        <f>Insumos_Base!D13</f>
        <v>4.2</v>
      </c>
      <c r="E15" s="538">
        <f t="shared" si="0"/>
        <v>1</v>
      </c>
      <c r="F15" s="539">
        <f t="shared" si="1"/>
        <v>4.2</v>
      </c>
      <c r="G15" s="540">
        <f>IF('1-ABA-DE-CARREGAMENTO'!$C$14 = "PANAMBI ",Insumos_Base!E13,IF('1-ABA-DE-CARREGAMENTO'!$C$14 = "JULIO-DE-CASTILHOS ",Insumos_Base!F13,IF('1-ABA-DE-CARREGAMENTO'!$C$14 = "SANTO-AUGUSTO ",Insumos_Base!G13,IF('1-ABA-DE-CARREGAMENTO'!$C$14 = "SAO-VICENTE-DO-SUL",Insumos_Base!H13,0))))</f>
        <v>1</v>
      </c>
      <c r="H15" s="536">
        <f>Insumos_Base!I13</f>
        <v>1</v>
      </c>
      <c r="I15" s="536" t="s">
        <v>351</v>
      </c>
    </row>
    <row r="16" spans="1:9" ht="39">
      <c r="A16" s="527">
        <v>11</v>
      </c>
      <c r="B16" s="528" t="str">
        <f>Insumos_Base!B14</f>
        <v>Luva plástica descartável, fabricada em Polietileno; Transparente; Atóxica e Apirogênica; Descartável e de uso único; Tamanho: único; Pacote com 100 unidades; Estéril; Espessura de 0,03 microns, sem amido.</v>
      </c>
      <c r="C16" s="529" t="str">
        <f>Insumos_Base!C14</f>
        <v>Caixa 100 unidades</v>
      </c>
      <c r="D16" s="530">
        <f>Insumos_Base!D14</f>
        <v>2.93</v>
      </c>
      <c r="E16" s="531">
        <f t="shared" si="0"/>
        <v>2</v>
      </c>
      <c r="F16" s="532">
        <f t="shared" si="1"/>
        <v>5.86</v>
      </c>
      <c r="G16" s="533">
        <f>IF('1-ABA-DE-CARREGAMENTO'!$C$14 = "PANAMBI ",Insumos_Base!E14,IF('1-ABA-DE-CARREGAMENTO'!$C$14 = "JULIO-DE-CASTILHOS ",Insumos_Base!F14,IF('1-ABA-DE-CARREGAMENTO'!$C$14 = "SANTO-AUGUSTO ",Insumos_Base!G14,IF('1-ABA-DE-CARREGAMENTO'!$C$14 = "SAO-VICENTE-DO-SUL",Insumos_Base!H14,0))))</f>
        <v>2</v>
      </c>
      <c r="H16" s="529">
        <f>Insumos_Base!I14</f>
        <v>1</v>
      </c>
      <c r="I16" s="529" t="s">
        <v>351</v>
      </c>
    </row>
    <row r="17" spans="1:9" ht="64.5">
      <c r="A17" s="534">
        <v>12</v>
      </c>
      <c r="B17" s="535" t="str">
        <f>Insumos_Base!B15</f>
        <v>Pano para secagem de louças 100% algodão, duplo (tipo saco), alvejado, pré-amaciado, super resistente, com trama grossa (bem fechada), medindo mínimo 74x45cm. Nas cores: branca, amarelo, vermelho, verde, azul e roxo, conforme solicitação. Com barra dobrada e costurada nas laterais de no máximo 0,5 cm da largura.</v>
      </c>
      <c r="C17" s="536" t="str">
        <f>Insumos_Base!C15</f>
        <v>Unid</v>
      </c>
      <c r="D17" s="537">
        <f>Insumos_Base!D15</f>
        <v>8.33</v>
      </c>
      <c r="E17" s="538">
        <f t="shared" si="0"/>
        <v>30</v>
      </c>
      <c r="F17" s="539">
        <f t="shared" si="1"/>
        <v>249.9</v>
      </c>
      <c r="G17" s="540">
        <f>IF('1-ABA-DE-CARREGAMENTO'!$C$14 = "PANAMBI ",Insumos_Base!E15,IF('1-ABA-DE-CARREGAMENTO'!$C$14 = "JULIO-DE-CASTILHOS ",Insumos_Base!F15,IF('1-ABA-DE-CARREGAMENTO'!$C$14 = "SANTO-AUGUSTO ",Insumos_Base!G15,IF('1-ABA-DE-CARREGAMENTO'!$C$14 = "SAO-VICENTE-DO-SUL",Insumos_Base!H15,0))))</f>
        <v>30</v>
      </c>
      <c r="H17" s="536">
        <f>Insumos_Base!I15</f>
        <v>1</v>
      </c>
      <c r="I17" s="536" t="s">
        <v>351</v>
      </c>
    </row>
    <row r="18" spans="1:9" ht="26.25">
      <c r="A18" s="527">
        <v>13</v>
      </c>
      <c r="B18" s="528" t="str">
        <f>Insumos_Base!B16</f>
        <v>Sabão em barra, glicerina, unidade 200g, embalagem c/5un</v>
      </c>
      <c r="C18" s="529" t="str">
        <f>Insumos_Base!C16</f>
        <v>embalagem com 5 unidades</v>
      </c>
      <c r="D18" s="530">
        <f>Insumos_Base!D16</f>
        <v>3.09</v>
      </c>
      <c r="E18" s="531">
        <f t="shared" si="0"/>
        <v>2</v>
      </c>
      <c r="F18" s="532">
        <f t="shared" si="1"/>
        <v>6.18</v>
      </c>
      <c r="G18" s="533">
        <f>IF('1-ABA-DE-CARREGAMENTO'!$C$14 = "PANAMBI ",Insumos_Base!E16,IF('1-ABA-DE-CARREGAMENTO'!$C$14 = "JULIO-DE-CASTILHOS ",Insumos_Base!F16,IF('1-ABA-DE-CARREGAMENTO'!$C$14 = "SANTO-AUGUSTO ",Insumos_Base!G16,IF('1-ABA-DE-CARREGAMENTO'!$C$14 = "SAO-VICENTE-DO-SUL",Insumos_Base!H16,0))))</f>
        <v>2</v>
      </c>
      <c r="H18" s="529">
        <f>Insumos_Base!I16</f>
        <v>1</v>
      </c>
      <c r="I18" s="529" t="s">
        <v>351</v>
      </c>
    </row>
    <row r="19" spans="1:9" ht="39">
      <c r="A19" s="534">
        <v>14</v>
      </c>
      <c r="B19" s="535" t="str">
        <f>Insumos_Base!B17</f>
        <v>DETERGENTE, NOME DETERGENTE DETERGENTE EM PÓ PARA MÁQUINA DE LAVAR LOUÇA, com secador e abrilhantador, composto por silicato de sódio, tensoativos, fosfato de sódio e fragrância de limão, validade 2 anos, Pacote de 1 kg.</v>
      </c>
      <c r="C19" s="536" t="str">
        <f>Insumos_Base!C17</f>
        <v>embalagem 1kg</v>
      </c>
      <c r="D19" s="537">
        <f>Insumos_Base!D17</f>
        <v>32.9</v>
      </c>
      <c r="E19" s="538">
        <f t="shared" si="0"/>
        <v>5</v>
      </c>
      <c r="F19" s="539">
        <f t="shared" si="1"/>
        <v>164.5</v>
      </c>
      <c r="G19" s="540">
        <f>IF('1-ABA-DE-CARREGAMENTO'!$C$14 = "PANAMBI ",Insumos_Base!E17,IF('1-ABA-DE-CARREGAMENTO'!$C$14 = "JULIO-DE-CASTILHOS ",Insumos_Base!F17,IF('1-ABA-DE-CARREGAMENTO'!$C$14 = "SANTO-AUGUSTO ",Insumos_Base!G17,IF('1-ABA-DE-CARREGAMENTO'!$C$14 = "SAO-VICENTE-DO-SUL",Insumos_Base!H17,0))))</f>
        <v>5</v>
      </c>
      <c r="H19" s="536">
        <f>Insumos_Base!I17</f>
        <v>1</v>
      </c>
      <c r="I19" s="536" t="s">
        <v>351</v>
      </c>
    </row>
    <row r="20" spans="1:9" ht="51.75">
      <c r="A20" s="527">
        <v>15</v>
      </c>
      <c r="B20" s="528" t="str">
        <f>Insumos_Base!B18</f>
        <v>SABÃO EM PÓ, para limpeza pesada, utilização para limpezas diversas, com a seguinte composição mínima: tensoativo, enzimas, água, tamponantes, coadjuvantes, sinergista, branqueador ótico e corante, biodegradável, na cor de coloração azulada, acondicionado em embalagem plástica com 1 kg.</v>
      </c>
      <c r="C20" s="529" t="str">
        <f>Insumos_Base!C18</f>
        <v>Embalagem 1 kg</v>
      </c>
      <c r="D20" s="530">
        <f>Insumos_Base!D18</f>
        <v>2.81</v>
      </c>
      <c r="E20" s="531">
        <f t="shared" si="0"/>
        <v>6</v>
      </c>
      <c r="F20" s="532">
        <f t="shared" si="1"/>
        <v>16.86</v>
      </c>
      <c r="G20" s="533">
        <f>IF('1-ABA-DE-CARREGAMENTO'!$C$14 = "PANAMBI ",Insumos_Base!E18,IF('1-ABA-DE-CARREGAMENTO'!$C$14 = "JULIO-DE-CASTILHOS ",Insumos_Base!F18,IF('1-ABA-DE-CARREGAMENTO'!$C$14 = "SANTO-AUGUSTO ",Insumos_Base!G18,IF('1-ABA-DE-CARREGAMENTO'!$C$14 = "SAO-VICENTE-DO-SUL",Insumos_Base!H18,0))))</f>
        <v>6</v>
      </c>
      <c r="H20" s="529">
        <f>Insumos_Base!I18</f>
        <v>1</v>
      </c>
      <c r="I20" s="529" t="s">
        <v>351</v>
      </c>
    </row>
    <row r="21" spans="1:9" ht="15.75" customHeight="1">
      <c r="A21" s="534">
        <v>16</v>
      </c>
      <c r="B21" s="535" t="str">
        <f>Insumos_Base!B19</f>
        <v>SACO BRANCO(BOLSA) PARA CHÃO, dupla, 100% de algodão, alvejada, pré-amaciado, super resistente, com trama grossa (bem fechada), medindo mínimo 74x45cm.</v>
      </c>
      <c r="C21" s="536" t="str">
        <f>Insumos_Base!C19</f>
        <v>Unidade</v>
      </c>
      <c r="D21" s="537">
        <f>Insumos_Base!D19</f>
        <v>3.95</v>
      </c>
      <c r="E21" s="538">
        <f t="shared" si="0"/>
        <v>7</v>
      </c>
      <c r="F21" s="539">
        <f t="shared" si="1"/>
        <v>27.650000000000002</v>
      </c>
      <c r="G21" s="540">
        <f>IF('1-ABA-DE-CARREGAMENTO'!$C$14 = "PANAMBI ",Insumos_Base!E19,IF('1-ABA-DE-CARREGAMENTO'!$C$14 = "JULIO-DE-CASTILHOS ",Insumos_Base!F19,IF('1-ABA-DE-CARREGAMENTO'!$C$14 = "SANTO-AUGUSTO ",Insumos_Base!G19,IF('1-ABA-DE-CARREGAMENTO'!$C$14 = "SAO-VICENTE-DO-SUL",Insumos_Base!H19,0))))</f>
        <v>7</v>
      </c>
      <c r="H21" s="536">
        <f>Insumos_Base!I19</f>
        <v>1</v>
      </c>
      <c r="I21" s="536" t="s">
        <v>351</v>
      </c>
    </row>
    <row r="22" spans="1:9" ht="15.75" customHeight="1">
      <c r="A22" s="527">
        <v>17</v>
      </c>
      <c r="B22" s="528" t="str">
        <f>Insumos_Base!B20</f>
        <v>SACO PLÁSTICO LIXO, 200 litros, 0,18 micras, cores conforme a solicitação, dimensões mínimas de largura 75 e altura 95, de polipropileno. Aplicação: uso doméstico. Pacote com 100 unidades.</v>
      </c>
      <c r="C22" s="529" t="str">
        <f>Insumos_Base!C20</f>
        <v>Pacote com 100 unidades</v>
      </c>
      <c r="D22" s="530">
        <f>Insumos_Base!D20</f>
        <v>3.28</v>
      </c>
      <c r="E22" s="531">
        <f t="shared" si="0"/>
        <v>1</v>
      </c>
      <c r="F22" s="532">
        <f t="shared" si="1"/>
        <v>3.28</v>
      </c>
      <c r="G22" s="533">
        <f>IF('1-ABA-DE-CARREGAMENTO'!$C$14 = "PANAMBI ",Insumos_Base!E20,IF('1-ABA-DE-CARREGAMENTO'!$C$14 = "JULIO-DE-CASTILHOS ",Insumos_Base!F20,IF('1-ABA-DE-CARREGAMENTO'!$C$14 = "SANTO-AUGUSTO ",Insumos_Base!G20,IF('1-ABA-DE-CARREGAMENTO'!$C$14 = "SAO-VICENTE-DO-SUL",Insumos_Base!H20,0))))</f>
        <v>1</v>
      </c>
      <c r="H22" s="529">
        <f>Insumos_Base!I20</f>
        <v>1</v>
      </c>
      <c r="I22" s="529" t="s">
        <v>351</v>
      </c>
    </row>
    <row r="23" spans="1:9" ht="15.75" customHeight="1">
      <c r="A23" s="534">
        <v>18</v>
      </c>
      <c r="B23" s="535" t="str">
        <f>Insumos_Base!B21</f>
        <v>SACO PLÁSTICO LIXO, 100 litros, 0,18 micras, cores conforme a solicitação, largura 75, altura 105, de polipropileno. Aplicação: uso doméstico. Pacote com 100 unidades.</v>
      </c>
      <c r="C23" s="536" t="str">
        <f>Insumos_Base!C21</f>
        <v>Pacote com 100 unidades</v>
      </c>
      <c r="D23" s="537">
        <f>Insumos_Base!D21</f>
        <v>28.07</v>
      </c>
      <c r="E23" s="538">
        <f t="shared" si="0"/>
        <v>4</v>
      </c>
      <c r="F23" s="539">
        <f t="shared" si="1"/>
        <v>112.28</v>
      </c>
      <c r="G23" s="540">
        <f>IF('1-ABA-DE-CARREGAMENTO'!$C$14 = "PANAMBI ",Insumos_Base!E21,IF('1-ABA-DE-CARREGAMENTO'!$C$14 = "JULIO-DE-CASTILHOS ",Insumos_Base!F21,IF('1-ABA-DE-CARREGAMENTO'!$C$14 = "SANTO-AUGUSTO ",Insumos_Base!G21,IF('1-ABA-DE-CARREGAMENTO'!$C$14 = "SAO-VICENTE-DO-SUL",Insumos_Base!H21,0))))</f>
        <v>4</v>
      </c>
      <c r="H23" s="536">
        <f>Insumos_Base!I21</f>
        <v>1</v>
      </c>
      <c r="I23" s="536" t="s">
        <v>351</v>
      </c>
    </row>
    <row r="24" spans="1:9" ht="15.75" customHeight="1">
      <c r="A24" s="527">
        <v>19</v>
      </c>
      <c r="B24" s="528" t="str">
        <f>Insumos_Base!B22</f>
        <v>SACO PLÁSTICO LIXO, 50 litros, 12 micras, cores conforme a solicitação, largura 63, altura 80, de polipropileno. Aplicação: Uso doméstico. Pacote com 100 unidades.</v>
      </c>
      <c r="C24" s="529" t="str">
        <f>Insumos_Base!C22</f>
        <v>Pacote com 10 unidades</v>
      </c>
      <c r="D24" s="530">
        <f>Insumos_Base!D22</f>
        <v>10.43</v>
      </c>
      <c r="E24" s="531">
        <f t="shared" si="0"/>
        <v>4</v>
      </c>
      <c r="F24" s="532">
        <f t="shared" si="1"/>
        <v>41.72</v>
      </c>
      <c r="G24" s="533">
        <f>IF('1-ABA-DE-CARREGAMENTO'!$C$14 = "PANAMBI ",Insumos_Base!E22,IF('1-ABA-DE-CARREGAMENTO'!$C$14 = "JULIO-DE-CASTILHOS ",Insumos_Base!F22,IF('1-ABA-DE-CARREGAMENTO'!$C$14 = "SANTO-AUGUSTO ",Insumos_Base!G22,IF('1-ABA-DE-CARREGAMENTO'!$C$14 = "SAO-VICENTE-DO-SUL",Insumos_Base!H22,0))))</f>
        <v>4</v>
      </c>
      <c r="H24" s="529">
        <f>Insumos_Base!I22</f>
        <v>1</v>
      </c>
      <c r="I24" s="529" t="s">
        <v>351</v>
      </c>
    </row>
    <row r="25" spans="1:9" ht="15.75" customHeight="1">
      <c r="A25" s="534">
        <v>20</v>
      </c>
      <c r="B25" s="535" t="str">
        <f>Insumos_Base!B23</f>
        <v>SACO PLÁSTICO LIXO, 60 litros, 12 micras, cores conforme a solicitação, largura 63, altura 80, de polipropileno. Aplicação: Uso doméstico. Pacote com 100 unidades.</v>
      </c>
      <c r="C25" s="536">
        <f>Insumos_Base!C23</f>
        <v>0</v>
      </c>
      <c r="D25" s="537">
        <f>Insumos_Base!D23</f>
        <v>16.54</v>
      </c>
      <c r="E25" s="538">
        <f t="shared" si="0"/>
        <v>0</v>
      </c>
      <c r="F25" s="539">
        <f t="shared" si="1"/>
        <v>0</v>
      </c>
      <c r="G25" s="540">
        <f>IF('1-ABA-DE-CARREGAMENTO'!$C$14 = "PANAMBI ",Insumos_Base!E23,IF('1-ABA-DE-CARREGAMENTO'!$C$14 = "JULIO-DE-CASTILHOS ",Insumos_Base!F23,IF('1-ABA-DE-CARREGAMENTO'!$C$14 = "SANTO-AUGUSTO ",Insumos_Base!G23,IF('1-ABA-DE-CARREGAMENTO'!$C$14 = "SAO-VICENTE-DO-SUL",Insumos_Base!H23,0))))</f>
        <v>0</v>
      </c>
      <c r="H25" s="536">
        <f>Insumos_Base!I23</f>
        <v>1</v>
      </c>
      <c r="I25" s="536" t="s">
        <v>351</v>
      </c>
    </row>
    <row r="26" spans="1:9" ht="15.75" customHeight="1">
      <c r="A26" s="527">
        <v>21</v>
      </c>
      <c r="B26" s="528" t="str">
        <f>Insumos_Base!B24</f>
        <v>SACO PLÁSTICO LIXO, 20 litros, 12 micras, cores conforme a solicitação, largura 63, altura 80, de polipropileno. Aplicação: Uso doméstico. Pacote com 100 unidades.</v>
      </c>
      <c r="C26" s="529" t="str">
        <f>Insumos_Base!C24</f>
        <v>Pacote com 10 unidades</v>
      </c>
      <c r="D26" s="530">
        <f>Insumos_Base!D24</f>
        <v>11.87</v>
      </c>
      <c r="E26" s="531">
        <f t="shared" si="0"/>
        <v>2</v>
      </c>
      <c r="F26" s="532">
        <f t="shared" si="1"/>
        <v>23.74</v>
      </c>
      <c r="G26" s="533">
        <f>IF('1-ABA-DE-CARREGAMENTO'!$C$14 = "PANAMBI ",Insumos_Base!E24,IF('1-ABA-DE-CARREGAMENTO'!$C$14 = "JULIO-DE-CASTILHOS ",Insumos_Base!F24,IF('1-ABA-DE-CARREGAMENTO'!$C$14 = "SANTO-AUGUSTO ",Insumos_Base!G24,IF('1-ABA-DE-CARREGAMENTO'!$C$14 = "SAO-VICENTE-DO-SUL",Insumos_Base!H24,0))))</f>
        <v>2</v>
      </c>
      <c r="H26" s="529">
        <f>Insumos_Base!I24</f>
        <v>1</v>
      </c>
      <c r="I26" s="529" t="s">
        <v>351</v>
      </c>
    </row>
    <row r="27" spans="1:9" ht="15.75" customHeight="1">
      <c r="A27" s="534">
        <v>22</v>
      </c>
      <c r="B27" s="535" t="str">
        <f>Insumos_Base!B25</f>
        <v>SANITIZANTE DE ALIMENTOS, à base de dicloroisocianurato de sódio com PH neutro, para desinfecção de Hortaliças, legumes e frutas. Composição: sais orgânicos e composto doadores de cloro. Princípio Ativo: Dicloro isocianúrico. Apresentar na embalagem Autorização de funcionamento da ANVS/MS. Químico Responsável e CRQ. Embalagem 1 kg.</v>
      </c>
      <c r="C27" s="536" t="str">
        <f>Insumos_Base!C25</f>
        <v>Embalagem 1 kg</v>
      </c>
      <c r="D27" s="537">
        <f>Insumos_Base!D25</f>
        <v>43.43</v>
      </c>
      <c r="E27" s="538">
        <f t="shared" si="0"/>
        <v>2</v>
      </c>
      <c r="F27" s="539">
        <f t="shared" si="1"/>
        <v>86.86</v>
      </c>
      <c r="G27" s="540">
        <f>IF('1-ABA-DE-CARREGAMENTO'!$C$14 = "PANAMBI ",Insumos_Base!E25,IF('1-ABA-DE-CARREGAMENTO'!$C$14 = "JULIO-DE-CASTILHOS ",Insumos_Base!F25,IF('1-ABA-DE-CARREGAMENTO'!$C$14 = "SANTO-AUGUSTO ",Insumos_Base!G25,IF('1-ABA-DE-CARREGAMENTO'!$C$14 = "SAO-VICENTE-DO-SUL",Insumos_Base!H25,0))))</f>
        <v>2</v>
      </c>
      <c r="H27" s="536">
        <f>Insumos_Base!I25</f>
        <v>1</v>
      </c>
      <c r="I27" s="536" t="s">
        <v>351</v>
      </c>
    </row>
    <row r="28" spans="1:9" ht="15.75" customHeight="1">
      <c r="A28" s="527">
        <v>23</v>
      </c>
      <c r="B28" s="528" t="str">
        <f>Insumos_Base!B26</f>
        <v>PAPEL TOALHA 22X20cm, material 100% fibra celulose virgem, comprimento 22, largura 20, cor branca, características adicionais biodegradável.Embalagem com 1000 unidades</v>
      </c>
      <c r="C28" s="529" t="str">
        <f>Insumos_Base!C26</f>
        <v>Pacote com 1000 folhas</v>
      </c>
      <c r="D28" s="530">
        <f>Insumos_Base!D26</f>
        <v>3.18</v>
      </c>
      <c r="E28" s="531">
        <f t="shared" si="0"/>
        <v>20</v>
      </c>
      <c r="F28" s="532">
        <f t="shared" si="1"/>
        <v>63.6</v>
      </c>
      <c r="G28" s="533">
        <f>IF('1-ABA-DE-CARREGAMENTO'!$C$14 = "PANAMBI ",Insumos_Base!E26,IF('1-ABA-DE-CARREGAMENTO'!$C$14 = "JULIO-DE-CASTILHOS ",Insumos_Base!F26,IF('1-ABA-DE-CARREGAMENTO'!$C$14 = "SANTO-AUGUSTO ",Insumos_Base!G26,IF('1-ABA-DE-CARREGAMENTO'!$C$14 = "SAO-VICENTE-DO-SUL",Insumos_Base!H26,0))))</f>
        <v>20</v>
      </c>
      <c r="H28" s="529">
        <f>Insumos_Base!I26</f>
        <v>1</v>
      </c>
      <c r="I28" s="529" t="s">
        <v>351</v>
      </c>
    </row>
    <row r="29" spans="1:9" ht="15.75" customHeight="1">
      <c r="A29" s="534">
        <v>24</v>
      </c>
      <c r="B29" s="535" t="str">
        <f>Insumos_Base!B27</f>
        <v>Álcool etílico, tipo hidratado, teor alcoólico 70% apresentação gel, sachê (refil), mínimo 800ml, compatível com os dispensers entregues.</v>
      </c>
      <c r="C29" s="536" t="str">
        <f>Insumos_Base!C27</f>
        <v>UN</v>
      </c>
      <c r="D29" s="537">
        <f>Insumos_Base!D27</f>
        <v>6.93</v>
      </c>
      <c r="E29" s="538">
        <f t="shared" si="0"/>
        <v>4</v>
      </c>
      <c r="F29" s="539">
        <f t="shared" si="1"/>
        <v>27.72</v>
      </c>
      <c r="G29" s="540">
        <f>IF('1-ABA-DE-CARREGAMENTO'!$C$14 = "PANAMBI ",Insumos_Base!E27,IF('1-ABA-DE-CARREGAMENTO'!$C$14 = "JULIO-DE-CASTILHOS ",Insumos_Base!F27,IF('1-ABA-DE-CARREGAMENTO'!$C$14 = "SANTO-AUGUSTO ",Insumos_Base!G27,IF('1-ABA-DE-CARREGAMENTO'!$C$14 = "SAO-VICENTE-DO-SUL",Insumos_Base!H27,0))))</f>
        <v>4</v>
      </c>
      <c r="H29" s="536">
        <f>Insumos_Base!I27</f>
        <v>1</v>
      </c>
      <c r="I29" s="536" t="s">
        <v>351</v>
      </c>
    </row>
    <row r="30" spans="1:9" ht="15.75" customHeight="1">
      <c r="A30" s="527">
        <v>25</v>
      </c>
      <c r="B30" s="528" t="str">
        <f>Insumos_Base!B28</f>
        <v>Sabonete líquido bactericida, refil para saboneteira dosadora, embalagem com no mínimo 800ml, compatível com os dispensers entregues.</v>
      </c>
      <c r="C30" s="529" t="str">
        <f>Insumos_Base!C28</f>
        <v>UN</v>
      </c>
      <c r="D30" s="530">
        <f>Insumos_Base!D28</f>
        <v>6.86</v>
      </c>
      <c r="E30" s="531">
        <f t="shared" si="0"/>
        <v>4</v>
      </c>
      <c r="F30" s="532">
        <f t="shared" si="1"/>
        <v>27.44</v>
      </c>
      <c r="G30" s="533">
        <f>IF('1-ABA-DE-CARREGAMENTO'!$C$14 = "PANAMBI ",Insumos_Base!E28,IF('1-ABA-DE-CARREGAMENTO'!$C$14 = "JULIO-DE-CASTILHOS ",Insumos_Base!F28,IF('1-ABA-DE-CARREGAMENTO'!$C$14 = "SANTO-AUGUSTO ",Insumos_Base!G28,IF('1-ABA-DE-CARREGAMENTO'!$C$14 = "SAO-VICENTE-DO-SUL",Insumos_Base!H28,0))))</f>
        <v>4</v>
      </c>
      <c r="H30" s="529">
        <f>Insumos_Base!I28</f>
        <v>1</v>
      </c>
      <c r="I30" s="529" t="s">
        <v>351</v>
      </c>
    </row>
    <row r="31" spans="1:9" ht="15.75" customHeight="1">
      <c r="A31" s="534">
        <v>26</v>
      </c>
      <c r="B31" s="535" t="str">
        <f>Insumos_Base!B29</f>
        <v>Papel higiênico branco, rolo com 300m, embalagem de 8 rolos, compatível ao suporte já existente no setor.</v>
      </c>
      <c r="C31" s="536" t="str">
        <f>Insumos_Base!C29</f>
        <v>UN</v>
      </c>
      <c r="D31" s="537">
        <f>Insumos_Base!D29</f>
        <v>40.159999999999997</v>
      </c>
      <c r="E31" s="538">
        <f t="shared" si="0"/>
        <v>1</v>
      </c>
      <c r="F31" s="539">
        <f t="shared" si="1"/>
        <v>40.159999999999997</v>
      </c>
      <c r="G31" s="540">
        <f>IF('1-ABA-DE-CARREGAMENTO'!$C$14 = "PANAMBI ",Insumos_Base!E29,IF('1-ABA-DE-CARREGAMENTO'!$C$14 = "JULIO-DE-CASTILHOS ",Insumos_Base!F29,IF('1-ABA-DE-CARREGAMENTO'!$C$14 = "SANTO-AUGUSTO ",Insumos_Base!G29,IF('1-ABA-DE-CARREGAMENTO'!$C$14 = "SAO-VICENTE-DO-SUL",Insumos_Base!H29,0))))</f>
        <v>1</v>
      </c>
      <c r="H31" s="536">
        <f>Insumos_Base!I29</f>
        <v>1</v>
      </c>
      <c r="I31" s="536" t="s">
        <v>351</v>
      </c>
    </row>
    <row r="32" spans="1:9" ht="15.75" customHeight="1">
      <c r="A32" s="527">
        <v>27</v>
      </c>
      <c r="B32" s="528" t="str">
        <f>Insumos_Base!B30</f>
        <v>Detergente líquido alcalino concentrado para máquinas de lavar louças. Limpa profundamente e com eficiência, pratos, talheres, copos, bandejas e demais acessórios de cozinha. Indicado para cozinhas profissionais e industriais . Tem baixa espumação e residual, proporcionando uma eficiente limpeza com baixas diluições. Características: aspecto físico (25º) líquido límpido de cor vermelha; densidade (25º) 1,0; ph 14,0; odor característico; corrosão, pode atacar alumínio com uso constante; ponto de fulgor, não inflamável. O produto é indicado para lavagem mecânica de louças em lavadoras acoplada a diluidores automáticos de produtos. Embalagem: bombonas de 5lt. Composição: tensoativo aniônico, neutralizante, sequestrante, conservante, espessante, veículo e corante. Produto aprovado pelos órgãos reguladores nacionais</v>
      </c>
      <c r="C32" s="529" t="str">
        <f>Insumos_Base!C30</f>
        <v>UN</v>
      </c>
      <c r="D32" s="530">
        <f>Insumos_Base!D30</f>
        <v>15.27</v>
      </c>
      <c r="E32" s="531">
        <f t="shared" si="0"/>
        <v>1</v>
      </c>
      <c r="F32" s="532">
        <f t="shared" si="1"/>
        <v>15.27</v>
      </c>
      <c r="G32" s="533">
        <f>IF('1-ABA-DE-CARREGAMENTO'!$C$14 = "PANAMBI ",Insumos_Base!E30,IF('1-ABA-DE-CARREGAMENTO'!$C$14 = "JULIO-DE-CASTILHOS ",Insumos_Base!F30,IF('1-ABA-DE-CARREGAMENTO'!$C$14 = "SANTO-AUGUSTO ",Insumos_Base!G30,IF('1-ABA-DE-CARREGAMENTO'!$C$14 = "SAO-VICENTE-DO-SUL",Insumos_Base!H30,0))))</f>
        <v>1</v>
      </c>
      <c r="H32" s="529">
        <f>Insumos_Base!I30</f>
        <v>1</v>
      </c>
      <c r="I32" s="529" t="s">
        <v>351</v>
      </c>
    </row>
    <row r="33" spans="1:9" ht="15.75" customHeight="1">
      <c r="A33" s="534">
        <v>28</v>
      </c>
      <c r="B33" s="535" t="str">
        <f>Insumos_Base!B31</f>
        <v>Secante e abrilhantador de louças, indicado para máquinas de lavar louças com dosador automático. Características : aspecto físico(25º) líquido azul; densidade (25º) 1,0 a 1,02; ph 6,5 a 7,5; fragrância característica; corrosão, não corrosivo; ponto de fulgor, não inflamável. Embalagem: bombona de 5lt. Composição: tensoativos não iônicos, coadjuvantes, conservantes, hidrótopo, veículo e corante.</v>
      </c>
      <c r="C33" s="536" t="str">
        <f>Insumos_Base!C31</f>
        <v>UN</v>
      </c>
      <c r="D33" s="537">
        <f>Insumos_Base!D31</f>
        <v>63.83</v>
      </c>
      <c r="E33" s="538">
        <f t="shared" si="0"/>
        <v>1</v>
      </c>
      <c r="F33" s="539">
        <f t="shared" si="1"/>
        <v>63.83</v>
      </c>
      <c r="G33" s="540">
        <f>IF('1-ABA-DE-CARREGAMENTO'!$C$14 = "PANAMBI ",Insumos_Base!E31,IF('1-ABA-DE-CARREGAMENTO'!$C$14 = "JULIO-DE-CASTILHOS ",Insumos_Base!F31,IF('1-ABA-DE-CARREGAMENTO'!$C$14 = "SANTO-AUGUSTO ",Insumos_Base!G31,IF('1-ABA-DE-CARREGAMENTO'!$C$14 = "SAO-VICENTE-DO-SUL",Insumos_Base!H31,0))))</f>
        <v>1</v>
      </c>
      <c r="H33" s="536">
        <f>Insumos_Base!I31</f>
        <v>1</v>
      </c>
      <c r="I33" s="536" t="s">
        <v>351</v>
      </c>
    </row>
    <row r="34" spans="1:9" ht="15.75" customHeight="1">
      <c r="A34" s="527">
        <v>29</v>
      </c>
      <c r="B34" s="528" t="str">
        <f>Insumos_Base!B32</f>
        <v>Luvas descartáveis para procedimentos. Composição: Látex natural, levemente talcada com pó absorvível (amido de milho). Anatômicas. Ambidestras. Caixas dispensadora com 100 unidades cada (50 pares). Tamanhos P, M ou G, conforme solicitação mensal.</v>
      </c>
      <c r="C34" s="529" t="str">
        <f>Insumos_Base!C32</f>
        <v>UN</v>
      </c>
      <c r="D34" s="530">
        <f>Insumos_Base!D32</f>
        <v>12.28</v>
      </c>
      <c r="E34" s="531">
        <f t="shared" si="0"/>
        <v>0</v>
      </c>
      <c r="F34" s="532">
        <f t="shared" si="1"/>
        <v>0</v>
      </c>
      <c r="G34" s="533">
        <f>IF('1-ABA-DE-CARREGAMENTO'!$C$14 = "PANAMBI ",Insumos_Base!E32,IF('1-ABA-DE-CARREGAMENTO'!$C$14 = "JULIO-DE-CASTILHOS ",Insumos_Base!F32,IF('1-ABA-DE-CARREGAMENTO'!$C$14 = "SANTO-AUGUSTO ",Insumos_Base!G32,IF('1-ABA-DE-CARREGAMENTO'!$C$14 = "SAO-VICENTE-DO-SUL",Insumos_Base!H32,0))))</f>
        <v>0</v>
      </c>
      <c r="H34" s="529">
        <f>Insumos_Base!I32</f>
        <v>1</v>
      </c>
      <c r="I34" s="529" t="s">
        <v>351</v>
      </c>
    </row>
    <row r="35" spans="1:9" ht="15.75" customHeight="1">
      <c r="A35" s="534">
        <v>30</v>
      </c>
      <c r="B35" s="535" t="str">
        <f>Insumos_Base!B33</f>
        <v>Toucas descartáveis 100% polipropileno.</v>
      </c>
      <c r="C35" s="536" t="str">
        <f>Insumos_Base!C33</f>
        <v>pacote com 100 UN.</v>
      </c>
      <c r="D35" s="537">
        <f>Insumos_Base!D33</f>
        <v>13.98</v>
      </c>
      <c r="E35" s="538">
        <f t="shared" si="0"/>
        <v>8</v>
      </c>
      <c r="F35" s="539">
        <f t="shared" si="1"/>
        <v>111.84</v>
      </c>
      <c r="G35" s="540">
        <f>IF('1-ABA-DE-CARREGAMENTO'!$C$14 = "PANAMBI ",Insumos_Base!E33,IF('1-ABA-DE-CARREGAMENTO'!$C$14 = "JULIO-DE-CASTILHOS ",Insumos_Base!F33,IF('1-ABA-DE-CARREGAMENTO'!$C$14 = "SANTO-AUGUSTO ",Insumos_Base!G33,IF('1-ABA-DE-CARREGAMENTO'!$C$14 = "SAO-VICENTE-DO-SUL",Insumos_Base!H33,0))))</f>
        <v>8</v>
      </c>
      <c r="H35" s="536">
        <f>Insumos_Base!I33</f>
        <v>1</v>
      </c>
      <c r="I35" s="536" t="s">
        <v>351</v>
      </c>
    </row>
    <row r="36" spans="1:9" ht="15.75" customHeight="1">
      <c r="A36" s="527">
        <v>31</v>
      </c>
      <c r="B36" s="528" t="str">
        <f>Insumos_Base!B34</f>
        <v>BORRIFADOR plástico, transparente e resistente para aplicação de sanitizantes, capacidade de 500 mL com gatilho.</v>
      </c>
      <c r="C36" s="529" t="str">
        <f>Insumos_Base!C34</f>
        <v>Unidade</v>
      </c>
      <c r="D36" s="530">
        <f>Insumos_Base!D34</f>
        <v>3.94</v>
      </c>
      <c r="E36" s="531">
        <f t="shared" si="0"/>
        <v>1</v>
      </c>
      <c r="F36" s="532">
        <f t="shared" si="1"/>
        <v>3.94</v>
      </c>
      <c r="G36" s="533">
        <f>IF('1-ABA-DE-CARREGAMENTO'!$C$14 = "PANAMBI ",Insumos_Base!E34,IF('1-ABA-DE-CARREGAMENTO'!$C$14 = "JULIO-DE-CASTILHOS ",Insumos_Base!F34,IF('1-ABA-DE-CARREGAMENTO'!$C$14 = "SANTO-AUGUSTO ",Insumos_Base!G34,IF('1-ABA-DE-CARREGAMENTO'!$C$14 = "SAO-VICENTE-DO-SUL",Insumos_Base!H34,0))))</f>
        <v>6</v>
      </c>
      <c r="H36" s="529">
        <f>Insumos_Base!I34</f>
        <v>6</v>
      </c>
      <c r="I36" s="529" t="s">
        <v>351</v>
      </c>
    </row>
    <row r="37" spans="1:9" ht="15.75" customHeight="1">
      <c r="A37" s="534">
        <v>32</v>
      </c>
      <c r="B37" s="535" t="str">
        <f>Insumos_Base!B35</f>
        <v>Escova multiuso, oval, com encaixe para mãos. Confeccionada em material de plástico, com cerdas de nylon rígidas, para assoalho. Medidas aproximadas - 6 x 14,8 x 8,2cm (Largura x comprimento x altura). Altura aproximada das cerdas - 2,6cm. Composição – Plástico e nylon. O produto deverá ser entregue em embalagem primária (caixas de papelão), para conservar a integridade das cerdas.</v>
      </c>
      <c r="C37" s="536" t="str">
        <f>Insumos_Base!C35</f>
        <v>Unidade</v>
      </c>
      <c r="D37" s="537">
        <f>Insumos_Base!D35</f>
        <v>2.68</v>
      </c>
      <c r="E37" s="538">
        <f t="shared" si="0"/>
        <v>2</v>
      </c>
      <c r="F37" s="539">
        <f t="shared" si="1"/>
        <v>5.36</v>
      </c>
      <c r="G37" s="540">
        <f>IF('1-ABA-DE-CARREGAMENTO'!$C$14 = "PANAMBI ",Insumos_Base!E35,IF('1-ABA-DE-CARREGAMENTO'!$C$14 = "JULIO-DE-CASTILHOS ",Insumos_Base!F35,IF('1-ABA-DE-CARREGAMENTO'!$C$14 = "SANTO-AUGUSTO ",Insumos_Base!G35,IF('1-ABA-DE-CARREGAMENTO'!$C$14 = "SAO-VICENTE-DO-SUL",Insumos_Base!H35,0))))</f>
        <v>12</v>
      </c>
      <c r="H37" s="536">
        <f>Insumos_Base!I35</f>
        <v>6</v>
      </c>
      <c r="I37" s="536" t="s">
        <v>351</v>
      </c>
    </row>
    <row r="38" spans="1:9" ht="15.75" customHeight="1">
      <c r="A38" s="527">
        <v>33</v>
      </c>
      <c r="B38" s="528" t="str">
        <f>Insumos_Base!B36</f>
        <v>Fibra sintética para limpeza pesada, com abrasivo, contendo na composição de suas fibras, o mineral óxido de alumínio, à prova d'água. Medidas aproximadas da unidade: 26 cm (comprimento) x 10 cm (largura) x 1,4 cm (espessura).</v>
      </c>
      <c r="C38" s="529" t="str">
        <f>Insumos_Base!C36</f>
        <v>unidade</v>
      </c>
      <c r="D38" s="530">
        <f>Insumos_Base!D36</f>
        <v>1.72</v>
      </c>
      <c r="E38" s="531">
        <f t="shared" si="0"/>
        <v>2</v>
      </c>
      <c r="F38" s="532">
        <f t="shared" si="1"/>
        <v>3.44</v>
      </c>
      <c r="G38" s="533">
        <f>IF('1-ABA-DE-CARREGAMENTO'!$C$14 = "PANAMBI ",Insumos_Base!E36,IF('1-ABA-DE-CARREGAMENTO'!$C$14 = "JULIO-DE-CASTILHOS ",Insumos_Base!F36,IF('1-ABA-DE-CARREGAMENTO'!$C$14 = "SANTO-AUGUSTO ",Insumos_Base!G36,IF('1-ABA-DE-CARREGAMENTO'!$C$14 = "SAO-VICENTE-DO-SUL",Insumos_Base!H36,0))))</f>
        <v>12</v>
      </c>
      <c r="H38" s="529">
        <f>Insumos_Base!I36</f>
        <v>6</v>
      </c>
      <c r="I38" s="529" t="s">
        <v>351</v>
      </c>
    </row>
    <row r="39" spans="1:9" ht="15.75" customHeight="1">
      <c r="A39" s="534">
        <v>34</v>
      </c>
      <c r="B39" s="535" t="str">
        <f>Insumos_Base!B37</f>
        <v>Limpa Forno, com desincrustante alcalino, indicado para limpeza ultra pesada e remoção química de gordura fortemente carbonizada, sem fragrâncias, frascos de 1 litro.</v>
      </c>
      <c r="C39" s="536" t="str">
        <f>Insumos_Base!C37</f>
        <v>Litro</v>
      </c>
      <c r="D39" s="537">
        <f>Insumos_Base!D37</f>
        <v>13.19</v>
      </c>
      <c r="E39" s="538">
        <f t="shared" si="0"/>
        <v>0.33333333333333331</v>
      </c>
      <c r="F39" s="539">
        <f t="shared" si="1"/>
        <v>4.3966666666666665</v>
      </c>
      <c r="G39" s="540">
        <f>IF('1-ABA-DE-CARREGAMENTO'!$C$14 = "PANAMBI ",Insumos_Base!E37,IF('1-ABA-DE-CARREGAMENTO'!$C$14 = "JULIO-DE-CASTILHOS ",Insumos_Base!F37,IF('1-ABA-DE-CARREGAMENTO'!$C$14 = "SANTO-AUGUSTO ",Insumos_Base!G37,IF('1-ABA-DE-CARREGAMENTO'!$C$14 = "SAO-VICENTE-DO-SUL",Insumos_Base!H37,0))))</f>
        <v>2</v>
      </c>
      <c r="H39" s="536">
        <f>Insumos_Base!I37</f>
        <v>6</v>
      </c>
      <c r="I39" s="536" t="s">
        <v>351</v>
      </c>
    </row>
    <row r="40" spans="1:9" ht="15.75" customHeight="1">
      <c r="A40" s="527">
        <v>35</v>
      </c>
      <c r="B40" s="528" t="str">
        <f>Insumos_Base!B38</f>
        <v>Lixa d'água, A100, pacote c/ 50 unidades.</v>
      </c>
      <c r="C40" s="529" t="str">
        <f>Insumos_Base!C38</f>
        <v>unidade</v>
      </c>
      <c r="D40" s="530">
        <f>Insumos_Base!D38</f>
        <v>0.72</v>
      </c>
      <c r="E40" s="531">
        <f t="shared" si="0"/>
        <v>0.5</v>
      </c>
      <c r="F40" s="532">
        <f t="shared" si="1"/>
        <v>0.36</v>
      </c>
      <c r="G40" s="533">
        <f>IF('1-ABA-DE-CARREGAMENTO'!$C$14 = "PANAMBI ",Insumos_Base!E38,IF('1-ABA-DE-CARREGAMENTO'!$C$14 = "JULIO-DE-CASTILHOS ",Insumos_Base!F38,IF('1-ABA-DE-CARREGAMENTO'!$C$14 = "SANTO-AUGUSTO ",Insumos_Base!G38,IF('1-ABA-DE-CARREGAMENTO'!$C$14 = "SAO-VICENTE-DO-SUL",Insumos_Base!H38,0))))</f>
        <v>3</v>
      </c>
      <c r="H40" s="529">
        <f>Insumos_Base!I38</f>
        <v>6</v>
      </c>
      <c r="I40" s="529" t="s">
        <v>351</v>
      </c>
    </row>
    <row r="41" spans="1:9" ht="15.75" customHeight="1">
      <c r="A41" s="534">
        <v>36</v>
      </c>
      <c r="B41" s="535" t="str">
        <f>Insumos_Base!B39</f>
        <v>Pano de microfibra para limpeza, cor lisa, ultra absorvente, mínimo 40 cm x 30 cm. Composição 100% poliéster. Fardo com 12 und</v>
      </c>
      <c r="C41" s="536" t="str">
        <f>Insumos_Base!C39</f>
        <v>Fardo 12 unid</v>
      </c>
      <c r="D41" s="537">
        <f>Insumos_Base!D39</f>
        <v>3.36</v>
      </c>
      <c r="E41" s="538">
        <f t="shared" si="0"/>
        <v>0.5</v>
      </c>
      <c r="F41" s="539">
        <f t="shared" si="1"/>
        <v>1.68</v>
      </c>
      <c r="G41" s="540">
        <f>IF('1-ABA-DE-CARREGAMENTO'!$C$14 = "PANAMBI ",Insumos_Base!E39,IF('1-ABA-DE-CARREGAMENTO'!$C$14 = "JULIO-DE-CASTILHOS ",Insumos_Base!F39,IF('1-ABA-DE-CARREGAMENTO'!$C$14 = "SANTO-AUGUSTO ",Insumos_Base!G39,IF('1-ABA-DE-CARREGAMENTO'!$C$14 = "SAO-VICENTE-DO-SUL",Insumos_Base!H39,0))))</f>
        <v>3</v>
      </c>
      <c r="H41" s="536">
        <f>Insumos_Base!I39</f>
        <v>6</v>
      </c>
      <c r="I41" s="536" t="s">
        <v>351</v>
      </c>
    </row>
    <row r="42" spans="1:9" ht="15.75" customHeight="1">
      <c r="A42" s="527">
        <v>37</v>
      </c>
      <c r="B42" s="528" t="str">
        <f>Insumos_Base!B40</f>
        <v>Vassoura de pelo com cerdas sintéticas com largura aproximada de 21 cm. Altura mínima das cerdas 10 cm. Cerdas em polipropileno. Cepa em plástico resistente. Cabo de madeira plastificado. Comprimento mínimo do cabo: 1,20 m. Deve apresentar resistência adequada ao uso a que se destina e facilidade na remoção de detritos e pó.</v>
      </c>
      <c r="C42" s="529" t="str">
        <f>Insumos_Base!C40</f>
        <v>Unidade</v>
      </c>
      <c r="D42" s="530">
        <f>Insumos_Base!D40</f>
        <v>7.4</v>
      </c>
      <c r="E42" s="531">
        <f t="shared" si="0"/>
        <v>5</v>
      </c>
      <c r="F42" s="532">
        <f t="shared" si="1"/>
        <v>37</v>
      </c>
      <c r="G42" s="533">
        <f>IF('1-ABA-DE-CARREGAMENTO'!$C$14 = "PANAMBI ",Insumos_Base!E40,IF('1-ABA-DE-CARREGAMENTO'!$C$14 = "JULIO-DE-CASTILHOS ",Insumos_Base!F40,IF('1-ABA-DE-CARREGAMENTO'!$C$14 = "SANTO-AUGUSTO ",Insumos_Base!G40,IF('1-ABA-DE-CARREGAMENTO'!$C$14 = "SAO-VICENTE-DO-SUL",Insumos_Base!H40,0))))</f>
        <v>30</v>
      </c>
      <c r="H42" s="529">
        <f>Insumos_Base!I40</f>
        <v>6</v>
      </c>
      <c r="I42" s="529" t="s">
        <v>351</v>
      </c>
    </row>
    <row r="43" spans="1:9" ht="15.75" customHeight="1">
      <c r="A43" s="534">
        <v>38</v>
      </c>
      <c r="B43" s="535" t="str">
        <f>Insumos_Base!B41</f>
        <v>Escova para limpeza do vaso sanitário com suporte</v>
      </c>
      <c r="C43" s="536" t="str">
        <f>Insumos_Base!C41</f>
        <v>UN</v>
      </c>
      <c r="D43" s="537">
        <f>Insumos_Base!D41</f>
        <v>4.8</v>
      </c>
      <c r="E43" s="538">
        <f t="shared" si="0"/>
        <v>0.33333333333333331</v>
      </c>
      <c r="F43" s="539">
        <f t="shared" si="1"/>
        <v>1.5999999999999999</v>
      </c>
      <c r="G43" s="540">
        <f>IF('1-ABA-DE-CARREGAMENTO'!$C$14 = "PANAMBI ",Insumos_Base!E41,IF('1-ABA-DE-CARREGAMENTO'!$C$14 = "JULIO-DE-CASTILHOS ",Insumos_Base!F41,IF('1-ABA-DE-CARREGAMENTO'!$C$14 = "SANTO-AUGUSTO ",Insumos_Base!G41,IF('1-ABA-DE-CARREGAMENTO'!$C$14 = "SAO-VICENTE-DO-SUL",Insumos_Base!H41,0))))</f>
        <v>2</v>
      </c>
      <c r="H43" s="536">
        <f>Insumos_Base!I41</f>
        <v>6</v>
      </c>
      <c r="I43" s="536" t="s">
        <v>351</v>
      </c>
    </row>
    <row r="44" spans="1:9" ht="15.75" customHeight="1">
      <c r="A44" s="527">
        <v>39</v>
      </c>
      <c r="B44" s="528" t="str">
        <f>Insumos_Base!B42</f>
        <v>Vassouras tipo escovão com cerdas curtas, rígidas e sintéticas, especial para limpeza de gordura com cabo de no mínimo 1,2m de comprimento</v>
      </c>
      <c r="C44" s="529" t="str">
        <f>Insumos_Base!C42</f>
        <v>UN</v>
      </c>
      <c r="D44" s="530">
        <f>Insumos_Base!D42</f>
        <v>14.2</v>
      </c>
      <c r="E44" s="531">
        <f t="shared" si="0"/>
        <v>1</v>
      </c>
      <c r="F44" s="532">
        <f t="shared" si="1"/>
        <v>14.2</v>
      </c>
      <c r="G44" s="533">
        <f>IF('1-ABA-DE-CARREGAMENTO'!$C$14 = "PANAMBI ",Insumos_Base!E42,IF('1-ABA-DE-CARREGAMENTO'!$C$14 = "JULIO-DE-CASTILHOS ",Insumos_Base!F42,IF('1-ABA-DE-CARREGAMENTO'!$C$14 = "SANTO-AUGUSTO ",Insumos_Base!G42,IF('1-ABA-DE-CARREGAMENTO'!$C$14 = "SAO-VICENTE-DO-SUL",Insumos_Base!H42,0))))</f>
        <v>6</v>
      </c>
      <c r="H44" s="529">
        <f>Insumos_Base!I42</f>
        <v>6</v>
      </c>
      <c r="I44" s="529" t="s">
        <v>351</v>
      </c>
    </row>
    <row r="45" spans="1:9" ht="15.75" customHeight="1">
      <c r="A45" s="534">
        <v>40</v>
      </c>
      <c r="B45" s="535" t="str">
        <f>Insumos_Base!B43</f>
        <v>Baldes para limpeza pesada, capacidade de 10 a 15 litros, com alça reforçada</v>
      </c>
      <c r="C45" s="536" t="str">
        <f>Insumos_Base!C43</f>
        <v>UN</v>
      </c>
      <c r="D45" s="537">
        <f>Insumos_Base!D43</f>
        <v>6.01</v>
      </c>
      <c r="E45" s="538">
        <f t="shared" si="0"/>
        <v>1</v>
      </c>
      <c r="F45" s="539">
        <f t="shared" si="1"/>
        <v>6.01</v>
      </c>
      <c r="G45" s="540">
        <f>IF('1-ABA-DE-CARREGAMENTO'!$C$14 = "PANAMBI ",Insumos_Base!E43,IF('1-ABA-DE-CARREGAMENTO'!$C$14 = "JULIO-DE-CASTILHOS ",Insumos_Base!F43,IF('1-ABA-DE-CARREGAMENTO'!$C$14 = "SANTO-AUGUSTO ",Insumos_Base!G43,IF('1-ABA-DE-CARREGAMENTO'!$C$14 = "SAO-VICENTE-DO-SUL",Insumos_Base!H43,0))))</f>
        <v>6</v>
      </c>
      <c r="H45" s="536">
        <f>Insumos_Base!I43</f>
        <v>6</v>
      </c>
      <c r="I45" s="536" t="s">
        <v>351</v>
      </c>
    </row>
    <row r="46" spans="1:9" ht="15.75" customHeight="1">
      <c r="A46" s="527">
        <v>41</v>
      </c>
      <c r="B46" s="528" t="str">
        <f>Insumos_Base!B44</f>
        <v>Mop úmido, material: fio de algodão de alta qualidade, tipo ponta: dobrada, aplicação limpeza, cor:branca, comprimento: 140 cm, características adicionais: cabo alumínio</v>
      </c>
      <c r="C46" s="529" t="str">
        <f>Insumos_Base!C44</f>
        <v>UN</v>
      </c>
      <c r="D46" s="530">
        <f>Insumos_Base!D44</f>
        <v>12.47</v>
      </c>
      <c r="E46" s="531">
        <f t="shared" si="0"/>
        <v>1</v>
      </c>
      <c r="F46" s="532">
        <f t="shared" si="1"/>
        <v>12.47</v>
      </c>
      <c r="G46" s="533">
        <f>IF('1-ABA-DE-CARREGAMENTO'!$C$14 = "PANAMBI ",Insumos_Base!E44,IF('1-ABA-DE-CARREGAMENTO'!$C$14 = "JULIO-DE-CASTILHOS ",Insumos_Base!F44,IF('1-ABA-DE-CARREGAMENTO'!$C$14 = "SANTO-AUGUSTO ",Insumos_Base!G44,IF('1-ABA-DE-CARREGAMENTO'!$C$14 = "SAO-VICENTE-DO-SUL",Insumos_Base!H44,0))))</f>
        <v>6</v>
      </c>
      <c r="H46" s="529">
        <f>Insumos_Base!I44</f>
        <v>6</v>
      </c>
      <c r="I46" s="529" t="s">
        <v>351</v>
      </c>
    </row>
    <row r="47" spans="1:9" ht="15.75" customHeight="1">
      <c r="A47" s="534">
        <v>42</v>
      </c>
      <c r="B47" s="535" t="str">
        <f>Insumos_Base!B45</f>
        <v>SUPORTE FIBRA C/ROSCA. Suporte com junção articulada (angular), encaixe em rosca, utilizado em pisos, paredes e diversas superfícies. Deve conter garras que prendem firmemente as Fibras Sintéticas de limpeza. Suporte para utilização de fibras abrasivas de limpeza. Cor: Azul; Comprimento: 23cm; Largura: 10cm. Marca de referência: Braslimpa.</v>
      </c>
      <c r="C47" s="536">
        <f>Insumos_Base!C45</f>
        <v>0</v>
      </c>
      <c r="D47" s="537">
        <f>Insumos_Base!D45</f>
        <v>9.74</v>
      </c>
      <c r="E47" s="538">
        <f t="shared" si="0"/>
        <v>0.33333333333333331</v>
      </c>
      <c r="F47" s="539">
        <f t="shared" si="1"/>
        <v>3.2466666666666666</v>
      </c>
      <c r="G47" s="540">
        <f>IF('1-ABA-DE-CARREGAMENTO'!$C$14 = "PANAMBI ",Insumos_Base!E45,IF('1-ABA-DE-CARREGAMENTO'!$C$14 = "JULIO-DE-CASTILHOS ",Insumos_Base!F45,IF('1-ABA-DE-CARREGAMENTO'!$C$14 = "SANTO-AUGUSTO ",Insumos_Base!G45,IF('1-ABA-DE-CARREGAMENTO'!$C$14 = "SAO-VICENTE-DO-SUL",Insumos_Base!H45,0))))</f>
        <v>2</v>
      </c>
      <c r="H47" s="536">
        <f>Insumos_Base!I45</f>
        <v>6</v>
      </c>
      <c r="I47" s="536" t="s">
        <v>351</v>
      </c>
    </row>
    <row r="48" spans="1:9" ht="15.75" customHeight="1">
      <c r="A48" s="527">
        <v>43</v>
      </c>
      <c r="B48" s="528" t="str">
        <f>Insumos_Base!B46</f>
        <v>Rodo com duas lâminas em borracha porosa, largura aproximada de 40cm, base em plástico reforçado, com cabo de alumínio de 7/8 de diâmetro e comprimento mínimo de 1,50m, empunhadura em polipropileno. Para uso profissional. Deve apresentar resistência adequada ao uso a que se destina e facilidade na remoção de líquidos em superfícies planas ou com pequenas irregularidades.</v>
      </c>
      <c r="C48" s="529" t="str">
        <f>Insumos_Base!C46</f>
        <v>unid</v>
      </c>
      <c r="D48" s="530">
        <f>Insumos_Base!D46</f>
        <v>5.95</v>
      </c>
      <c r="E48" s="531">
        <f t="shared" si="0"/>
        <v>0.5</v>
      </c>
      <c r="F48" s="532">
        <f t="shared" si="1"/>
        <v>2.9750000000000001</v>
      </c>
      <c r="G48" s="533">
        <f>IF('1-ABA-DE-CARREGAMENTO'!$C$14 = "PANAMBI ",Insumos_Base!E46,IF('1-ABA-DE-CARREGAMENTO'!$C$14 = "JULIO-DE-CASTILHOS ",Insumos_Base!F46,IF('1-ABA-DE-CARREGAMENTO'!$C$14 = "SANTO-AUGUSTO ",Insumos_Base!G46,IF('1-ABA-DE-CARREGAMENTO'!$C$14 = "SAO-VICENTE-DO-SUL",Insumos_Base!H46,0))))</f>
        <v>3</v>
      </c>
      <c r="H48" s="529">
        <f>Insumos_Base!I46</f>
        <v>6</v>
      </c>
      <c r="I48" s="529" t="s">
        <v>351</v>
      </c>
    </row>
    <row r="49" spans="1:9" ht="15.75" customHeight="1">
      <c r="A49" s="534">
        <v>44</v>
      </c>
      <c r="B49" s="535" t="str">
        <f>Insumos_Base!B47</f>
        <v>Rodo com duas lâminas em borracha porosa, largura aproximada de 60cm, base em plástico reforçado, com cabo de alumínio de 7/8 de diâmetro e comprimento mínimo de 1,50m, empunhadura em polipropileno. Para uso profissional. Deve apresentar resistência adequada ao uso a que se destina e facilidade na remoção de líquidos em superfícies planas ou com pequenas irregularidades.</v>
      </c>
      <c r="C49" s="536" t="str">
        <f>Insumos_Base!C47</f>
        <v>UN</v>
      </c>
      <c r="D49" s="537">
        <f>Insumos_Base!D47</f>
        <v>8.0500000000000007</v>
      </c>
      <c r="E49" s="538">
        <f t="shared" si="0"/>
        <v>0.5</v>
      </c>
      <c r="F49" s="539">
        <f t="shared" si="1"/>
        <v>4.0250000000000004</v>
      </c>
      <c r="G49" s="540">
        <f>IF('1-ABA-DE-CARREGAMENTO'!$C$14 = "PANAMBI ",Insumos_Base!E47,IF('1-ABA-DE-CARREGAMENTO'!$C$14 = "JULIO-DE-CASTILHOS ",Insumos_Base!F47,IF('1-ABA-DE-CARREGAMENTO'!$C$14 = "SANTO-AUGUSTO ",Insumos_Base!G47,IF('1-ABA-DE-CARREGAMENTO'!$C$14 = "SAO-VICENTE-DO-SUL",Insumos_Base!H47,0))))</f>
        <v>3</v>
      </c>
      <c r="H49" s="536">
        <f>Insumos_Base!I47</f>
        <v>6</v>
      </c>
      <c r="I49" s="536" t="s">
        <v>351</v>
      </c>
    </row>
    <row r="50" spans="1:9" ht="15.75" customHeight="1">
      <c r="A50" s="527">
        <v>45</v>
      </c>
      <c r="B50" s="528" t="str">
        <f>Insumos_Base!B48</f>
        <v>Flanela, em tecido 100% algodão, embainhado nas laterais, absorvente, lavável e durável, na cor amarela, medindo aproximadamente 40 x 60cm, com etiqueta costurada informando no mínimo o cnpj do fabricante e a composição do tecido, pacote com 12 unid.</v>
      </c>
      <c r="C50" s="529" t="str">
        <f>Insumos_Base!C48</f>
        <v>Pacote com 12 unidades</v>
      </c>
      <c r="D50" s="530">
        <f>Insumos_Base!D48</f>
        <v>2.39</v>
      </c>
      <c r="E50" s="531">
        <f t="shared" si="0"/>
        <v>0.83333333333333337</v>
      </c>
      <c r="F50" s="532">
        <f t="shared" si="1"/>
        <v>1.9916666666666669</v>
      </c>
      <c r="G50" s="533">
        <f>IF('1-ABA-DE-CARREGAMENTO'!$C$14 = "PANAMBI ",Insumos_Base!E48,IF('1-ABA-DE-CARREGAMENTO'!$C$14 = "JULIO-DE-CASTILHOS ",Insumos_Base!F48,IF('1-ABA-DE-CARREGAMENTO'!$C$14 = "SANTO-AUGUSTO ",Insumos_Base!G48,IF('1-ABA-DE-CARREGAMENTO'!$C$14 = "SAO-VICENTE-DO-SUL",Insumos_Base!H48,0))))</f>
        <v>10</v>
      </c>
      <c r="H50" s="529">
        <f>Insumos_Base!I48</f>
        <v>12</v>
      </c>
      <c r="I50" s="529" t="s">
        <v>351</v>
      </c>
    </row>
    <row r="51" spans="1:9" ht="15.75" customHeight="1">
      <c r="A51" s="534">
        <v>46</v>
      </c>
      <c r="B51" s="535" t="str">
        <f>Insumos_Base!B49</f>
        <v>LUVA MULTIUSO NITRÍLICA, com forro, para uso em atividades industriais em geral, limpeza de máquinas, pinturas, processamento de alimentos, manuseio de solventes, fabricação de baterias. Na cor Azul, CA 10.341.</v>
      </c>
      <c r="C51" s="536" t="str">
        <f>Insumos_Base!C49</f>
        <v>Par</v>
      </c>
      <c r="D51" s="537">
        <f>Insumos_Base!D49</f>
        <v>2.5</v>
      </c>
      <c r="E51" s="538">
        <f t="shared" si="0"/>
        <v>1</v>
      </c>
      <c r="F51" s="539">
        <f t="shared" si="1"/>
        <v>2.5</v>
      </c>
      <c r="G51" s="540">
        <f>IF('1-ABA-DE-CARREGAMENTO'!$C$14 = "PANAMBI ",Insumos_Base!E49,IF('1-ABA-DE-CARREGAMENTO'!$C$14 = "JULIO-DE-CASTILHOS ",Insumos_Base!F49,IF('1-ABA-DE-CARREGAMENTO'!$C$14 = "SANTO-AUGUSTO ",Insumos_Base!G49,IF('1-ABA-DE-CARREGAMENTO'!$C$14 = "SAO-VICENTE-DO-SUL",Insumos_Base!H49,0))))</f>
        <v>12</v>
      </c>
      <c r="H51" s="536">
        <f>Insumos_Base!I49</f>
        <v>12</v>
      </c>
      <c r="I51" s="536" t="s">
        <v>351</v>
      </c>
    </row>
    <row r="52" spans="1:9" ht="15.75" customHeight="1">
      <c r="A52" s="527">
        <v>47</v>
      </c>
      <c r="B52" s="528" t="str">
        <f>Insumos_Base!B50</f>
        <v>LUVA PARA LIMPEZA, composição: borracha de látex amarela, com revestimento interno, reforçada, Com superfície externa antiderrapante, tamanhos P, M e G, conforme solicitação.</v>
      </c>
      <c r="C52" s="529" t="str">
        <f>Insumos_Base!C50</f>
        <v>Par</v>
      </c>
      <c r="D52" s="530">
        <f>Insumos_Base!D50</f>
        <v>2.88</v>
      </c>
      <c r="E52" s="531">
        <f t="shared" si="0"/>
        <v>2</v>
      </c>
      <c r="F52" s="532">
        <f t="shared" si="1"/>
        <v>5.76</v>
      </c>
      <c r="G52" s="533">
        <f>IF('1-ABA-DE-CARREGAMENTO'!$C$14 = "PANAMBI ",Insumos_Base!E50,IF('1-ABA-DE-CARREGAMENTO'!$C$14 = "JULIO-DE-CASTILHOS ",Insumos_Base!F50,IF('1-ABA-DE-CARREGAMENTO'!$C$14 = "SANTO-AUGUSTO ",Insumos_Base!G50,IF('1-ABA-DE-CARREGAMENTO'!$C$14 = "SAO-VICENTE-DO-SUL",Insumos_Base!H50,0))))</f>
        <v>24</v>
      </c>
      <c r="H52" s="529">
        <f>Insumos_Base!I50</f>
        <v>12</v>
      </c>
      <c r="I52" s="529" t="s">
        <v>351</v>
      </c>
    </row>
    <row r="53" spans="1:9" ht="15.75" customHeight="1">
      <c r="A53" s="534">
        <v>48</v>
      </c>
      <c r="B53" s="535" t="str">
        <f>Insumos_Base!B51</f>
        <v>Pano Multiuso Branco. Pano Descartável de Limpeza, multiuso, rolo com 300 metros, sendo 600 panos de 50cm por 33cm, pré-picotados, na cor azul, gramatura: 45 g/m, composição 70 % viscose 30 % poliéster.</v>
      </c>
      <c r="C53" s="536" t="str">
        <f>Insumos_Base!C51</f>
        <v>Rolo com 600 Panos</v>
      </c>
      <c r="D53" s="537">
        <f>Insumos_Base!D51</f>
        <v>76.62</v>
      </c>
      <c r="E53" s="538">
        <f t="shared" si="0"/>
        <v>8.3333333333333329E-2</v>
      </c>
      <c r="F53" s="539">
        <f t="shared" si="1"/>
        <v>6.3849999999999998</v>
      </c>
      <c r="G53" s="540">
        <f>IF('1-ABA-DE-CARREGAMENTO'!$C$14 = "PANAMBI ",Insumos_Base!E51,IF('1-ABA-DE-CARREGAMENTO'!$C$14 = "JULIO-DE-CASTILHOS ",Insumos_Base!F51,IF('1-ABA-DE-CARREGAMENTO'!$C$14 = "SANTO-AUGUSTO ",Insumos_Base!G51,IF('1-ABA-DE-CARREGAMENTO'!$C$14 = "SAO-VICENTE-DO-SUL",Insumos_Base!H51,0))))</f>
        <v>1</v>
      </c>
      <c r="H53" s="536">
        <f>Insumos_Base!I51</f>
        <v>12</v>
      </c>
      <c r="I53" s="536" t="s">
        <v>351</v>
      </c>
    </row>
    <row r="54" spans="1:9" ht="15.75" customHeight="1">
      <c r="A54" s="527">
        <v>49</v>
      </c>
      <c r="B54" s="528" t="str">
        <f>Insumos_Base!B52</f>
        <v>Suporte para papel toalha, dispenser de papel toalha interface 2/3 dobras, para papéis toalha do tamanho de 22x20cm</v>
      </c>
      <c r="C54" s="529" t="str">
        <f>Insumos_Base!C52</f>
        <v>Unidade</v>
      </c>
      <c r="D54" s="530">
        <f>Insumos_Base!D52</f>
        <v>21.97</v>
      </c>
      <c r="E54" s="531">
        <f t="shared" si="0"/>
        <v>0.33333333333333331</v>
      </c>
      <c r="F54" s="532">
        <f t="shared" si="1"/>
        <v>7.3233333333333324</v>
      </c>
      <c r="G54" s="533">
        <f>IF('1-ABA-DE-CARREGAMENTO'!$C$14 = "PANAMBI ",Insumos_Base!E52,IF('1-ABA-DE-CARREGAMENTO'!$C$14 = "JULIO-DE-CASTILHOS ",Insumos_Base!F52,IF('1-ABA-DE-CARREGAMENTO'!$C$14 = "SANTO-AUGUSTO ",Insumos_Base!G52,IF('1-ABA-DE-CARREGAMENTO'!$C$14 = "SAO-VICENTE-DO-SUL",Insumos_Base!H52,0))))</f>
        <v>4</v>
      </c>
      <c r="H54" s="529">
        <f>Insumos_Base!I52</f>
        <v>12</v>
      </c>
      <c r="I54" s="529" t="s">
        <v>351</v>
      </c>
    </row>
    <row r="55" spans="1:9" ht="15.75" customHeight="1">
      <c r="A55" s="534">
        <v>50</v>
      </c>
      <c r="B55" s="535" t="str">
        <f>Insumos_Base!B53</f>
        <v>Dispenser/ Saboneteira para sachê sabonete refil ou sachê álcool gel com capacidade para 800mL. Injetada em plástico ABS branco, visor cristal transparente, fundo e botão na cor cinza.com dispositivo para fechamento, compatível ao refil já existente no setor.</v>
      </c>
      <c r="C55" s="536" t="str">
        <f>Insumos_Base!C53</f>
        <v>UN</v>
      </c>
      <c r="D55" s="537">
        <f>Insumos_Base!D53</f>
        <v>24.92</v>
      </c>
      <c r="E55" s="538">
        <f t="shared" si="0"/>
        <v>0.33333333333333331</v>
      </c>
      <c r="F55" s="539">
        <f t="shared" si="1"/>
        <v>8.3066666666666666</v>
      </c>
      <c r="G55" s="540">
        <f>IF('1-ABA-DE-CARREGAMENTO'!$C$14 = "PANAMBI ",Insumos_Base!E53,IF('1-ABA-DE-CARREGAMENTO'!$C$14 = "JULIO-DE-CASTILHOS ",Insumos_Base!F53,IF('1-ABA-DE-CARREGAMENTO'!$C$14 = "SANTO-AUGUSTO ",Insumos_Base!G53,IF('1-ABA-DE-CARREGAMENTO'!$C$14 = "SAO-VICENTE-DO-SUL",Insumos_Base!H53,0))))</f>
        <v>4</v>
      </c>
      <c r="H55" s="536">
        <f>Insumos_Base!I53</f>
        <v>12</v>
      </c>
      <c r="I55" s="536" t="s">
        <v>351</v>
      </c>
    </row>
    <row r="56" spans="1:9" ht="15.75" customHeight="1">
      <c r="A56" s="527">
        <v>51</v>
      </c>
      <c r="B56" s="528" t="str">
        <f>Insumos_Base!B54</f>
        <v>Suporte para rolo de papel higiênico, com capacidade de mínima 300m de papel, em plástico com base e tampa em ABS branco, fechamento com chave</v>
      </c>
      <c r="C56" s="529" t="str">
        <f>Insumos_Base!C54</f>
        <v>UN</v>
      </c>
      <c r="D56" s="530">
        <f>Insumos_Base!D54</f>
        <v>32.229999999999997</v>
      </c>
      <c r="E56" s="531">
        <f t="shared" si="0"/>
        <v>0.5</v>
      </c>
      <c r="F56" s="532">
        <f t="shared" si="1"/>
        <v>16.114999999999998</v>
      </c>
      <c r="G56" s="533">
        <f>IF('1-ABA-DE-CARREGAMENTO'!$C$14 = "PANAMBI ",Insumos_Base!E54,IF('1-ABA-DE-CARREGAMENTO'!$C$14 = "JULIO-DE-CASTILHOS ",Insumos_Base!F54,IF('1-ABA-DE-CARREGAMENTO'!$C$14 = "SANTO-AUGUSTO ",Insumos_Base!G54,IF('1-ABA-DE-CARREGAMENTO'!$C$14 = "SAO-VICENTE-DO-SUL",Insumos_Base!H54,0))))</f>
        <v>6</v>
      </c>
      <c r="H56" s="529">
        <f>Insumos_Base!I54</f>
        <v>12</v>
      </c>
      <c r="I56" s="529" t="s">
        <v>351</v>
      </c>
    </row>
    <row r="57" spans="1:9" ht="15.75" customHeight="1">
      <c r="A57" s="534">
        <v>52</v>
      </c>
      <c r="B57" s="535" t="str">
        <f>Insumos_Base!B55</f>
        <v>Pá coletora para lixo, material plástico resistente, cabo material: aço revestido com plástico; comprimento do cabo:85cm; comprimento 20cm, largura 25 cm, modelo sem tampa</v>
      </c>
      <c r="C57" s="536" t="str">
        <f>Insumos_Base!C55</f>
        <v>unidade</v>
      </c>
      <c r="D57" s="537">
        <f>Insumos_Base!D55</f>
        <v>4.7</v>
      </c>
      <c r="E57" s="538">
        <f t="shared" si="0"/>
        <v>0.33333333333333331</v>
      </c>
      <c r="F57" s="539">
        <f t="shared" si="1"/>
        <v>1.5666666666666667</v>
      </c>
      <c r="G57" s="540">
        <f>IF('1-ABA-DE-CARREGAMENTO'!$C$14 = "PANAMBI ",Insumos_Base!E55,IF('1-ABA-DE-CARREGAMENTO'!$C$14 = "JULIO-DE-CASTILHOS ",Insumos_Base!F55,IF('1-ABA-DE-CARREGAMENTO'!$C$14 = "SANTO-AUGUSTO ",Insumos_Base!G55,IF('1-ABA-DE-CARREGAMENTO'!$C$14 = "SAO-VICENTE-DO-SUL",Insumos_Base!H55,0))))</f>
        <v>4</v>
      </c>
      <c r="H57" s="536">
        <f>Insumos_Base!I55</f>
        <v>12</v>
      </c>
      <c r="I57" s="536" t="s">
        <v>351</v>
      </c>
    </row>
    <row r="58" spans="1:9" ht="15.75" customHeight="1">
      <c r="A58" s="527">
        <v>53</v>
      </c>
      <c r="B58" s="528" t="str">
        <f>Insumos_Base!B56</f>
        <v>Cabo totalmente em alumínio. Com rosca universal (para vassouras, rodos e mops) em plástico polipropileno. Com manopla e pendurador de alça em plástico polipropileno. Tamanho: 22mmx1,50m.</v>
      </c>
      <c r="C58" s="529" t="str">
        <f>Insumos_Base!C56</f>
        <v>Unidade</v>
      </c>
      <c r="D58" s="530">
        <f>Insumos_Base!D56</f>
        <v>22.18</v>
      </c>
      <c r="E58" s="531">
        <f t="shared" si="0"/>
        <v>0</v>
      </c>
      <c r="F58" s="532">
        <f t="shared" si="1"/>
        <v>0</v>
      </c>
      <c r="G58" s="533">
        <f>IF('1-ABA-DE-CARREGAMENTO'!$C$14 = "PANAMBI ",Insumos_Base!E56,IF('1-ABA-DE-CARREGAMENTO'!$C$14 = "JULIO-DE-CASTILHOS ",Insumos_Base!F56,IF('1-ABA-DE-CARREGAMENTO'!$C$14 = "SANTO-AUGUSTO ",Insumos_Base!G56,IF('1-ABA-DE-CARREGAMENTO'!$C$14 = "SAO-VICENTE-DO-SUL",Insumos_Base!H56,0))))</f>
        <v>0</v>
      </c>
      <c r="H58" s="529">
        <f>Insumos_Base!I56</f>
        <v>12</v>
      </c>
      <c r="I58" s="529" t="s">
        <v>351</v>
      </c>
    </row>
    <row r="59" spans="1:9" ht="15.75" customHeight="1">
      <c r="A59" s="534">
        <v>54</v>
      </c>
      <c r="B59" s="535" t="str">
        <f>Insumos_Base!B57</f>
        <v>Conjunto para limpeza tipo mop giratório que acompanhe: cabo telescópico em aço inox com regulagem de altura, refil em microfibra, balde em plástico com capacidade mínima de 21 litros com centrifuga</v>
      </c>
      <c r="C59" s="536" t="str">
        <f>Insumos_Base!C57</f>
        <v>unidade</v>
      </c>
      <c r="D59" s="537">
        <f>Insumos_Base!D57</f>
        <v>59.29</v>
      </c>
      <c r="E59" s="538">
        <f t="shared" si="0"/>
        <v>6.6666666666666666E-2</v>
      </c>
      <c r="F59" s="539">
        <f t="shared" si="1"/>
        <v>3.9526666666666666</v>
      </c>
      <c r="G59" s="540">
        <f>IF('1-ABA-DE-CARREGAMENTO'!$C$14 = "PANAMBI ",Insumos_Base!E57,IF('1-ABA-DE-CARREGAMENTO'!$C$14 = "JULIO-DE-CASTILHOS ",Insumos_Base!F57,IF('1-ABA-DE-CARREGAMENTO'!$C$14 = "SANTO-AUGUSTO ",Insumos_Base!G57,IF('1-ABA-DE-CARREGAMENTO'!$C$14 = "SAO-VICENTE-DO-SUL",Insumos_Base!H57,0))))</f>
        <v>2</v>
      </c>
      <c r="H59" s="536">
        <f>Insumos_Base!I57</f>
        <v>30</v>
      </c>
      <c r="I59" s="536" t="s">
        <v>351</v>
      </c>
    </row>
    <row r="60" spans="1:9" ht="15.75" customHeight="1">
      <c r="A60" s="527">
        <v>55</v>
      </c>
      <c r="B60" s="528" t="str">
        <f>Insumos_Base!B58</f>
        <v>Escada de alumínio extensível, com no mínimo 5 degraus reforçados, detalhes dos reforços em plástico ABS azul.</v>
      </c>
      <c r="C60" s="529" t="str">
        <f>Insumos_Base!C58</f>
        <v>unidade</v>
      </c>
      <c r="D60" s="530">
        <f>Insumos_Base!D58</f>
        <v>232.66</v>
      </c>
      <c r="E60" s="531">
        <f t="shared" si="0"/>
        <v>3.3333333333333333E-2</v>
      </c>
      <c r="F60" s="532">
        <f t="shared" si="1"/>
        <v>7.7553333333333327</v>
      </c>
      <c r="G60" s="533">
        <f>IF('1-ABA-DE-CARREGAMENTO'!$C$14 = "PANAMBI ",Insumos_Base!E58,IF('1-ABA-DE-CARREGAMENTO'!$C$14 = "JULIO-DE-CASTILHOS ",Insumos_Base!F58,IF('1-ABA-DE-CARREGAMENTO'!$C$14 = "SANTO-AUGUSTO ",Insumos_Base!G58,IF('1-ABA-DE-CARREGAMENTO'!$C$14 = "SAO-VICENTE-DO-SUL",Insumos_Base!H58,0))))</f>
        <v>1</v>
      </c>
      <c r="H60" s="529">
        <f>Insumos_Base!I58</f>
        <v>30</v>
      </c>
      <c r="I60" s="529" t="s">
        <v>351</v>
      </c>
    </row>
    <row r="61" spans="1:9" ht="15.75" customHeight="1">
      <c r="A61" s="534">
        <v>56</v>
      </c>
      <c r="B61" s="535" t="str">
        <f>Insumos_Base!B59</f>
        <v>Lavadora de alta pressão, pressão:1.740 LB, vazão:498 L/H, tensão:220 V, potência consumida: 2,2 KW/H, peso mínimo: 5kg, características adicionais: gatilho auto-desligável/misturador, bico triplo, com rodinhas. Tipo: monofásico.</v>
      </c>
      <c r="C61" s="536" t="str">
        <f>Insumos_Base!C59</f>
        <v>unidade</v>
      </c>
      <c r="D61" s="537">
        <f>Insumos_Base!D59</f>
        <v>2104.67</v>
      </c>
      <c r="E61" s="538">
        <f t="shared" si="0"/>
        <v>3.3333333333333333E-2</v>
      </c>
      <c r="F61" s="539">
        <f t="shared" si="1"/>
        <v>70.155666666666662</v>
      </c>
      <c r="G61" s="540">
        <f>IF('1-ABA-DE-CARREGAMENTO'!$C$14 = "PANAMBI ",Insumos_Base!E59,IF('1-ABA-DE-CARREGAMENTO'!$C$14 = "JULIO-DE-CASTILHOS ",Insumos_Base!F59,IF('1-ABA-DE-CARREGAMENTO'!$C$14 = "SANTO-AUGUSTO ",Insumos_Base!G59,IF('1-ABA-DE-CARREGAMENTO'!$C$14 = "SAO-VICENTE-DO-SUL",Insumos_Base!H59,0))))</f>
        <v>1</v>
      </c>
      <c r="H61" s="536">
        <f>Insumos_Base!I59</f>
        <v>30</v>
      </c>
      <c r="I61" s="536" t="s">
        <v>351</v>
      </c>
    </row>
    <row r="62" spans="1:9" ht="15.75" customHeight="1">
      <c r="A62" s="527">
        <v>57</v>
      </c>
      <c r="B62" s="528" t="str">
        <f>Insumos_Base!B60</f>
        <v>Mangueira com no mínimo 25m de comprimento, 20mm de diâmetro. Material: traçado em náilon, diâmetro 1/2 polegada, espessura 2mm, pressão máxima 6 bar. Acompanha 1 esguicho com jato regulável e 1 adaptador com engate rosqueado.</v>
      </c>
      <c r="C62" s="529" t="str">
        <f>Insumos_Base!C60</f>
        <v>unidade</v>
      </c>
      <c r="D62" s="530">
        <f>Insumos_Base!D60</f>
        <v>143.07</v>
      </c>
      <c r="E62" s="531">
        <f t="shared" si="0"/>
        <v>3.3333333333333333E-2</v>
      </c>
      <c r="F62" s="532">
        <f t="shared" si="1"/>
        <v>4.7690000000000001</v>
      </c>
      <c r="G62" s="533">
        <f>IF('1-ABA-DE-CARREGAMENTO'!$C$14 = "PANAMBI ",Insumos_Base!E60,IF('1-ABA-DE-CARREGAMENTO'!$C$14 = "JULIO-DE-CASTILHOS ",Insumos_Base!F60,IF('1-ABA-DE-CARREGAMENTO'!$C$14 = "SANTO-AUGUSTO ",Insumos_Base!G60,IF('1-ABA-DE-CARREGAMENTO'!$C$14 = "SAO-VICENTE-DO-SUL",Insumos_Base!H60,0))))</f>
        <v>1</v>
      </c>
      <c r="H62" s="529">
        <f>Insumos_Base!I60</f>
        <v>30</v>
      </c>
      <c r="I62" s="529" t="s">
        <v>351</v>
      </c>
    </row>
    <row r="63" spans="1:9" ht="15.75" customHeight="1">
      <c r="A63" s="534">
        <v>58</v>
      </c>
      <c r="B63" s="535" t="str">
        <f>Insumos_Base!B61</f>
        <v>Ponto Eletrônico (identificador biométrico digital)</v>
      </c>
      <c r="C63" s="536" t="str">
        <f>Insumos_Base!C61</f>
        <v>unidade</v>
      </c>
      <c r="D63" s="537">
        <f>Insumos_Base!D61</f>
        <v>228.33</v>
      </c>
      <c r="E63" s="538">
        <f t="shared" si="0"/>
        <v>3.3333333333333333E-2</v>
      </c>
      <c r="F63" s="539">
        <f t="shared" si="1"/>
        <v>7.6110000000000007</v>
      </c>
      <c r="G63" s="540">
        <f>IF('1-ABA-DE-CARREGAMENTO'!$C$14 = "PANAMBI ",Insumos_Base!E61,IF('1-ABA-DE-CARREGAMENTO'!$C$14 = "JULIO-DE-CASTILHOS ",Insumos_Base!F61,IF('1-ABA-DE-CARREGAMENTO'!$C$14 = "SANTO-AUGUSTO ",Insumos_Base!G61,IF('1-ABA-DE-CARREGAMENTO'!$C$14 = "SAO-VICENTE-DO-SUL",Insumos_Base!H61,0))))</f>
        <v>1</v>
      </c>
      <c r="H63" s="536">
        <f>Insumos_Base!I61</f>
        <v>30</v>
      </c>
      <c r="I63" s="536" t="s">
        <v>351</v>
      </c>
    </row>
    <row r="64" spans="1:9" ht="15.75" customHeight="1">
      <c r="A64" s="527">
        <v>59</v>
      </c>
      <c r="B64" s="528" t="str">
        <f>Insumos_Base!B62</f>
        <v>Bobina (ponto eletrônico)</v>
      </c>
      <c r="C64" s="529" t="str">
        <f>Insumos_Base!C62</f>
        <v>unidade</v>
      </c>
      <c r="D64" s="530">
        <f>Insumos_Base!D62</f>
        <v>29.93</v>
      </c>
      <c r="E64" s="531">
        <f t="shared" si="0"/>
        <v>0.2</v>
      </c>
      <c r="F64" s="532">
        <f t="shared" si="1"/>
        <v>5.9860000000000007</v>
      </c>
      <c r="G64" s="533">
        <f>IF('1-ABA-DE-CARREGAMENTO'!$C$14 = "PANAMBI ",Insumos_Base!E62,IF('1-ABA-DE-CARREGAMENTO'!$C$14 = "JULIO-DE-CASTILHOS ",Insumos_Base!F62,IF('1-ABA-DE-CARREGAMENTO'!$C$14 = "SANTO-AUGUSTO ",Insumos_Base!G62,IF('1-ABA-DE-CARREGAMENTO'!$C$14 = "SAO-VICENTE-DO-SUL",Insumos_Base!H62,0))))</f>
        <v>6</v>
      </c>
      <c r="H64" s="529">
        <f>Insumos_Base!I62</f>
        <v>30</v>
      </c>
      <c r="I64" s="529" t="s">
        <v>351</v>
      </c>
    </row>
    <row r="65" spans="1:9" ht="15.75" customHeight="1">
      <c r="A65" s="534">
        <v>60</v>
      </c>
      <c r="B65" s="535" t="str">
        <f>Insumos_Base!B63</f>
        <v>Cabo extensor até 3m para vassouras e rodos de alumínio, com rosca para encaixe de cabos de madeira e alumínio padrão.</v>
      </c>
      <c r="C65" s="536" t="str">
        <f>Insumos_Base!C63</f>
        <v>Unidade</v>
      </c>
      <c r="D65" s="537">
        <f>Insumos_Base!D63</f>
        <v>22.56</v>
      </c>
      <c r="E65" s="538">
        <f t="shared" si="0"/>
        <v>6.6666666666666666E-2</v>
      </c>
      <c r="F65" s="539">
        <f t="shared" si="1"/>
        <v>1.504</v>
      </c>
      <c r="G65" s="540">
        <f>IF('1-ABA-DE-CARREGAMENTO'!$C$14 = "PANAMBI ",Insumos_Base!E63,IF('1-ABA-DE-CARREGAMENTO'!$C$14 = "JULIO-DE-CASTILHOS ",Insumos_Base!F63,IF('1-ABA-DE-CARREGAMENTO'!$C$14 = "SANTO-AUGUSTO ",Insumos_Base!G63,IF('1-ABA-DE-CARREGAMENTO'!$C$14 = "SAO-VICENTE-DO-SUL",Insumos_Base!H63,0))))</f>
        <v>2</v>
      </c>
      <c r="H65" s="536">
        <f>Insumos_Base!I63</f>
        <v>30</v>
      </c>
      <c r="I65" s="536" t="s">
        <v>351</v>
      </c>
    </row>
    <row r="66" spans="1:9" ht="15.75" customHeight="1">
      <c r="A66" s="527">
        <v>61</v>
      </c>
      <c r="B66" s="528" t="str">
        <f>Insumos_Base!B64</f>
        <v>Máquina de lavar roupas, capacidade para 9kg, com ciclo tira manchas e enxágue duplo.Deve possuir 3 opções de nível de sujeira, 4 níveis de água e tecla para avançar etapas. Mínimo 8 ciclos de lavagem.</v>
      </c>
      <c r="C66" s="529" t="str">
        <f>Insumos_Base!C64</f>
        <v>Unidade</v>
      </c>
      <c r="D66" s="530">
        <f>Insumos_Base!D64</f>
        <v>1980.12</v>
      </c>
      <c r="E66" s="531">
        <f t="shared" si="0"/>
        <v>3.3333333333333333E-2</v>
      </c>
      <c r="F66" s="532">
        <f t="shared" si="1"/>
        <v>66.003999999999991</v>
      </c>
      <c r="G66" s="533">
        <f>IF('1-ABA-DE-CARREGAMENTO'!$C$14 = "PANAMBI ",Insumos_Base!E64,IF('1-ABA-DE-CARREGAMENTO'!$C$14 = "JULIO-DE-CASTILHOS ",Insumos_Base!F64,IF('1-ABA-DE-CARREGAMENTO'!$C$14 = "SANTO-AUGUSTO ",Insumos_Base!G64,IF('1-ABA-DE-CARREGAMENTO'!$C$14 = "SAO-VICENTE-DO-SUL",Insumos_Base!H64,0))))</f>
        <v>1</v>
      </c>
      <c r="H66" s="529">
        <f>Insumos_Base!I64</f>
        <v>30</v>
      </c>
      <c r="I66" s="529" t="s">
        <v>351</v>
      </c>
    </row>
    <row r="67" spans="1:9" ht="15.75" customHeight="1">
      <c r="A67" s="534">
        <v>62</v>
      </c>
      <c r="B67" s="535" t="str">
        <f>Insumos_Base!B65</f>
        <v>Máquina de secar roupas, modelo suspensa/ tambor, capacidade para 10kg. Deve apresentar: programa que permite que o tempo de secagem seja selecionado para a exata quantidade de roupa; tecnologia passe fácil; ciclo desodorizador; ciclo suavizante; ciclo para roupas delicadas; led indicador de limpeza de filtro; porta com trava de segurança; porta de vidro temperado; porta de tambor.</v>
      </c>
      <c r="C67" s="536" t="str">
        <f>Insumos_Base!C65</f>
        <v>Unidade</v>
      </c>
      <c r="D67" s="537">
        <f>Insumos_Base!D65</f>
        <v>1985.96</v>
      </c>
      <c r="E67" s="538">
        <f t="shared" si="0"/>
        <v>3.3333333333333333E-2</v>
      </c>
      <c r="F67" s="539">
        <f t="shared" si="1"/>
        <v>66.198666666666668</v>
      </c>
      <c r="G67" s="540">
        <f>IF('1-ABA-DE-CARREGAMENTO'!$C$14 = "PANAMBI ",Insumos_Base!E65,IF('1-ABA-DE-CARREGAMENTO'!$C$14 = "JULIO-DE-CASTILHOS ",Insumos_Base!F65,IF('1-ABA-DE-CARREGAMENTO'!$C$14 = "SANTO-AUGUSTO ",Insumos_Base!G65,IF('1-ABA-DE-CARREGAMENTO'!$C$14 = "SAO-VICENTE-DO-SUL",Insumos_Base!H65,0))))</f>
        <v>1</v>
      </c>
      <c r="H67" s="536">
        <f>Insumos_Base!I65</f>
        <v>30</v>
      </c>
      <c r="I67" s="536" t="s">
        <v>351</v>
      </c>
    </row>
    <row r="68" spans="1:9" ht="15.75" customHeight="1">
      <c r="A68" s="527">
        <v>63</v>
      </c>
      <c r="B68" s="528" t="str">
        <f>Insumos_Base!B66</f>
        <v>Cabo extensor 6 metros modelo telescópio, confeccionado em alumínio,para limpeza de lugares mais altos e de difícil acesso</v>
      </c>
      <c r="C68" s="529" t="str">
        <f>Insumos_Base!C66</f>
        <v>UN</v>
      </c>
      <c r="D68" s="530">
        <f>Insumos_Base!D66</f>
        <v>62.92</v>
      </c>
      <c r="E68" s="531">
        <f t="shared" si="0"/>
        <v>0</v>
      </c>
      <c r="F68" s="532">
        <f t="shared" si="1"/>
        <v>0</v>
      </c>
      <c r="G68" s="533">
        <f>IF('1-ABA-DE-CARREGAMENTO'!$C$14 = "PANAMBI ",Insumos_Base!E66,IF('1-ABA-DE-CARREGAMENTO'!$C$14 = "JULIO-DE-CASTILHOS ",Insumos_Base!F66,IF('1-ABA-DE-CARREGAMENTO'!$C$14 = "SANTO-AUGUSTO ",Insumos_Base!G66,IF('1-ABA-DE-CARREGAMENTO'!$C$14 = "SAO-VICENTE-DO-SUL",Insumos_Base!H66,0))))</f>
        <v>0</v>
      </c>
      <c r="H68" s="529">
        <f>Insumos_Base!I66</f>
        <v>30</v>
      </c>
      <c r="I68" s="529" t="s">
        <v>351</v>
      </c>
    </row>
    <row r="69" spans="1:9" ht="15.75" customHeight="1">
      <c r="A69" s="1052" t="s">
        <v>352</v>
      </c>
      <c r="B69" s="1009"/>
      <c r="C69" s="1009"/>
      <c r="D69" s="1010"/>
      <c r="E69" s="1053">
        <f>IFERROR(SUM(F6:F68)/('PROPOSTA DO SERVIÇO'!E14+'PROPOSTA DO SERVIÇO'!E15+'PROPOSTA DO SERVIÇO'!E16),0)</f>
        <v>174.59983333333329</v>
      </c>
      <c r="F69" s="1009"/>
      <c r="G69" s="1009"/>
      <c r="H69" s="1009"/>
      <c r="I69" s="1030"/>
    </row>
    <row r="70" spans="1:9" ht="15.75" customHeight="1">
      <c r="A70" s="1"/>
      <c r="B70" s="1"/>
      <c r="C70" s="1"/>
      <c r="D70" s="1"/>
      <c r="E70" s="1"/>
      <c r="F70" s="1"/>
      <c r="G70" s="1"/>
      <c r="H70" s="1"/>
      <c r="I70" s="1"/>
    </row>
    <row r="71" spans="1:9" ht="15.75" customHeight="1">
      <c r="A71" s="1055" t="s">
        <v>353</v>
      </c>
      <c r="B71" s="1009"/>
      <c r="C71" s="1009"/>
      <c r="D71" s="1009"/>
      <c r="E71" s="1009"/>
      <c r="F71" s="1009"/>
      <c r="G71" s="1009"/>
      <c r="H71" s="1009"/>
      <c r="I71" s="1010"/>
    </row>
    <row r="72" spans="1:9" ht="15.75" customHeight="1">
      <c r="A72" s="541" t="s">
        <v>344</v>
      </c>
      <c r="B72" s="526" t="s">
        <v>345</v>
      </c>
      <c r="C72" s="526" t="s">
        <v>346</v>
      </c>
      <c r="D72" s="526" t="s">
        <v>354</v>
      </c>
      <c r="E72" s="526" t="s">
        <v>348</v>
      </c>
      <c r="F72" s="526" t="s">
        <v>349</v>
      </c>
      <c r="G72" s="1057" t="s">
        <v>355</v>
      </c>
      <c r="H72" s="1009"/>
      <c r="I72" s="1010"/>
    </row>
    <row r="73" spans="1:9" ht="15.75" customHeight="1">
      <c r="A73" s="527">
        <v>1</v>
      </c>
      <c r="B73" s="528" t="str">
        <f>Insumos_Base!B71</f>
        <v>Sapato de segurança, material couro sintético, solado de borracha antiderrapante, cor branca</v>
      </c>
      <c r="C73" s="529" t="str">
        <f>Insumos_Base!C71</f>
        <v>par</v>
      </c>
      <c r="D73" s="530">
        <f>Insumos_Base!D71</f>
        <v>78.83</v>
      </c>
      <c r="E73" s="531">
        <f t="shared" ref="E73:E84" si="2">IFERROR(G73/H73,0)</f>
        <v>2</v>
      </c>
      <c r="F73" s="532">
        <f t="shared" ref="F73:F84" si="3">E73*D73</f>
        <v>157.66</v>
      </c>
      <c r="G73" s="542">
        <f>IF('1-ABA-DE-CARREGAMENTO'!$C$14 = "PANAMBI ",Insumos_Base!E71,IF('1-ABA-DE-CARREGAMENTO'!$C$14 = "JULIO-DE-CASTILHOS ",Insumos_Base!F71,IF('1-ABA-DE-CARREGAMENTO'!$C$14 = "SANTO-AUGUSTO ",Insumos_Base!G71,IF('1-ABA-DE-CARREGAMENTO'!$C$14 = "SAO-VICENTE-DO-SUL",Insumos_Base!H71,0))))</f>
        <v>12</v>
      </c>
      <c r="H73" s="529">
        <f>Insumos_Base!I71</f>
        <v>6</v>
      </c>
      <c r="I73" s="529" t="s">
        <v>351</v>
      </c>
    </row>
    <row r="74" spans="1:9" ht="15.75" customHeight="1">
      <c r="A74" s="534">
        <v>2</v>
      </c>
      <c r="B74" s="535" t="str">
        <f>Insumos_Base!B72</f>
        <v>Sapato de segurança. Sapato de EVA com solado antiderrapante. Cor branca. Cabedal confeccionado em EVA (Etil Vinil Acetato), fechado na parte superior e no calcanhar. Com bactericida, evita odor nos pés. Impermeável, facilmente lavável. Hidrorepelente. Resistente a óleo. Durável e resistente. Considerado EPI (equipamento de proteção individual), aprovado pelo Ministério do Trabalho. Atende NR-32. Número compatível ao funcionário que estará utilizando. Marca de referência: Soft Works.</v>
      </c>
      <c r="C74" s="536" t="str">
        <f>Insumos_Base!C72</f>
        <v>par</v>
      </c>
      <c r="D74" s="537">
        <f>Insumos_Base!D72</f>
        <v>57.33</v>
      </c>
      <c r="E74" s="538">
        <f t="shared" si="2"/>
        <v>2</v>
      </c>
      <c r="F74" s="539">
        <f t="shared" si="3"/>
        <v>114.66</v>
      </c>
      <c r="G74" s="543">
        <f>IF('1-ABA-DE-CARREGAMENTO'!$C$14 = "PANAMBI ",Insumos_Base!E72,IF('1-ABA-DE-CARREGAMENTO'!$C$14 = "JULIO-DE-CASTILHOS ",Insumos_Base!F72,IF('1-ABA-DE-CARREGAMENTO'!$C$14 = "SANTO-AUGUSTO ",Insumos_Base!G72,IF('1-ABA-DE-CARREGAMENTO'!$C$14 = "SAO-VICENTE-DO-SUL",Insumos_Base!H72,0))))</f>
        <v>12</v>
      </c>
      <c r="H74" s="536">
        <f>Insumos_Base!I72</f>
        <v>6</v>
      </c>
      <c r="I74" s="536" t="s">
        <v>351</v>
      </c>
    </row>
    <row r="75" spans="1:9" ht="15.75" customHeight="1">
      <c r="A75" s="527">
        <v>3</v>
      </c>
      <c r="B75" s="528" t="str">
        <f>Insumos_Base!B73</f>
        <v>Pares de bota de borracha, pvc, forrada, cano médio, cor branca, em número compatível ao funcionário que estará utilizando</v>
      </c>
      <c r="C75" s="529" t="str">
        <f>Insumos_Base!C73</f>
        <v>par</v>
      </c>
      <c r="D75" s="530">
        <f>Insumos_Base!D73</f>
        <v>54.84</v>
      </c>
      <c r="E75" s="531">
        <f t="shared" si="2"/>
        <v>2</v>
      </c>
      <c r="F75" s="532">
        <f t="shared" si="3"/>
        <v>109.68</v>
      </c>
      <c r="G75" s="542">
        <f>IF('1-ABA-DE-CARREGAMENTO'!$C$14 = "PANAMBI ",Insumos_Base!E73,IF('1-ABA-DE-CARREGAMENTO'!$C$14 = "JULIO-DE-CASTILHOS ",Insumos_Base!F73,IF('1-ABA-DE-CARREGAMENTO'!$C$14 = "SANTO-AUGUSTO ",Insumos_Base!G73,IF('1-ABA-DE-CARREGAMENTO'!$C$14 = "SAO-VICENTE-DO-SUL",Insumos_Base!H73,0))))</f>
        <v>12</v>
      </c>
      <c r="H75" s="529">
        <f>Insumos_Base!I73</f>
        <v>6</v>
      </c>
      <c r="I75" s="529" t="s">
        <v>351</v>
      </c>
    </row>
    <row r="76" spans="1:9" ht="15.75" customHeight="1">
      <c r="A76" s="534">
        <v>4</v>
      </c>
      <c r="B76" s="535" t="str">
        <f>Insumos_Base!B74</f>
        <v>Calças em Oxford brancas, (100% poliéster), unissex, com elástico na cintura, sem bolsos, tamanhos: P, M, G, GG (compatível ao funcionário que estiver usando), medidas mínimas de 80cm de cintura e 1,2m de comprimento.</v>
      </c>
      <c r="C76" s="536" t="str">
        <f>Insumos_Base!C74</f>
        <v>Unidade</v>
      </c>
      <c r="D76" s="537">
        <f>Insumos_Base!D74</f>
        <v>64</v>
      </c>
      <c r="E76" s="538">
        <f t="shared" si="2"/>
        <v>4</v>
      </c>
      <c r="F76" s="539">
        <f t="shared" si="3"/>
        <v>256</v>
      </c>
      <c r="G76" s="543">
        <f>IF('1-ABA-DE-CARREGAMENTO'!$C$14 = "PANAMBI ",Insumos_Base!E74,IF('1-ABA-DE-CARREGAMENTO'!$C$14 = "JULIO-DE-CASTILHOS ",Insumos_Base!F74,IF('1-ABA-DE-CARREGAMENTO'!$C$14 = "SANTO-AUGUSTO ",Insumos_Base!G74,IF('1-ABA-DE-CARREGAMENTO'!$C$14 = "SAO-VICENTE-DO-SUL",Insumos_Base!H74,0))))</f>
        <v>24</v>
      </c>
      <c r="H76" s="536">
        <f>Insumos_Base!I74</f>
        <v>6</v>
      </c>
      <c r="I76" s="536" t="s">
        <v>351</v>
      </c>
    </row>
    <row r="77" spans="1:9" ht="15.75" customHeight="1">
      <c r="A77" s="527">
        <v>5</v>
      </c>
      <c r="B77" s="528" t="str">
        <f>Insumos_Base!B75</f>
        <v>Jaleco em Oxford, na cor branca, (100% poliéster), unissex, médio (acima do joelho), manga curta, sem bolsos, gola em "V", tamanhos: P, M, G, GG (compatível ao funcionário que estiver usando), com proteção para os botões e faixa traseira reforçada.</v>
      </c>
      <c r="C77" s="529" t="str">
        <f>Insumos_Base!C75</f>
        <v>Unidade</v>
      </c>
      <c r="D77" s="530">
        <f>Insumos_Base!D75</f>
        <v>137.82</v>
      </c>
      <c r="E77" s="531">
        <f t="shared" si="2"/>
        <v>4</v>
      </c>
      <c r="F77" s="532">
        <f t="shared" si="3"/>
        <v>551.28</v>
      </c>
      <c r="G77" s="542">
        <f>IF('1-ABA-DE-CARREGAMENTO'!$C$14 = "PANAMBI ",Insumos_Base!E75,IF('1-ABA-DE-CARREGAMENTO'!$C$14 = "JULIO-DE-CASTILHOS ",Insumos_Base!F75,IF('1-ABA-DE-CARREGAMENTO'!$C$14 = "SANTO-AUGUSTO ",Insumos_Base!G75,IF('1-ABA-DE-CARREGAMENTO'!$C$14 = "SAO-VICENTE-DO-SUL",Insumos_Base!H75,0))))</f>
        <v>24</v>
      </c>
      <c r="H77" s="529">
        <f>Insumos_Base!I75</f>
        <v>6</v>
      </c>
      <c r="I77" s="529" t="s">
        <v>351</v>
      </c>
    </row>
    <row r="78" spans="1:9" ht="15.75" customHeight="1">
      <c r="A78" s="534">
        <v>6</v>
      </c>
      <c r="B78" s="535" t="str">
        <f>Insumos_Base!B76</f>
        <v>Camisetas de algodão de cor branca, com a logomarca da empresa</v>
      </c>
      <c r="C78" s="536" t="str">
        <f>Insumos_Base!C76</f>
        <v>Unidade</v>
      </c>
      <c r="D78" s="537">
        <f>Insumos_Base!D76</f>
        <v>21.57</v>
      </c>
      <c r="E78" s="538">
        <f t="shared" si="2"/>
        <v>4</v>
      </c>
      <c r="F78" s="539">
        <f t="shared" si="3"/>
        <v>86.28</v>
      </c>
      <c r="G78" s="543">
        <f>IF('1-ABA-DE-CARREGAMENTO'!$C$14 = "PANAMBI ",Insumos_Base!E76,IF('1-ABA-DE-CARREGAMENTO'!$C$14 = "JULIO-DE-CASTILHOS ",Insumos_Base!F76,IF('1-ABA-DE-CARREGAMENTO'!$C$14 = "SANTO-AUGUSTO ",Insumos_Base!G76,IF('1-ABA-DE-CARREGAMENTO'!$C$14 = "SAO-VICENTE-DO-SUL",Insumos_Base!H76,0))))</f>
        <v>24</v>
      </c>
      <c r="H78" s="536">
        <f>Insumos_Base!I76</f>
        <v>6</v>
      </c>
      <c r="I78" s="536" t="s">
        <v>351</v>
      </c>
    </row>
    <row r="79" spans="1:9" ht="15.75" customHeight="1">
      <c r="A79" s="527">
        <v>7</v>
      </c>
      <c r="B79" s="528" t="str">
        <f>Insumos_Base!B77</f>
        <v>Aventais 100 % napa (PVC), cor branca, impermeáveis, tipo para açougueiro, compridos, resistentes, na altura dos pés do funcionário que estará utilizando</v>
      </c>
      <c r="C79" s="529" t="str">
        <f>Insumos_Base!C77</f>
        <v>Unidade</v>
      </c>
      <c r="D79" s="530">
        <f>Insumos_Base!D77</f>
        <v>6.49</v>
      </c>
      <c r="E79" s="531">
        <f t="shared" si="2"/>
        <v>6</v>
      </c>
      <c r="F79" s="532">
        <f t="shared" si="3"/>
        <v>38.94</v>
      </c>
      <c r="G79" s="542">
        <f>IF('1-ABA-DE-CARREGAMENTO'!$C$14 = "PANAMBI ",Insumos_Base!E77,IF('1-ABA-DE-CARREGAMENTO'!$C$14 = "JULIO-DE-CASTILHOS ",Insumos_Base!F77,IF('1-ABA-DE-CARREGAMENTO'!$C$14 = "SANTO-AUGUSTO ",Insumos_Base!G77,IF('1-ABA-DE-CARREGAMENTO'!$C$14 = "SAO-VICENTE-DO-SUL",Insumos_Base!H77,0))))</f>
        <v>36</v>
      </c>
      <c r="H79" s="529">
        <f>Insumos_Base!I77</f>
        <v>6</v>
      </c>
      <c r="I79" s="529" t="s">
        <v>351</v>
      </c>
    </row>
    <row r="80" spans="1:9" ht="15.75" customHeight="1">
      <c r="A80" s="534">
        <v>8</v>
      </c>
      <c r="B80" s="535" t="str">
        <f>Insumos_Base!B78</f>
        <v>Luvas de segurança para agentes térmicos, temperaturas altas, fornos industrial, temperaturas até 250º, forrada, com forração destacável, com uma camada em não tecido de fibra de poliéster e uma camada de tecido de algodão com tratamento impermeabilizante em silicone. O tecido externo deve ser composto de 93% meta-aramida, 5% para-aramida e 2% fibra antiestática, com alta resistência à abrasão e baixa condutividade térmica, que oferece proteção contra calor e chamas. 100% lavável. Modelo 5 dedos, comprimento da luva 45 cm, cor azul, impermeável, certificado de aprovação: 28689.</v>
      </c>
      <c r="C80" s="536" t="str">
        <f>Insumos_Base!C78</f>
        <v>par</v>
      </c>
      <c r="D80" s="537">
        <f>Insumos_Base!D78</f>
        <v>6.31</v>
      </c>
      <c r="E80" s="538">
        <f t="shared" si="2"/>
        <v>1</v>
      </c>
      <c r="F80" s="539">
        <f t="shared" si="3"/>
        <v>6.31</v>
      </c>
      <c r="G80" s="543">
        <f>IF('1-ABA-DE-CARREGAMENTO'!$C$14 = "PANAMBI ",Insumos_Base!E78,IF('1-ABA-DE-CARREGAMENTO'!$C$14 = "JULIO-DE-CASTILHOS ",Insumos_Base!F78,IF('1-ABA-DE-CARREGAMENTO'!$C$14 = "SANTO-AUGUSTO ",Insumos_Base!G78,IF('1-ABA-DE-CARREGAMENTO'!$C$14 = "SAO-VICENTE-DO-SUL",Insumos_Base!H78,0))))</f>
        <v>6</v>
      </c>
      <c r="H80" s="536">
        <f>Insumos_Base!I78</f>
        <v>6</v>
      </c>
      <c r="I80" s="536" t="s">
        <v>351</v>
      </c>
    </row>
    <row r="81" spans="1:9" ht="15.75" customHeight="1">
      <c r="A81" s="527">
        <v>9</v>
      </c>
      <c r="B81" s="528" t="str">
        <f>Insumos_Base!B79</f>
        <v>Japona térmica impermeável, confeccionadas em nylon, com capuz, forrado com manta térmica de 150 grm², punho sanfonado nas mangas, fechamento com velcro e botões de pressão metálicos, para uso em temperatura até -25°, tamanho G, na cor azul - (Uso câmara fria)</v>
      </c>
      <c r="C81" s="529" t="str">
        <f>Insumos_Base!C79</f>
        <v>Unidade</v>
      </c>
      <c r="D81" s="530">
        <f>Insumos_Base!D79</f>
        <v>118.51</v>
      </c>
      <c r="E81" s="531">
        <f t="shared" si="2"/>
        <v>0.16666666666666666</v>
      </c>
      <c r="F81" s="532">
        <f t="shared" si="3"/>
        <v>19.751666666666665</v>
      </c>
      <c r="G81" s="542">
        <f>IF('1-ABA-DE-CARREGAMENTO'!$C$14 = "PANAMBI ",Insumos_Base!E79,IF('1-ABA-DE-CARREGAMENTO'!$C$14 = "JULIO-DE-CASTILHOS ",Insumos_Base!F79,IF('1-ABA-DE-CARREGAMENTO'!$C$14 = "SANTO-AUGUSTO ",Insumos_Base!G79,IF('1-ABA-DE-CARREGAMENTO'!$C$14 = "SAO-VICENTE-DO-SUL",Insumos_Base!H79,0))))</f>
        <v>1</v>
      </c>
      <c r="H81" s="529">
        <f>Insumos_Base!I79</f>
        <v>6</v>
      </c>
      <c r="I81" s="529" t="s">
        <v>351</v>
      </c>
    </row>
    <row r="82" spans="1:9" ht="15.75" customHeight="1">
      <c r="A82" s="534">
        <v>10</v>
      </c>
      <c r="B82" s="535" t="str">
        <f>Insumos_Base!B80</f>
        <v>Luva de segurança em PVC para baixa temperatura. Conforto térmico para atividades até -30°C. Punho elástico para perfeito ajuste às mãos. Ideal para ambientes com pouca iluminação. Possui três camadas de cloreto de polivinila reforçada (PVC) e conta com palma antiderrapante, para maior aderência em atividades com umidade. É ideal para proteção com temperaturas de até -30ºC. Seu interior possui forro em algodão felpudo, que oferece total conforto ao usuário. COR LARANJA. Marca de referência: Danny.</v>
      </c>
      <c r="C82" s="536" t="str">
        <f>Insumos_Base!C80</f>
        <v>Par</v>
      </c>
      <c r="D82" s="537">
        <f>Insumos_Base!D80</f>
        <v>8.83</v>
      </c>
      <c r="E82" s="538">
        <f t="shared" si="2"/>
        <v>0.66666666666666663</v>
      </c>
      <c r="F82" s="539">
        <f t="shared" si="3"/>
        <v>5.8866666666666667</v>
      </c>
      <c r="G82" s="543">
        <f>IF('1-ABA-DE-CARREGAMENTO'!$C$14 = "PANAMBI ",Insumos_Base!E80,IF('1-ABA-DE-CARREGAMENTO'!$C$14 = "JULIO-DE-CASTILHOS ",Insumos_Base!F80,IF('1-ABA-DE-CARREGAMENTO'!$C$14 = "SANTO-AUGUSTO ",Insumos_Base!G80,IF('1-ABA-DE-CARREGAMENTO'!$C$14 = "SAO-VICENTE-DO-SUL",Insumos_Base!H80,0))))</f>
        <v>4</v>
      </c>
      <c r="H82" s="536">
        <f>Insumos_Base!I80</f>
        <v>6</v>
      </c>
      <c r="I82" s="536" t="s">
        <v>351</v>
      </c>
    </row>
    <row r="83" spans="1:9" ht="15.75" customHeight="1">
      <c r="A83" s="527">
        <v>11</v>
      </c>
      <c r="B83" s="528" t="str">
        <f>Insumos_Base!B81</f>
        <v>Luvas de segurança com proteção para as mãos contra agentes cortantes e perfurantes, confeccionada com elos de aço e fechamento através de correia em polipropileno antibacteriana. Inteiramente feita com elos de aço inox, para uso profissional, aprovada pelo Ministério do Trabalho.</v>
      </c>
      <c r="C83" s="529" t="str">
        <f>Insumos_Base!C81</f>
        <v>Par</v>
      </c>
      <c r="D83" s="530">
        <f>Insumos_Base!D81</f>
        <v>4.17</v>
      </c>
      <c r="E83" s="531">
        <f t="shared" si="2"/>
        <v>0.66666666666666663</v>
      </c>
      <c r="F83" s="532">
        <f t="shared" si="3"/>
        <v>2.78</v>
      </c>
      <c r="G83" s="542">
        <f>IF('1-ABA-DE-CARREGAMENTO'!$C$14 = "PANAMBI ",Insumos_Base!E81,IF('1-ABA-DE-CARREGAMENTO'!$C$14 = "JULIO-DE-CASTILHOS ",Insumos_Base!F81,IF('1-ABA-DE-CARREGAMENTO'!$C$14 = "SANTO-AUGUSTO ",Insumos_Base!G81,IF('1-ABA-DE-CARREGAMENTO'!$C$14 = "SAO-VICENTE-DO-SUL",Insumos_Base!H81,0))))</f>
        <v>4</v>
      </c>
      <c r="H83" s="529">
        <f>Insumos_Base!I81</f>
        <v>6</v>
      </c>
      <c r="I83" s="529" t="s">
        <v>351</v>
      </c>
    </row>
    <row r="84" spans="1:9" ht="15.75" customHeight="1">
      <c r="A84" s="534">
        <v>12</v>
      </c>
      <c r="B84" s="535" t="str">
        <f>Insumos_Base!B82</f>
        <v>Caixa Mangotes (manga) de segurança impermeável, tipo descartável, com 0,50 m de comprimento, acabamento com elástico nas duas extremidades, 100 unidades</v>
      </c>
      <c r="C84" s="536" t="str">
        <f>Insumos_Base!C82</f>
        <v>Caixa</v>
      </c>
      <c r="D84" s="537">
        <f>Insumos_Base!D82</f>
        <v>153.84</v>
      </c>
      <c r="E84" s="538">
        <f t="shared" si="2"/>
        <v>0.33333333333333331</v>
      </c>
      <c r="F84" s="539">
        <f t="shared" si="3"/>
        <v>51.28</v>
      </c>
      <c r="G84" s="543">
        <f>IF('1-ABA-DE-CARREGAMENTO'!$C$14 = "PANAMBI ",Insumos_Base!E82,IF('1-ABA-DE-CARREGAMENTO'!$C$14 = "JULIO-DE-CASTILHOS ",Insumos_Base!F82,IF('1-ABA-DE-CARREGAMENTO'!$C$14 = "SANTO-AUGUSTO ",Insumos_Base!G82,IF('1-ABA-DE-CARREGAMENTO'!$C$14 = "SAO-VICENTE-DO-SUL",Insumos_Base!H82,0))))</f>
        <v>2</v>
      </c>
      <c r="H84" s="536">
        <f>Insumos_Base!I82</f>
        <v>6</v>
      </c>
      <c r="I84" s="536" t="s">
        <v>351</v>
      </c>
    </row>
    <row r="85" spans="1:9" ht="15.75" customHeight="1">
      <c r="A85" s="1052" t="s">
        <v>352</v>
      </c>
      <c r="B85" s="1009"/>
      <c r="C85" s="1009"/>
      <c r="D85" s="1010"/>
      <c r="E85" s="1053">
        <f>IFERROR(SUM(F73:F84)/('PROPOSTA DO SERVIÇO'!E14+'PROPOSTA DO SERVIÇO'!E15+'PROPOSTA DO SERVIÇO'!E16),0)</f>
        <v>116.70902777777776</v>
      </c>
      <c r="F85" s="1009"/>
      <c r="G85" s="1009"/>
      <c r="H85" s="1009"/>
      <c r="I85" s="1030"/>
    </row>
    <row r="86" spans="1:9" ht="15.75" customHeight="1">
      <c r="A86" s="1"/>
      <c r="B86" s="1"/>
      <c r="C86" s="1"/>
      <c r="D86" s="1"/>
      <c r="E86" s="1"/>
      <c r="F86" s="1"/>
      <c r="G86" s="1"/>
      <c r="H86" s="1"/>
      <c r="I86" s="1"/>
    </row>
    <row r="87" spans="1:9" ht="15.75" customHeight="1">
      <c r="A87" s="1054" t="s">
        <v>356</v>
      </c>
      <c r="B87" s="977"/>
      <c r="C87" s="977"/>
      <c r="D87" s="977"/>
      <c r="E87" s="977"/>
      <c r="F87" s="977"/>
      <c r="G87" s="977"/>
      <c r="H87" s="977"/>
      <c r="I87" s="1007"/>
    </row>
    <row r="88" spans="1:9" ht="15.75" customHeight="1">
      <c r="A88" s="1055" t="s">
        <v>357</v>
      </c>
      <c r="B88" s="1009"/>
      <c r="C88" s="1009"/>
      <c r="D88" s="1009"/>
      <c r="E88" s="1009"/>
      <c r="F88" s="1009"/>
      <c r="G88" s="1009"/>
      <c r="H88" s="1009"/>
      <c r="I88" s="1010"/>
    </row>
    <row r="89" spans="1:9" ht="15.75" customHeight="1">
      <c r="A89" s="544" t="s">
        <v>344</v>
      </c>
      <c r="B89" s="544" t="s">
        <v>345</v>
      </c>
      <c r="C89" s="544" t="s">
        <v>346</v>
      </c>
      <c r="D89" s="544" t="s">
        <v>354</v>
      </c>
      <c r="E89" s="544" t="s">
        <v>348</v>
      </c>
      <c r="F89" s="544" t="s">
        <v>349</v>
      </c>
      <c r="G89" s="1056" t="s">
        <v>355</v>
      </c>
      <c r="H89" s="1009"/>
      <c r="I89" s="1010"/>
    </row>
    <row r="90" spans="1:9" ht="15.75" customHeight="1">
      <c r="A90" s="528">
        <v>1</v>
      </c>
      <c r="B90" s="528" t="str">
        <f>Insumos_Base!B99</f>
        <v>Calça, brim 100% algodão, uso profissional operacional, cintura média, 3 bolsos (2 na frente e 1 atrás), ajustável, costura reforçada.</v>
      </c>
      <c r="C90" s="528" t="str">
        <f>Insumos_Base!C99</f>
        <v>unidade</v>
      </c>
      <c r="D90" s="545">
        <f>Insumos_Base!D99</f>
        <v>78.323333329999997</v>
      </c>
      <c r="E90" s="546">
        <f t="shared" ref="E90:E109" si="4">IFERROR(G90/H90,0)</f>
        <v>0</v>
      </c>
      <c r="F90" s="547">
        <f t="shared" ref="F90:F109" si="5">E90*D90</f>
        <v>0</v>
      </c>
      <c r="G90" s="548">
        <f>IF('1-ABA-DE-CARREGAMENTO'!$C$14 = "SANTO-AUGUSTO ",Insumos_Base!H99,IF('1-ABA-DE-CARREGAMENTO'!$C$14 = "SAO-VICENTE-DO-SUL",Insumos_Base!J99,IF('1-ABA-DE-CARREGAMENTO'!$C$14 = "SAO-BORJA ",Insumos_Base!L99,0)))</f>
        <v>0</v>
      </c>
      <c r="H90" s="548">
        <f>IF('1-ABA-DE-CARREGAMENTO'!$C$14 = "SANTO-AUGUSTO ",Insumos_Base!I99,IF('1-ABA-DE-CARREGAMENTO'!$C$14 = "SAO-VICENTE-DO-SUL",Insumos_Base!K99,IF('1-ABA-DE-CARREGAMENTO'!$C$14 = "SAO-BORJA ",Insumos_Base!M99,0)))</f>
        <v>0</v>
      </c>
      <c r="I90" s="528" t="s">
        <v>351</v>
      </c>
    </row>
    <row r="91" spans="1:9" ht="15.75" customHeight="1">
      <c r="A91" s="535">
        <v>2</v>
      </c>
      <c r="B91" s="535" t="str">
        <f>Insumos_Base!B100</f>
        <v>Jaqueta , tecido tipo nylon, 2 bolsos frontais e 1 bolso interno, fecho em ziper, uso profissional operacional, forrada.</v>
      </c>
      <c r="C91" s="535" t="str">
        <f>Insumos_Base!C100</f>
        <v>unidade</v>
      </c>
      <c r="D91" s="549">
        <f>Insumos_Base!D100</f>
        <v>142.96666669999999</v>
      </c>
      <c r="E91" s="550">
        <f t="shared" si="4"/>
        <v>0</v>
      </c>
      <c r="F91" s="551">
        <f t="shared" si="5"/>
        <v>0</v>
      </c>
      <c r="G91" s="552">
        <f>IF('1-ABA-DE-CARREGAMENTO'!$C$14 = "SANTO-AUGUSTO ",Insumos_Base!H100,IF('1-ABA-DE-CARREGAMENTO'!$C$14 = "SAO-VICENTE-DO-SUL",Insumos_Base!J100,IF('1-ABA-DE-CARREGAMENTO'!$C$14 = "SAO-BORJA ",Insumos_Base!L100,0)))</f>
        <v>0</v>
      </c>
      <c r="H91" s="552">
        <f>IF('1-ABA-DE-CARREGAMENTO'!$C$14 = "SANTO-AUGUSTO ",Insumos_Base!I100,IF('1-ABA-DE-CARREGAMENTO'!$C$14 = "SAO-VICENTE-DO-SUL",Insumos_Base!K100,IF('1-ABA-DE-CARREGAMENTO'!$C$14 = "SAO-BORJA ",Insumos_Base!M100,0)))</f>
        <v>0</v>
      </c>
      <c r="I91" s="535" t="s">
        <v>351</v>
      </c>
    </row>
    <row r="92" spans="1:9" ht="15.75" customHeight="1">
      <c r="A92" s="528">
        <v>3</v>
      </c>
      <c r="B92" s="528" t="str">
        <f>Insumos_Base!B101</f>
        <v>Blusão, tecido misto com elastano, gola redonda, manga comprida.</v>
      </c>
      <c r="C92" s="528" t="str">
        <f>Insumos_Base!C101</f>
        <v>Unidade</v>
      </c>
      <c r="D92" s="545">
        <f>Insumos_Base!D101</f>
        <v>64.900000000000006</v>
      </c>
      <c r="E92" s="546">
        <f t="shared" si="4"/>
        <v>0</v>
      </c>
      <c r="F92" s="547">
        <f t="shared" si="5"/>
        <v>0</v>
      </c>
      <c r="G92" s="548">
        <f>IF('1-ABA-DE-CARREGAMENTO'!$C$14 = "SANTO-AUGUSTO ",Insumos_Base!H101,IF('1-ABA-DE-CARREGAMENTO'!$C$14 = "SAO-VICENTE-DO-SUL",Insumos_Base!J101,IF('1-ABA-DE-CARREGAMENTO'!$C$14 = "SAO-BORJA ",Insumos_Base!L101,0)))</f>
        <v>0</v>
      </c>
      <c r="H92" s="548">
        <f>IF('1-ABA-DE-CARREGAMENTO'!$C$14 = "SANTO-AUGUSTO ",Insumos_Base!I101,IF('1-ABA-DE-CARREGAMENTO'!$C$14 = "SAO-VICENTE-DO-SUL",Insumos_Base!K101,IF('1-ABA-DE-CARREGAMENTO'!$C$14 = "SAO-BORJA ",Insumos_Base!M101,0)))</f>
        <v>0</v>
      </c>
      <c r="I92" s="528" t="s">
        <v>351</v>
      </c>
    </row>
    <row r="93" spans="1:9" ht="15.75" customHeight="1">
      <c r="A93" s="535">
        <v>4</v>
      </c>
      <c r="B93" s="535" t="str">
        <f>Insumos_Base!B102</f>
        <v>Camiseta manga curta, tecido misto, uso profissional operacional.</v>
      </c>
      <c r="C93" s="535" t="str">
        <f>Insumos_Base!C102</f>
        <v>unidade</v>
      </c>
      <c r="D93" s="549">
        <f>Insumos_Base!D102</f>
        <v>40.659999999999997</v>
      </c>
      <c r="E93" s="550">
        <f t="shared" si="4"/>
        <v>0</v>
      </c>
      <c r="F93" s="551">
        <f t="shared" si="5"/>
        <v>0</v>
      </c>
      <c r="G93" s="552">
        <f>IF('1-ABA-DE-CARREGAMENTO'!$C$14 = "SANTO-AUGUSTO ",Insumos_Base!H102,IF('1-ABA-DE-CARREGAMENTO'!$C$14 = "SAO-VICENTE-DO-SUL",Insumos_Base!J102,IF('1-ABA-DE-CARREGAMENTO'!$C$14 = "SAO-BORJA ",Insumos_Base!L102,0)))</f>
        <v>0</v>
      </c>
      <c r="H93" s="552">
        <f>IF('1-ABA-DE-CARREGAMENTO'!$C$14 = "SANTO-AUGUSTO ",Insumos_Base!I102,IF('1-ABA-DE-CARREGAMENTO'!$C$14 = "SAO-VICENTE-DO-SUL",Insumos_Base!K102,IF('1-ABA-DE-CARREGAMENTO'!$C$14 = "SAO-BORJA ",Insumos_Base!M102,0)))</f>
        <v>0</v>
      </c>
      <c r="I93" s="535" t="s">
        <v>351</v>
      </c>
    </row>
    <row r="94" spans="1:9" ht="15.75" customHeight="1">
      <c r="A94" s="528">
        <v>5</v>
      </c>
      <c r="B94" s="528" t="str">
        <f>Insumos_Base!B103</f>
        <v>Camiseta manga longa, tecido misto, uso profissional operacional.</v>
      </c>
      <c r="C94" s="528" t="str">
        <f>Insumos_Base!C103</f>
        <v>Unidade</v>
      </c>
      <c r="D94" s="545">
        <f>Insumos_Base!D103</f>
        <v>46.566666669999996</v>
      </c>
      <c r="E94" s="546">
        <f t="shared" si="4"/>
        <v>0</v>
      </c>
      <c r="F94" s="547">
        <f t="shared" si="5"/>
        <v>0</v>
      </c>
      <c r="G94" s="548">
        <f>IF('1-ABA-DE-CARREGAMENTO'!$C$14 = "SANTO-AUGUSTO ",Insumos_Base!H103,IF('1-ABA-DE-CARREGAMENTO'!$C$14 = "SAO-VICENTE-DO-SUL",Insumos_Base!J103,IF('1-ABA-DE-CARREGAMENTO'!$C$14 = "SAO-BORJA ",Insumos_Base!L103,0)))</f>
        <v>0</v>
      </c>
      <c r="H94" s="548">
        <f>IF('1-ABA-DE-CARREGAMENTO'!$C$14 = "SANTO-AUGUSTO ",Insumos_Base!I103,IF('1-ABA-DE-CARREGAMENTO'!$C$14 = "SAO-VICENTE-DO-SUL",Insumos_Base!K103,IF('1-ABA-DE-CARREGAMENTO'!$C$14 = "SAO-BORJA ",Insumos_Base!M103,0)))</f>
        <v>0</v>
      </c>
      <c r="I94" s="528" t="s">
        <v>351</v>
      </c>
    </row>
    <row r="95" spans="1:9" ht="15.75" customHeight="1">
      <c r="A95" s="535">
        <v>6</v>
      </c>
      <c r="B95" s="535" t="str">
        <f>Insumos_Base!B104</f>
        <v>Boné, fecho ajustável em cobre, uso profissional operacional.</v>
      </c>
      <c r="C95" s="535" t="str">
        <f>Insumos_Base!C104</f>
        <v>Unidade</v>
      </c>
      <c r="D95" s="549">
        <f>Insumos_Base!D104</f>
        <v>28.493333329999999</v>
      </c>
      <c r="E95" s="550">
        <f t="shared" si="4"/>
        <v>0</v>
      </c>
      <c r="F95" s="551">
        <f t="shared" si="5"/>
        <v>0</v>
      </c>
      <c r="G95" s="552">
        <f>IF('1-ABA-DE-CARREGAMENTO'!$C$14 = "SANTO-AUGUSTO ",Insumos_Base!H104,IF('1-ABA-DE-CARREGAMENTO'!$C$14 = "SAO-VICENTE-DO-SUL",Insumos_Base!J104,IF('1-ABA-DE-CARREGAMENTO'!$C$14 = "SAO-BORJA ",Insumos_Base!L104,0)))</f>
        <v>0</v>
      </c>
      <c r="H95" s="552">
        <f>IF('1-ABA-DE-CARREGAMENTO'!$C$14 = "SANTO-AUGUSTO ",Insumos_Base!I104,IF('1-ABA-DE-CARREGAMENTO'!$C$14 = "SAO-VICENTE-DO-SUL",Insumos_Base!K104,IF('1-ABA-DE-CARREGAMENTO'!$C$14 = "SAO-BORJA ",Insumos_Base!M104,0)))</f>
        <v>0</v>
      </c>
      <c r="I95" s="535" t="s">
        <v>351</v>
      </c>
    </row>
    <row r="96" spans="1:9" ht="15.75" customHeight="1">
      <c r="A96" s="528">
        <v>7</v>
      </c>
      <c r="B96" s="528" t="str">
        <f>Insumos_Base!B105</f>
        <v>Boné com pala de proteção para nuca, uso profissional operacional.</v>
      </c>
      <c r="C96" s="528" t="str">
        <f>Insumos_Base!C105</f>
        <v>Unidade</v>
      </c>
      <c r="D96" s="545">
        <f>Insumos_Base!D105</f>
        <v>16.86333333</v>
      </c>
      <c r="E96" s="546">
        <f t="shared" si="4"/>
        <v>0</v>
      </c>
      <c r="F96" s="547">
        <f t="shared" si="5"/>
        <v>0</v>
      </c>
      <c r="G96" s="548">
        <f>IF('1-ABA-DE-CARREGAMENTO'!$C$14 = "SANTO-AUGUSTO ",Insumos_Base!H105,IF('1-ABA-DE-CARREGAMENTO'!$C$14 = "SAO-VICENTE-DO-SUL",Insumos_Base!J105,IF('1-ABA-DE-CARREGAMENTO'!$C$14 = "SAO-BORJA ",Insumos_Base!L105,0)))</f>
        <v>0</v>
      </c>
      <c r="H96" s="548">
        <f>IF('1-ABA-DE-CARREGAMENTO'!$C$14 = "SANTO-AUGUSTO ",Insumos_Base!I105,IF('1-ABA-DE-CARREGAMENTO'!$C$14 = "SAO-VICENTE-DO-SUL",Insumos_Base!K105,IF('1-ABA-DE-CARREGAMENTO'!$C$14 = "SAO-BORJA ",Insumos_Base!M105,0)))</f>
        <v>0</v>
      </c>
      <c r="I96" s="528" t="s">
        <v>351</v>
      </c>
    </row>
    <row r="97" spans="1:9" ht="15.75" customHeight="1">
      <c r="A97" s="535">
        <v>8</v>
      </c>
      <c r="B97" s="535" t="str">
        <f>Insumos_Base!B106</f>
        <v>Botina em couro, com elástico e biqueira de aço.</v>
      </c>
      <c r="C97" s="535" t="str">
        <f>Insumos_Base!C106</f>
        <v>par</v>
      </c>
      <c r="D97" s="549">
        <f>Insumos_Base!D106</f>
        <v>55.93</v>
      </c>
      <c r="E97" s="550">
        <f t="shared" si="4"/>
        <v>0</v>
      </c>
      <c r="F97" s="551">
        <f t="shared" si="5"/>
        <v>0</v>
      </c>
      <c r="G97" s="552">
        <f>IF('1-ABA-DE-CARREGAMENTO'!$C$14 = "SANTO-AUGUSTO ",Insumos_Base!H106,IF('1-ABA-DE-CARREGAMENTO'!$C$14 = "SAO-VICENTE-DO-SUL",Insumos_Base!J106,IF('1-ABA-DE-CARREGAMENTO'!$C$14 = "SAO-BORJA ",Insumos_Base!L106,0)))</f>
        <v>0</v>
      </c>
      <c r="H97" s="552">
        <f>IF('1-ABA-DE-CARREGAMENTO'!$C$14 = "SANTO-AUGUSTO ",Insumos_Base!I106,IF('1-ABA-DE-CARREGAMENTO'!$C$14 = "SAO-VICENTE-DO-SUL",Insumos_Base!K106,IF('1-ABA-DE-CARREGAMENTO'!$C$14 = "SAO-BORJA ",Insumos_Base!M106,0)))</f>
        <v>0</v>
      </c>
      <c r="I97" s="535" t="s">
        <v>351</v>
      </c>
    </row>
    <row r="98" spans="1:9" ht="15.75" customHeight="1">
      <c r="A98" s="528">
        <v>9</v>
      </c>
      <c r="B98" s="528" t="str">
        <f>Insumos_Base!B107</f>
        <v>Meia de algodão</v>
      </c>
      <c r="C98" s="528" t="str">
        <f>Insumos_Base!C107</f>
        <v>Par</v>
      </c>
      <c r="D98" s="545">
        <f>Insumos_Base!D107</f>
        <v>17.263333329999998</v>
      </c>
      <c r="E98" s="546">
        <f t="shared" si="4"/>
        <v>0</v>
      </c>
      <c r="F98" s="547">
        <f t="shared" si="5"/>
        <v>0</v>
      </c>
      <c r="G98" s="548">
        <f>IF('1-ABA-DE-CARREGAMENTO'!$C$14 = "SANTO-AUGUSTO ",Insumos_Base!H107,IF('1-ABA-DE-CARREGAMENTO'!$C$14 = "SAO-VICENTE-DO-SUL",Insumos_Base!J107,IF('1-ABA-DE-CARREGAMENTO'!$C$14 = "SAO-BORJA ",Insumos_Base!L107,0)))</f>
        <v>0</v>
      </c>
      <c r="H98" s="548">
        <f>IF('1-ABA-DE-CARREGAMENTO'!$C$14 = "SANTO-AUGUSTO ",Insumos_Base!I107,IF('1-ABA-DE-CARREGAMENTO'!$C$14 = "SAO-VICENTE-DO-SUL",Insumos_Base!K107,IF('1-ABA-DE-CARREGAMENTO'!$C$14 = "SAO-BORJA ",Insumos_Base!M107,0)))</f>
        <v>0</v>
      </c>
      <c r="I98" s="528" t="s">
        <v>351</v>
      </c>
    </row>
    <row r="99" spans="1:9" ht="15.75" customHeight="1">
      <c r="A99" s="535">
        <v>10</v>
      </c>
      <c r="B99" s="535" t="str">
        <f>Insumos_Base!B108</f>
        <v>Bota de PVC, cano longo, cor preta ou azul.</v>
      </c>
      <c r="C99" s="535" t="str">
        <f>Insumos_Base!C108</f>
        <v>par</v>
      </c>
      <c r="D99" s="549">
        <f>Insumos_Base!D108</f>
        <v>39.520000000000003</v>
      </c>
      <c r="E99" s="550">
        <f t="shared" si="4"/>
        <v>0</v>
      </c>
      <c r="F99" s="551">
        <f t="shared" si="5"/>
        <v>0</v>
      </c>
      <c r="G99" s="552">
        <f>IF('1-ABA-DE-CARREGAMENTO'!$C$14 = "SANTO-AUGUSTO ",Insumos_Base!H108,IF('1-ABA-DE-CARREGAMENTO'!$C$14 = "SAO-VICENTE-DO-SUL",Insumos_Base!J108,IF('1-ABA-DE-CARREGAMENTO'!$C$14 = "SAO-BORJA ",Insumos_Base!L108,0)))</f>
        <v>0</v>
      </c>
      <c r="H99" s="552">
        <f>IF('1-ABA-DE-CARREGAMENTO'!$C$14 = "SANTO-AUGUSTO ",Insumos_Base!I108,IF('1-ABA-DE-CARREGAMENTO'!$C$14 = "SAO-VICENTE-DO-SUL",Insumos_Base!K108,IF('1-ABA-DE-CARREGAMENTO'!$C$14 = "SAO-BORJA ",Insumos_Base!M108,0)))</f>
        <v>0</v>
      </c>
      <c r="I99" s="535" t="s">
        <v>351</v>
      </c>
    </row>
    <row r="100" spans="1:9" ht="15.75" customHeight="1">
      <c r="A100" s="528">
        <v>11</v>
      </c>
      <c r="B100" s="528" t="str">
        <f>Insumos_Base!B109</f>
        <v>Protetor Auditivo de Segurança, tipo plug, com 3 flanges e cordão, material de silicone, para atenuação de no mínimo 16dB</v>
      </c>
      <c r="C100" s="528" t="str">
        <f>Insumos_Base!C109</f>
        <v>unidade</v>
      </c>
      <c r="D100" s="545">
        <f>Insumos_Base!D109</f>
        <v>1.8033333330000001</v>
      </c>
      <c r="E100" s="546">
        <f t="shared" si="4"/>
        <v>0</v>
      </c>
      <c r="F100" s="547">
        <f t="shared" si="5"/>
        <v>0</v>
      </c>
      <c r="G100" s="548">
        <f>IF('1-ABA-DE-CARREGAMENTO'!$C$14 = "SANTO-AUGUSTO ",Insumos_Base!H109,IF('1-ABA-DE-CARREGAMENTO'!$C$14 = "SAO-VICENTE-DO-SUL",Insumos_Base!J109,IF('1-ABA-DE-CARREGAMENTO'!$C$14 = "SAO-BORJA ",Insumos_Base!L109,0)))</f>
        <v>0</v>
      </c>
      <c r="H100" s="548">
        <f>IF('1-ABA-DE-CARREGAMENTO'!$C$14 = "SANTO-AUGUSTO ",Insumos_Base!I109,IF('1-ABA-DE-CARREGAMENTO'!$C$14 = "SAO-VICENTE-DO-SUL",Insumos_Base!K109,IF('1-ABA-DE-CARREGAMENTO'!$C$14 = "SAO-BORJA ",Insumos_Base!M109,0)))</f>
        <v>0</v>
      </c>
      <c r="I100" s="528" t="s">
        <v>351</v>
      </c>
    </row>
    <row r="101" spans="1:9" ht="15.75" customHeight="1">
      <c r="A101" s="535">
        <v>12</v>
      </c>
      <c r="B101" s="535" t="str">
        <f>Insumos_Base!B110</f>
        <v>Protetor Auditivo de Segurança, tipo concha, em espuma, vinil e pvc.</v>
      </c>
      <c r="C101" s="535" t="str">
        <f>Insumos_Base!C110</f>
        <v>Unidade</v>
      </c>
      <c r="D101" s="549">
        <f>Insumos_Base!D110</f>
        <v>39.15</v>
      </c>
      <c r="E101" s="550">
        <f t="shared" si="4"/>
        <v>0</v>
      </c>
      <c r="F101" s="551">
        <f t="shared" si="5"/>
        <v>0</v>
      </c>
      <c r="G101" s="552">
        <f>IF('1-ABA-DE-CARREGAMENTO'!$C$14 = "SANTO-AUGUSTO ",Insumos_Base!H110,IF('1-ABA-DE-CARREGAMENTO'!$C$14 = "SAO-VICENTE-DO-SUL",Insumos_Base!J110,IF('1-ABA-DE-CARREGAMENTO'!$C$14 = "SAO-BORJA ",Insumos_Base!L110,0)))</f>
        <v>0</v>
      </c>
      <c r="H101" s="552">
        <f>IF('1-ABA-DE-CARREGAMENTO'!$C$14 = "SANTO-AUGUSTO ",Insumos_Base!I110,IF('1-ABA-DE-CARREGAMENTO'!$C$14 = "SAO-VICENTE-DO-SUL",Insumos_Base!K110,IF('1-ABA-DE-CARREGAMENTO'!$C$14 = "SAO-BORJA ",Insumos_Base!M110,0)))</f>
        <v>0</v>
      </c>
      <c r="I101" s="535" t="s">
        <v>351</v>
      </c>
    </row>
    <row r="102" spans="1:9" ht="15.75" customHeight="1">
      <c r="A102" s="528">
        <v>13</v>
      </c>
      <c r="B102" s="528" t="str">
        <f>Insumos_Base!B111</f>
        <v>Óculos de proteção em Policarbonato, lente escura, armação em nylon  resistente e flexível</v>
      </c>
      <c r="C102" s="528" t="str">
        <f>Insumos_Base!C111</f>
        <v>unidade</v>
      </c>
      <c r="D102" s="545">
        <f>Insumos_Base!D111</f>
        <v>5.1466666669999999</v>
      </c>
      <c r="E102" s="546">
        <f t="shared" si="4"/>
        <v>0</v>
      </c>
      <c r="F102" s="547">
        <f t="shared" si="5"/>
        <v>0</v>
      </c>
      <c r="G102" s="548">
        <f>IF('1-ABA-DE-CARREGAMENTO'!$C$14 = "SANTO-AUGUSTO ",Insumos_Base!H111,IF('1-ABA-DE-CARREGAMENTO'!$C$14 = "SAO-VICENTE-DO-SUL",Insumos_Base!J111,IF('1-ABA-DE-CARREGAMENTO'!$C$14 = "SAO-BORJA ",Insumos_Base!L111,0)))</f>
        <v>0</v>
      </c>
      <c r="H102" s="548">
        <f>IF('1-ABA-DE-CARREGAMENTO'!$C$14 = "SANTO-AUGUSTO ",Insumos_Base!I111,IF('1-ABA-DE-CARREGAMENTO'!$C$14 = "SAO-VICENTE-DO-SUL",Insumos_Base!K111,IF('1-ABA-DE-CARREGAMENTO'!$C$14 = "SAO-BORJA ",Insumos_Base!M111,0)))</f>
        <v>0</v>
      </c>
      <c r="I102" s="528" t="s">
        <v>351</v>
      </c>
    </row>
    <row r="103" spans="1:9" ht="15.75" customHeight="1">
      <c r="A103" s="535">
        <v>14</v>
      </c>
      <c r="B103" s="535" t="str">
        <f>Insumos_Base!B112</f>
        <v>Perneira caneleira de proteção, três talas de pvc, fechamento em velcro.</v>
      </c>
      <c r="C103" s="535" t="str">
        <f>Insumos_Base!C112</f>
        <v>Par</v>
      </c>
      <c r="D103" s="549">
        <f>Insumos_Base!D112</f>
        <v>28.04666667</v>
      </c>
      <c r="E103" s="550">
        <f t="shared" si="4"/>
        <v>0</v>
      </c>
      <c r="F103" s="551">
        <f t="shared" si="5"/>
        <v>0</v>
      </c>
      <c r="G103" s="552">
        <f>IF('1-ABA-DE-CARREGAMENTO'!$C$14 = "SANTO-AUGUSTO ",Insumos_Base!H112,IF('1-ABA-DE-CARREGAMENTO'!$C$14 = "SAO-VICENTE-DO-SUL",Insumos_Base!J112,IF('1-ABA-DE-CARREGAMENTO'!$C$14 = "SAO-BORJA ",Insumos_Base!L112,0)))</f>
        <v>0</v>
      </c>
      <c r="H103" s="552">
        <f>IF('1-ABA-DE-CARREGAMENTO'!$C$14 = "SANTO-AUGUSTO ",Insumos_Base!I112,IF('1-ABA-DE-CARREGAMENTO'!$C$14 = "SAO-VICENTE-DO-SUL",Insumos_Base!K112,IF('1-ABA-DE-CARREGAMENTO'!$C$14 = "SAO-BORJA ",Insumos_Base!M112,0)))</f>
        <v>0</v>
      </c>
      <c r="I103" s="535" t="s">
        <v>351</v>
      </c>
    </row>
    <row r="104" spans="1:9" ht="15.75" customHeight="1">
      <c r="A104" s="528">
        <v>15</v>
      </c>
      <c r="B104" s="528" t="str">
        <f>Insumos_Base!B113</f>
        <v>Luva raspa, costura reforçada e resistente</v>
      </c>
      <c r="C104" s="528" t="str">
        <f>Insumos_Base!C113</f>
        <v>Par</v>
      </c>
      <c r="D104" s="545">
        <f>Insumos_Base!D113</f>
        <v>10.596666669999999</v>
      </c>
      <c r="E104" s="546">
        <f t="shared" si="4"/>
        <v>0</v>
      </c>
      <c r="F104" s="547">
        <f t="shared" si="5"/>
        <v>0</v>
      </c>
      <c r="G104" s="548">
        <f>IF('1-ABA-DE-CARREGAMENTO'!$C$14 = "SANTO-AUGUSTO ",Insumos_Base!H113,IF('1-ABA-DE-CARREGAMENTO'!$C$14 = "SAO-VICENTE-DO-SUL",Insumos_Base!J113,IF('1-ABA-DE-CARREGAMENTO'!$C$14 = "SAO-BORJA ",Insumos_Base!L113,0)))</f>
        <v>0</v>
      </c>
      <c r="H104" s="548">
        <f>IF('1-ABA-DE-CARREGAMENTO'!$C$14 = "SANTO-AUGUSTO ",Insumos_Base!I113,IF('1-ABA-DE-CARREGAMENTO'!$C$14 = "SAO-VICENTE-DO-SUL",Insumos_Base!K113,IF('1-ABA-DE-CARREGAMENTO'!$C$14 = "SAO-BORJA ",Insumos_Base!M113,0)))</f>
        <v>0</v>
      </c>
      <c r="I104" s="528" t="s">
        <v>351</v>
      </c>
    </row>
    <row r="105" spans="1:9" ht="15.75" customHeight="1">
      <c r="A105" s="535">
        <v>16</v>
      </c>
      <c r="B105" s="535" t="str">
        <f>Insumos_Base!B114</f>
        <v>Luva anticorte e tatil, confeccionada em material sintético, alta durabilidade, uso profissional operacional.</v>
      </c>
      <c r="C105" s="535" t="str">
        <f>Insumos_Base!C114</f>
        <v>Par</v>
      </c>
      <c r="D105" s="549">
        <f>Insumos_Base!D114</f>
        <v>19.223333329999999</v>
      </c>
      <c r="E105" s="550">
        <f t="shared" si="4"/>
        <v>0</v>
      </c>
      <c r="F105" s="551">
        <f t="shared" si="5"/>
        <v>0</v>
      </c>
      <c r="G105" s="552">
        <f>IF('1-ABA-DE-CARREGAMENTO'!$C$14 = "SANTO-AUGUSTO ",Insumos_Base!H114,IF('1-ABA-DE-CARREGAMENTO'!$C$14 = "SAO-VICENTE-DO-SUL",Insumos_Base!J114,IF('1-ABA-DE-CARREGAMENTO'!$C$14 = "SAO-BORJA ",Insumos_Base!L114,0)))</f>
        <v>0</v>
      </c>
      <c r="H105" s="552">
        <f>IF('1-ABA-DE-CARREGAMENTO'!$C$14 = "SANTO-AUGUSTO ",Insumos_Base!I114,IF('1-ABA-DE-CARREGAMENTO'!$C$14 = "SAO-VICENTE-DO-SUL",Insumos_Base!K114,IF('1-ABA-DE-CARREGAMENTO'!$C$14 = "SAO-BORJA ",Insumos_Base!M114,0)))</f>
        <v>0</v>
      </c>
      <c r="I105" s="535" t="s">
        <v>351</v>
      </c>
    </row>
    <row r="106" spans="1:9" ht="15.75" customHeight="1">
      <c r="A106" s="528">
        <v>17</v>
      </c>
      <c r="B106" s="528" t="str">
        <f>Insumos_Base!B115</f>
        <v>Avental para roçadeira, raspa de couro, ajustável, uso profissional operacional.</v>
      </c>
      <c r="C106" s="528" t="str">
        <f>Insumos_Base!C115</f>
        <v>Unidade</v>
      </c>
      <c r="D106" s="545">
        <f>Insumos_Base!D115</f>
        <v>47.76</v>
      </c>
      <c r="E106" s="546">
        <f t="shared" si="4"/>
        <v>0</v>
      </c>
      <c r="F106" s="547">
        <f t="shared" si="5"/>
        <v>0</v>
      </c>
      <c r="G106" s="548">
        <f>IF('1-ABA-DE-CARREGAMENTO'!$C$14 = "SANTO-AUGUSTO ",Insumos_Base!H115,IF('1-ABA-DE-CARREGAMENTO'!$C$14 = "SAO-VICENTE-DO-SUL",Insumos_Base!J115,IF('1-ABA-DE-CARREGAMENTO'!$C$14 = "SAO-BORJA ",Insumos_Base!L115,0)))</f>
        <v>0</v>
      </c>
      <c r="H106" s="548">
        <f>IF('1-ABA-DE-CARREGAMENTO'!$C$14 = "SANTO-AUGUSTO ",Insumos_Base!I115,IF('1-ABA-DE-CARREGAMENTO'!$C$14 = "SAO-VICENTE-DO-SUL",Insumos_Base!K115,IF('1-ABA-DE-CARREGAMENTO'!$C$14 = "SAO-BORJA ",Insumos_Base!M115,0)))</f>
        <v>0</v>
      </c>
      <c r="I106" s="528" t="s">
        <v>351</v>
      </c>
    </row>
    <row r="107" spans="1:9" ht="15.75" customHeight="1">
      <c r="A107" s="535">
        <v>18</v>
      </c>
      <c r="B107" s="535" t="str">
        <f>Insumos_Base!B116</f>
        <v>Protetor facial de tela, com coroa e carneira em material plástico, com regulagem de tamanho, uso profissional operacional.</v>
      </c>
      <c r="C107" s="535" t="str">
        <f>Insumos_Base!C116</f>
        <v>Unidade</v>
      </c>
      <c r="D107" s="549">
        <f>Insumos_Base!D116</f>
        <v>30.72666667</v>
      </c>
      <c r="E107" s="550">
        <f t="shared" si="4"/>
        <v>0</v>
      </c>
      <c r="F107" s="551">
        <f t="shared" si="5"/>
        <v>0</v>
      </c>
      <c r="G107" s="552">
        <f>IF('1-ABA-DE-CARREGAMENTO'!$C$14 = "SANTO-AUGUSTO ",Insumos_Base!H116,IF('1-ABA-DE-CARREGAMENTO'!$C$14 = "SAO-VICENTE-DO-SUL",Insumos_Base!J116,IF('1-ABA-DE-CARREGAMENTO'!$C$14 = "SAO-BORJA ",Insumos_Base!L116,0)))</f>
        <v>0</v>
      </c>
      <c r="H107" s="552">
        <f>IF('1-ABA-DE-CARREGAMENTO'!$C$14 = "SANTO-AUGUSTO ",Insumos_Base!I116,IF('1-ABA-DE-CARREGAMENTO'!$C$14 = "SAO-VICENTE-DO-SUL",Insumos_Base!K116,IF('1-ABA-DE-CARREGAMENTO'!$C$14 = "SAO-BORJA ",Insumos_Base!M116,0)))</f>
        <v>0</v>
      </c>
      <c r="I107" s="535" t="s">
        <v>351</v>
      </c>
    </row>
    <row r="108" spans="1:9" ht="15.75" customHeight="1">
      <c r="A108" s="528">
        <v>19</v>
      </c>
      <c r="B108" s="528" t="str">
        <f>Insumos_Base!B117</f>
        <v>Protetor solar 120ml/120g, com no mínimo fps 60</v>
      </c>
      <c r="C108" s="528" t="str">
        <f>Insumos_Base!C117</f>
        <v>unidade</v>
      </c>
      <c r="D108" s="545">
        <f>Insumos_Base!D117</f>
        <v>26.393333330000001</v>
      </c>
      <c r="E108" s="546">
        <f t="shared" si="4"/>
        <v>0</v>
      </c>
      <c r="F108" s="547">
        <f t="shared" si="5"/>
        <v>0</v>
      </c>
      <c r="G108" s="548">
        <f>IF('1-ABA-DE-CARREGAMENTO'!$C$14 = "SANTO-AUGUSTO ",Insumos_Base!H117,IF('1-ABA-DE-CARREGAMENTO'!$C$14 = "SAO-VICENTE-DO-SUL",Insumos_Base!J117,IF('1-ABA-DE-CARREGAMENTO'!$C$14 = "SAO-BORJA ",Insumos_Base!L117,0)))</f>
        <v>0</v>
      </c>
      <c r="H108" s="548">
        <f>IF('1-ABA-DE-CARREGAMENTO'!$C$14 = "SANTO-AUGUSTO ",Insumos_Base!I117,IF('1-ABA-DE-CARREGAMENTO'!$C$14 = "SAO-VICENTE-DO-SUL",Insumos_Base!K117,IF('1-ABA-DE-CARREGAMENTO'!$C$14 = "SAO-BORJA ",Insumos_Base!M117,0)))</f>
        <v>0</v>
      </c>
      <c r="I108" s="528" t="s">
        <v>351</v>
      </c>
    </row>
    <row r="109" spans="1:9" ht="15.75" customHeight="1">
      <c r="A109" s="535">
        <v>20</v>
      </c>
      <c r="B109" s="535" t="str">
        <f>Insumos_Base!B118</f>
        <v>Capacete de segurança com jugular, uso profissional operacional.</v>
      </c>
      <c r="C109" s="535" t="str">
        <f>Insumos_Base!C118</f>
        <v>Unidade</v>
      </c>
      <c r="D109" s="549">
        <f>Insumos_Base!D118</f>
        <v>56.79</v>
      </c>
      <c r="E109" s="550">
        <f t="shared" si="4"/>
        <v>0</v>
      </c>
      <c r="F109" s="551">
        <f t="shared" si="5"/>
        <v>0</v>
      </c>
      <c r="G109" s="552">
        <f>IF('1-ABA-DE-CARREGAMENTO'!$C$14 = "SANTO-AUGUSTO ",Insumos_Base!H118,IF('1-ABA-DE-CARREGAMENTO'!$C$14 = "SAO-VICENTE-DO-SUL",Insumos_Base!J118,IF('1-ABA-DE-CARREGAMENTO'!$C$14 = "SAO-BORJA ",Insumos_Base!L118,0)))</f>
        <v>0</v>
      </c>
      <c r="H109" s="552">
        <f>IF('1-ABA-DE-CARREGAMENTO'!$C$14 = "SANTO-AUGUSTO ",Insumos_Base!I118,IF('1-ABA-DE-CARREGAMENTO'!$C$14 = "SAO-VICENTE-DO-SUL",Insumos_Base!K118,IF('1-ABA-DE-CARREGAMENTO'!$C$14 = "SAO-BORJA ",Insumos_Base!M118,0)))</f>
        <v>0</v>
      </c>
      <c r="I109" s="535" t="s">
        <v>351</v>
      </c>
    </row>
    <row r="110" spans="1:9" ht="15.75" customHeight="1">
      <c r="A110" s="1052" t="s">
        <v>352</v>
      </c>
      <c r="B110" s="1009"/>
      <c r="C110" s="1009"/>
      <c r="D110" s="1010"/>
      <c r="E110" s="1053">
        <f>IFERROR(SUM(F90:F107)/('PROPOSTA DO SERVIÇO'!E17),0)</f>
        <v>0</v>
      </c>
      <c r="F110" s="1009"/>
      <c r="G110" s="1009"/>
      <c r="H110" s="1009"/>
      <c r="I110" s="1030"/>
    </row>
    <row r="111" spans="1:9" ht="15.75" customHeight="1">
      <c r="A111" s="1"/>
      <c r="B111" s="1"/>
      <c r="C111" s="1"/>
      <c r="D111" s="1"/>
      <c r="E111" s="1"/>
      <c r="F111" s="1"/>
      <c r="G111" s="1"/>
      <c r="H111" s="1"/>
      <c r="I111" s="1"/>
    </row>
    <row r="112" spans="1:9" ht="15.75" customHeight="1">
      <c r="A112" s="1055" t="s">
        <v>358</v>
      </c>
      <c r="B112" s="1009"/>
      <c r="C112" s="1009"/>
      <c r="D112" s="1009"/>
      <c r="E112" s="1009"/>
      <c r="F112" s="1009"/>
      <c r="G112" s="1009"/>
      <c r="H112" s="1009"/>
      <c r="I112" s="1010"/>
    </row>
    <row r="113" spans="1:9" ht="15.75" customHeight="1">
      <c r="A113" s="544" t="s">
        <v>344</v>
      </c>
      <c r="B113" s="544" t="s">
        <v>345</v>
      </c>
      <c r="C113" s="544" t="s">
        <v>346</v>
      </c>
      <c r="D113" s="544" t="s">
        <v>354</v>
      </c>
      <c r="E113" s="544" t="s">
        <v>348</v>
      </c>
      <c r="F113" s="544" t="s">
        <v>349</v>
      </c>
      <c r="G113" s="1056" t="s">
        <v>355</v>
      </c>
      <c r="H113" s="1009"/>
      <c r="I113" s="1010"/>
    </row>
    <row r="114" spans="1:9" ht="15.75" customHeight="1">
      <c r="A114" s="528">
        <v>1</v>
      </c>
      <c r="B114" s="528" t="str">
        <f>Insumos_Base!B123</f>
        <v>Soprador gasolina (forte): 3HP (mínimo), gasolina/óleo 2 tempos, 63 cc (mínimo), acompanha soquete, dosador de combustível, cinto e braçadeiras.</v>
      </c>
      <c r="C114" s="528" t="str">
        <f>Insumos_Base!C123</f>
        <v>Unidade</v>
      </c>
      <c r="D114" s="545">
        <f>Insumos_Base!D123</f>
        <v>1473.896667</v>
      </c>
      <c r="E114" s="546">
        <f t="shared" ref="E114:E127" si="6">IFERROR(G114/H114,0)</f>
        <v>0</v>
      </c>
      <c r="F114" s="547">
        <f t="shared" ref="F114:F127" si="7">E114*D114</f>
        <v>0</v>
      </c>
      <c r="G114" s="548">
        <f>IF('1-ABA-DE-CARREGAMENTO'!$C$14 = "SANTO-AUGUSTO ",Insumos_Base!E123,IF('1-ABA-DE-CARREGAMENTO'!$C$14 = "SAO-VICENTE-DO-SUL",Insumos_Base!F123,IF('1-ABA-DE-CARREGAMENTO'!$C$14 = "SAO-BORJA ",Insumos_Base!G123,0)))</f>
        <v>0</v>
      </c>
      <c r="H114" s="548">
        <f>Insumos_Base!H123</f>
        <v>30</v>
      </c>
      <c r="I114" s="528" t="s">
        <v>351</v>
      </c>
    </row>
    <row r="115" spans="1:9" ht="15.75" customHeight="1">
      <c r="A115" s="535">
        <v>2</v>
      </c>
      <c r="B115" s="535" t="str">
        <f>Insumos_Base!B124</f>
        <v>Máquina cortar grama gasolina, 6HP (mínimo) sem sistema de recolhimento.</v>
      </c>
      <c r="C115" s="535" t="str">
        <f>Insumos_Base!C124</f>
        <v>Unidade</v>
      </c>
      <c r="D115" s="549">
        <f>Insumos_Base!D124</f>
        <v>2272.5166669999999</v>
      </c>
      <c r="E115" s="550">
        <f t="shared" si="6"/>
        <v>0</v>
      </c>
      <c r="F115" s="551">
        <f t="shared" si="7"/>
        <v>0</v>
      </c>
      <c r="G115" s="552">
        <f>IF('1-ABA-DE-CARREGAMENTO'!$C$14 = "SANTO-AUGUSTO ",Insumos_Base!E124,IF('1-ABA-DE-CARREGAMENTO'!$C$14 = "SAO-VICENTE-DO-SUL",Insumos_Base!F124,IF('1-ABA-DE-CARREGAMENTO'!$C$14 = "SAO-BORJA ",Insumos_Base!G124,0)))</f>
        <v>0</v>
      </c>
      <c r="H115" s="552">
        <f>Insumos_Base!H124</f>
        <v>30</v>
      </c>
      <c r="I115" s="535" t="s">
        <v>351</v>
      </c>
    </row>
    <row r="116" spans="1:9" ht="15.75" customHeight="1">
      <c r="A116" s="528">
        <v>3</v>
      </c>
      <c r="B116" s="528" t="str">
        <f>Insumos_Base!B125</f>
        <v>Roçadeira à gasolina, no mínimo 62 cc, 2 tempos, acompanha cortador de nylon, lâmina de 3 pontas, protetor de grama, galão medidor. USO LATERAL</v>
      </c>
      <c r="C116" s="528" t="str">
        <f>Insumos_Base!C125</f>
        <v>Unidade</v>
      </c>
      <c r="D116" s="545">
        <f>Insumos_Base!D125</f>
        <v>1136.086667</v>
      </c>
      <c r="E116" s="546">
        <f t="shared" si="6"/>
        <v>0</v>
      </c>
      <c r="F116" s="547">
        <f t="shared" si="7"/>
        <v>0</v>
      </c>
      <c r="G116" s="548">
        <f>IF('1-ABA-DE-CARREGAMENTO'!$C$14 = "SANTO-AUGUSTO ",Insumos_Base!E125,IF('1-ABA-DE-CARREGAMENTO'!$C$14 = "SAO-VICENTE-DO-SUL",Insumos_Base!F125,IF('1-ABA-DE-CARREGAMENTO'!$C$14 = "SAO-BORJA ",Insumos_Base!G125,0)))</f>
        <v>0</v>
      </c>
      <c r="H116" s="548">
        <f>Insumos_Base!H125</f>
        <v>30</v>
      </c>
      <c r="I116" s="528" t="s">
        <v>351</v>
      </c>
    </row>
    <row r="117" spans="1:9" ht="15.75" customHeight="1">
      <c r="A117" s="535">
        <v>4</v>
      </c>
      <c r="B117" s="535" t="str">
        <f>Insumos_Base!B126</f>
        <v>Conjunto de tesouras para poda, 3 peças, 1 tesoura para grama e cerca - 56 cm, 1 tesoura para poda 50 cm e 1 tesoura para jardim 19 cm,</v>
      </c>
      <c r="C117" s="535" t="str">
        <f>Insumos_Base!C126</f>
        <v>Conjunto</v>
      </c>
      <c r="D117" s="549">
        <f>Insumos_Base!D126</f>
        <v>146.5466667</v>
      </c>
      <c r="E117" s="550">
        <f t="shared" si="6"/>
        <v>0</v>
      </c>
      <c r="F117" s="551">
        <f t="shared" si="7"/>
        <v>0</v>
      </c>
      <c r="G117" s="552">
        <f>IF('1-ABA-DE-CARREGAMENTO'!$C$14 = "SANTO-AUGUSTO ",Insumos_Base!E126,IF('1-ABA-DE-CARREGAMENTO'!$C$14 = "SAO-VICENTE-DO-SUL",Insumos_Base!F126,IF('1-ABA-DE-CARREGAMENTO'!$C$14 = "SAO-BORJA ",Insumos_Base!G126,0)))</f>
        <v>0</v>
      </c>
      <c r="H117" s="552">
        <f>Insumos_Base!H126</f>
        <v>30</v>
      </c>
      <c r="I117" s="535" t="s">
        <v>351</v>
      </c>
    </row>
    <row r="118" spans="1:9" ht="15.75" customHeight="1">
      <c r="A118" s="528">
        <v>5</v>
      </c>
      <c r="B118" s="528" t="str">
        <f>Insumos_Base!B127</f>
        <v>Podadeira de altura à gasolina, no mínimo 43 cc, 2 tempos, acompanha utensílios e ferramentas.</v>
      </c>
      <c r="C118" s="528" t="str">
        <f>Insumos_Base!C127</f>
        <v>Unidade</v>
      </c>
      <c r="D118" s="545">
        <f>Insumos_Base!D127</f>
        <v>1612.603333</v>
      </c>
      <c r="E118" s="546">
        <f t="shared" si="6"/>
        <v>0</v>
      </c>
      <c r="F118" s="547">
        <f t="shared" si="7"/>
        <v>0</v>
      </c>
      <c r="G118" s="548">
        <f>IF('1-ABA-DE-CARREGAMENTO'!$C$14 = "SANTO-AUGUSTO ",Insumos_Base!E127,IF('1-ABA-DE-CARREGAMENTO'!$C$14 = "SAO-VICENTE-DO-SUL",Insumos_Base!F127,IF('1-ABA-DE-CARREGAMENTO'!$C$14 = "SAO-BORJA ",Insumos_Base!G127,0)))</f>
        <v>0</v>
      </c>
      <c r="H118" s="548">
        <f>Insumos_Base!H127</f>
        <v>30</v>
      </c>
      <c r="I118" s="528" t="s">
        <v>351</v>
      </c>
    </row>
    <row r="119" spans="1:9" ht="15.75" customHeight="1">
      <c r="A119" s="535">
        <v>6</v>
      </c>
      <c r="B119" s="535" t="str">
        <f>Insumos_Base!B128</f>
        <v>Facão de mão para mato, lâmina de 22", aço, punho em plástico, acompanha estojo.</v>
      </c>
      <c r="C119" s="535" t="str">
        <f>Insumos_Base!C128</f>
        <v>Unidade</v>
      </c>
      <c r="D119" s="549">
        <f>Insumos_Base!D128</f>
        <v>37.033333329999998</v>
      </c>
      <c r="E119" s="550">
        <f t="shared" si="6"/>
        <v>0</v>
      </c>
      <c r="F119" s="551">
        <f t="shared" si="7"/>
        <v>0</v>
      </c>
      <c r="G119" s="552">
        <f>IF('1-ABA-DE-CARREGAMENTO'!$C$14 = "SANTO-AUGUSTO ",Insumos_Base!E128,IF('1-ABA-DE-CARREGAMENTO'!$C$14 = "SAO-VICENTE-DO-SUL",Insumos_Base!F128,IF('1-ABA-DE-CARREGAMENTO'!$C$14 = "SAO-BORJA ",Insumos_Base!G128,0)))</f>
        <v>0</v>
      </c>
      <c r="H119" s="552">
        <f>Insumos_Base!H128</f>
        <v>30</v>
      </c>
      <c r="I119" s="535" t="s">
        <v>351</v>
      </c>
    </row>
    <row r="120" spans="1:9" ht="15.75" customHeight="1">
      <c r="A120" s="528">
        <v>7</v>
      </c>
      <c r="B120" s="528" t="str">
        <f>Insumos_Base!B129</f>
        <v>Carrinho de mão, caçamba aço 26, capacidade 45 litros, pneu com câmera 3,25x8mm.</v>
      </c>
      <c r="C120" s="528" t="str">
        <f>Insumos_Base!C129</f>
        <v>Unidade</v>
      </c>
      <c r="D120" s="545">
        <f>Insumos_Base!D129</f>
        <v>228.2966667</v>
      </c>
      <c r="E120" s="546">
        <f t="shared" si="6"/>
        <v>0</v>
      </c>
      <c r="F120" s="547">
        <f t="shared" si="7"/>
        <v>0</v>
      </c>
      <c r="G120" s="548">
        <f>IF('1-ABA-DE-CARREGAMENTO'!$C$14 = "SANTO-AUGUSTO ",Insumos_Base!E129,IF('1-ABA-DE-CARREGAMENTO'!$C$14 = "SAO-VICENTE-DO-SUL",Insumos_Base!F129,IF('1-ABA-DE-CARREGAMENTO'!$C$14 = "SAO-BORJA ",Insumos_Base!G129,0)))</f>
        <v>0</v>
      </c>
      <c r="H120" s="548">
        <f>Insumos_Base!H129</f>
        <v>30</v>
      </c>
      <c r="I120" s="528" t="s">
        <v>351</v>
      </c>
    </row>
    <row r="121" spans="1:9" ht="15.75" customHeight="1">
      <c r="A121" s="535">
        <v>8</v>
      </c>
      <c r="B121" s="535" t="str">
        <f>Insumos_Base!B130</f>
        <v>Rastel de aço para grama, 18 arames, cabo madeira.</v>
      </c>
      <c r="C121" s="535" t="str">
        <f>Insumos_Base!C130</f>
        <v>Unidade</v>
      </c>
      <c r="D121" s="549">
        <f>Insumos_Base!D130</f>
        <v>41.136666669999997</v>
      </c>
      <c r="E121" s="550">
        <f t="shared" si="6"/>
        <v>0</v>
      </c>
      <c r="F121" s="551">
        <f t="shared" si="7"/>
        <v>0</v>
      </c>
      <c r="G121" s="552">
        <f>IF('1-ABA-DE-CARREGAMENTO'!$C$14 = "SANTO-AUGUSTO ",Insumos_Base!E130,IF('1-ABA-DE-CARREGAMENTO'!$C$14 = "SAO-VICENTE-DO-SUL",Insumos_Base!F130,IF('1-ABA-DE-CARREGAMENTO'!$C$14 = "SAO-BORJA ",Insumos_Base!G130,0)))</f>
        <v>0</v>
      </c>
      <c r="H121" s="552">
        <f>Insumos_Base!H130</f>
        <v>30</v>
      </c>
      <c r="I121" s="535" t="s">
        <v>351</v>
      </c>
    </row>
    <row r="122" spans="1:9" ht="15.75" customHeight="1">
      <c r="A122" s="528">
        <v>9</v>
      </c>
      <c r="B122" s="528" t="str">
        <f>Insumos_Base!B131</f>
        <v>Conjunto de jardinagem 3 peças: 1 pazinha larga, 1 pazinha estreita e 1 ancinho 3 dentes, cabo madeira, lâmina aço.</v>
      </c>
      <c r="C122" s="528" t="str">
        <f>Insumos_Base!C131</f>
        <v>Conjunto</v>
      </c>
      <c r="D122" s="545">
        <f>Insumos_Base!D131</f>
        <v>28.93</v>
      </c>
      <c r="E122" s="546">
        <f t="shared" si="6"/>
        <v>0</v>
      </c>
      <c r="F122" s="547">
        <f t="shared" si="7"/>
        <v>0</v>
      </c>
      <c r="G122" s="548">
        <f>IF('1-ABA-DE-CARREGAMENTO'!$C$14 = "SANTO-AUGUSTO ",Insumos_Base!E131,IF('1-ABA-DE-CARREGAMENTO'!$C$14 = "SAO-VICENTE-DO-SUL",Insumos_Base!F131,IF('1-ABA-DE-CARREGAMENTO'!$C$14 = "SAO-BORJA ",Insumos_Base!G131,0)))</f>
        <v>0</v>
      </c>
      <c r="H122" s="548">
        <f>Insumos_Base!H131</f>
        <v>30</v>
      </c>
      <c r="I122" s="528" t="s">
        <v>351</v>
      </c>
    </row>
    <row r="123" spans="1:9" ht="15.75" customHeight="1">
      <c r="A123" s="535">
        <v>10</v>
      </c>
      <c r="B123" s="535" t="str">
        <f>Insumos_Base!B132</f>
        <v>Pá de bico, cabo de madeira 120 cm, lâmina aço.</v>
      </c>
      <c r="C123" s="535" t="str">
        <f>Insumos_Base!C132</f>
        <v>Unidade</v>
      </c>
      <c r="D123" s="549">
        <f>Insumos_Base!D132</f>
        <v>55.95</v>
      </c>
      <c r="E123" s="550">
        <f t="shared" si="6"/>
        <v>0</v>
      </c>
      <c r="F123" s="551">
        <f t="shared" si="7"/>
        <v>0</v>
      </c>
      <c r="G123" s="552">
        <f>IF('1-ABA-DE-CARREGAMENTO'!$C$14 = "SANTO-AUGUSTO ",Insumos_Base!E132,IF('1-ABA-DE-CARREGAMENTO'!$C$14 = "SAO-VICENTE-DO-SUL",Insumos_Base!F132,IF('1-ABA-DE-CARREGAMENTO'!$C$14 = "SAO-BORJA ",Insumos_Base!G132,0)))</f>
        <v>0</v>
      </c>
      <c r="H123" s="552">
        <f>Insumos_Base!H132</f>
        <v>30</v>
      </c>
      <c r="I123" s="535" t="s">
        <v>351</v>
      </c>
    </row>
    <row r="124" spans="1:9" ht="15.75" customHeight="1">
      <c r="A124" s="528">
        <v>11</v>
      </c>
      <c r="B124" s="528" t="str">
        <f>Insumos_Base!B133</f>
        <v>Regador, capacidade de 10 litros, polipropileno.</v>
      </c>
      <c r="C124" s="528" t="str">
        <f>Insumos_Base!C133</f>
        <v>Unidade</v>
      </c>
      <c r="D124" s="545">
        <f>Insumos_Base!D133</f>
        <v>30.42</v>
      </c>
      <c r="E124" s="546">
        <f t="shared" si="6"/>
        <v>0</v>
      </c>
      <c r="F124" s="547">
        <f t="shared" si="7"/>
        <v>0</v>
      </c>
      <c r="G124" s="548">
        <f>IF('1-ABA-DE-CARREGAMENTO'!$C$14 = "SANTO-AUGUSTO ",Insumos_Base!E133,IF('1-ABA-DE-CARREGAMENTO'!$C$14 = "SAO-VICENTE-DO-SUL",Insumos_Base!F133,IF('1-ABA-DE-CARREGAMENTO'!$C$14 = "SAO-BORJA ",Insumos_Base!G133,0)))</f>
        <v>0</v>
      </c>
      <c r="H124" s="548">
        <f>Insumos_Base!H133</f>
        <v>30</v>
      </c>
      <c r="I124" s="528" t="s">
        <v>351</v>
      </c>
    </row>
    <row r="125" spans="1:9" ht="15.75" customHeight="1">
      <c r="A125" s="535">
        <v>12</v>
      </c>
      <c r="B125" s="535" t="str">
        <f>Insumos_Base!B134</f>
        <v>Ancinho reforçado, curvo, 12 dentes, cabo de madeira, lâmina aço.</v>
      </c>
      <c r="C125" s="535" t="str">
        <f>Insumos_Base!C134</f>
        <v>Unidade</v>
      </c>
      <c r="D125" s="549">
        <f>Insumos_Base!D134</f>
        <v>29.883333329999999</v>
      </c>
      <c r="E125" s="550">
        <f t="shared" si="6"/>
        <v>0</v>
      </c>
      <c r="F125" s="551">
        <f t="shared" si="7"/>
        <v>0</v>
      </c>
      <c r="G125" s="552">
        <f>IF('1-ABA-DE-CARREGAMENTO'!$C$14 = "SANTO-AUGUSTO ",Insumos_Base!E134,IF('1-ABA-DE-CARREGAMENTO'!$C$14 = "SAO-VICENTE-DO-SUL",Insumos_Base!F134,IF('1-ABA-DE-CARREGAMENTO'!$C$14 = "SAO-BORJA ",Insumos_Base!G134,0)))</f>
        <v>0</v>
      </c>
      <c r="H125" s="552">
        <f>Insumos_Base!H134</f>
        <v>30</v>
      </c>
      <c r="I125" s="535" t="s">
        <v>351</v>
      </c>
    </row>
    <row r="126" spans="1:9" ht="15.75" customHeight="1">
      <c r="A126" s="528">
        <v>13</v>
      </c>
      <c r="B126" s="528" t="str">
        <f>Insumos_Base!B135</f>
        <v>Enxada 2,5 LB, cabo de madeira, lâmina em aço.</v>
      </c>
      <c r="C126" s="528" t="str">
        <f>Insumos_Base!C135</f>
        <v>Unidade</v>
      </c>
      <c r="D126" s="545">
        <f>Insumos_Base!D135</f>
        <v>67.703333330000007</v>
      </c>
      <c r="E126" s="546">
        <f t="shared" si="6"/>
        <v>0</v>
      </c>
      <c r="F126" s="547">
        <f t="shared" si="7"/>
        <v>0</v>
      </c>
      <c r="G126" s="548">
        <f>IF('1-ABA-DE-CARREGAMENTO'!$C$14 = "SANTO-AUGUSTO ",Insumos_Base!E135,IF('1-ABA-DE-CARREGAMENTO'!$C$14 = "SAO-VICENTE-DO-SUL",Insumos_Base!F135,IF('1-ABA-DE-CARREGAMENTO'!$C$14 = "SAO-BORJA ",Insumos_Base!G135,0)))</f>
        <v>0</v>
      </c>
      <c r="H126" s="548">
        <f>Insumos_Base!H135</f>
        <v>30</v>
      </c>
      <c r="I126" s="528" t="s">
        <v>351</v>
      </c>
    </row>
    <row r="127" spans="1:9" ht="15.75" customHeight="1">
      <c r="A127" s="535">
        <v>14</v>
      </c>
      <c r="B127" s="535" t="str">
        <f>Insumos_Base!B136</f>
        <v>Sacho duas pontas, cabo de madeira de 60 cm, lâmina aço.</v>
      </c>
      <c r="C127" s="535" t="str">
        <f>Insumos_Base!C136</f>
        <v>Unidade</v>
      </c>
      <c r="D127" s="549">
        <f>Insumos_Base!D136</f>
        <v>46.926666670000003</v>
      </c>
      <c r="E127" s="550">
        <f t="shared" si="6"/>
        <v>0</v>
      </c>
      <c r="F127" s="551">
        <f t="shared" si="7"/>
        <v>0</v>
      </c>
      <c r="G127" s="552">
        <f>IF('1-ABA-DE-CARREGAMENTO'!$C$14 = "SANTO-AUGUSTO ",Insumos_Base!E136,IF('1-ABA-DE-CARREGAMENTO'!$C$14 = "SAO-VICENTE-DO-SUL",Insumos_Base!F136,IF('1-ABA-DE-CARREGAMENTO'!$C$14 = "SAO-BORJA ",Insumos_Base!G136,0)))</f>
        <v>0</v>
      </c>
      <c r="H127" s="552">
        <f>Insumos_Base!H136</f>
        <v>30</v>
      </c>
      <c r="I127" s="535" t="s">
        <v>351</v>
      </c>
    </row>
    <row r="128" spans="1:9" ht="15.75" customHeight="1">
      <c r="A128" s="1052" t="s">
        <v>352</v>
      </c>
      <c r="B128" s="1009"/>
      <c r="C128" s="1009"/>
      <c r="D128" s="1010"/>
      <c r="E128" s="1053">
        <f>IFERROR(SUM(F114:F127)/('PROPOSTA DO SERVIÇO'!E17),0)</f>
        <v>0</v>
      </c>
      <c r="F128" s="1009"/>
      <c r="G128" s="1009"/>
      <c r="H128" s="1009"/>
      <c r="I128" s="1030"/>
    </row>
    <row r="129" spans="1:9" ht="15.75" customHeight="1">
      <c r="A129" s="1"/>
      <c r="B129" s="1"/>
      <c r="C129" s="1"/>
      <c r="D129" s="1"/>
      <c r="E129" s="1"/>
      <c r="F129" s="1"/>
      <c r="G129" s="1"/>
      <c r="H129" s="1"/>
      <c r="I129" s="1"/>
    </row>
    <row r="130" spans="1:9" ht="15.75" customHeight="1">
      <c r="A130" s="1"/>
      <c r="B130" s="1"/>
      <c r="C130" s="1"/>
      <c r="D130" s="1"/>
      <c r="E130" s="1"/>
      <c r="F130" s="1"/>
      <c r="G130" s="1"/>
      <c r="H130" s="1"/>
      <c r="I130" s="1"/>
    </row>
    <row r="131" spans="1:9" ht="15.75" customHeight="1">
      <c r="A131" s="1"/>
      <c r="B131" s="1"/>
      <c r="C131" s="1"/>
      <c r="D131" s="1"/>
      <c r="E131" s="1"/>
      <c r="F131" s="1"/>
      <c r="G131" s="1"/>
      <c r="H131" s="1"/>
      <c r="I131" s="1"/>
    </row>
    <row r="132" spans="1:9" ht="15.75" customHeight="1">
      <c r="A132" s="1"/>
      <c r="B132" s="1"/>
      <c r="C132" s="1"/>
      <c r="D132" s="1"/>
      <c r="E132" s="1"/>
      <c r="F132" s="1"/>
      <c r="G132" s="1"/>
      <c r="H132" s="1"/>
      <c r="I132" s="1"/>
    </row>
    <row r="133" spans="1:9" ht="15.75" customHeight="1">
      <c r="A133" s="1"/>
      <c r="B133" s="1"/>
      <c r="C133" s="1"/>
      <c r="D133" s="1"/>
      <c r="E133" s="1"/>
      <c r="F133" s="1"/>
      <c r="G133" s="1"/>
      <c r="H133" s="1"/>
      <c r="I133" s="1"/>
    </row>
    <row r="134" spans="1:9" ht="15.75" customHeight="1">
      <c r="A134" s="1"/>
      <c r="B134" s="1"/>
      <c r="C134" s="1"/>
      <c r="D134" s="1"/>
      <c r="E134" s="1"/>
      <c r="F134" s="1"/>
      <c r="G134" s="1"/>
      <c r="H134" s="1"/>
      <c r="I134" s="1"/>
    </row>
    <row r="135" spans="1:9" ht="15.75" customHeight="1">
      <c r="A135" s="1"/>
      <c r="B135" s="1"/>
      <c r="C135" s="1"/>
      <c r="D135" s="1"/>
      <c r="E135" s="1"/>
      <c r="F135" s="1"/>
      <c r="G135" s="1"/>
      <c r="H135" s="1"/>
      <c r="I135" s="1"/>
    </row>
    <row r="136" spans="1:9" ht="15.75" customHeight="1">
      <c r="A136" s="1"/>
      <c r="B136" s="1"/>
      <c r="C136" s="1"/>
      <c r="D136" s="1"/>
      <c r="E136" s="1"/>
      <c r="F136" s="1"/>
      <c r="G136" s="1"/>
      <c r="H136" s="1"/>
      <c r="I136" s="1"/>
    </row>
    <row r="137" spans="1:9" ht="15.75" customHeight="1">
      <c r="A137" s="1"/>
      <c r="B137" s="1"/>
      <c r="C137" s="1"/>
      <c r="D137" s="1"/>
      <c r="E137" s="1"/>
      <c r="F137" s="1"/>
      <c r="G137" s="1"/>
      <c r="H137" s="1"/>
      <c r="I137" s="1"/>
    </row>
    <row r="138" spans="1:9" ht="15.75" customHeight="1">
      <c r="A138" s="1"/>
      <c r="B138" s="1"/>
      <c r="C138" s="1"/>
      <c r="D138" s="1"/>
      <c r="E138" s="1"/>
      <c r="F138" s="1"/>
      <c r="G138" s="1"/>
      <c r="H138" s="1"/>
      <c r="I138" s="1"/>
    </row>
    <row r="139" spans="1:9" ht="15.75" customHeight="1">
      <c r="A139" s="1"/>
      <c r="B139" s="1"/>
      <c r="C139" s="1"/>
      <c r="D139" s="1"/>
      <c r="E139" s="1"/>
      <c r="F139" s="1"/>
      <c r="G139" s="1"/>
      <c r="H139" s="1"/>
      <c r="I139" s="1"/>
    </row>
    <row r="140" spans="1:9" ht="15.75" customHeight="1">
      <c r="A140" s="1"/>
      <c r="B140" s="1"/>
      <c r="C140" s="1"/>
      <c r="D140" s="1"/>
      <c r="E140" s="1"/>
      <c r="F140" s="1"/>
      <c r="G140" s="1"/>
      <c r="H140" s="1"/>
      <c r="I140" s="1"/>
    </row>
    <row r="141" spans="1:9" ht="15.75" customHeight="1">
      <c r="A141" s="1"/>
      <c r="B141" s="1"/>
      <c r="C141" s="1"/>
      <c r="D141" s="1"/>
      <c r="E141" s="1"/>
      <c r="F141" s="1"/>
      <c r="G141" s="1"/>
      <c r="H141" s="1"/>
      <c r="I141" s="1"/>
    </row>
    <row r="142" spans="1:9" ht="15.75" customHeight="1">
      <c r="A142" s="1"/>
      <c r="B142" s="1"/>
      <c r="C142" s="1"/>
      <c r="D142" s="1"/>
      <c r="E142" s="1"/>
      <c r="F142" s="1"/>
      <c r="G142" s="1"/>
      <c r="H142" s="1"/>
      <c r="I142" s="1"/>
    </row>
    <row r="143" spans="1:9" ht="15.75" customHeight="1">
      <c r="A143" s="1"/>
      <c r="B143" s="1"/>
      <c r="C143" s="1"/>
      <c r="D143" s="1"/>
      <c r="E143" s="1"/>
      <c r="F143" s="1"/>
      <c r="G143" s="1"/>
      <c r="H143" s="1"/>
      <c r="I143" s="1"/>
    </row>
    <row r="144" spans="1:9" ht="15.75" customHeight="1">
      <c r="A144" s="1"/>
      <c r="B144" s="1"/>
      <c r="C144" s="1"/>
      <c r="D144" s="1"/>
      <c r="E144" s="1"/>
      <c r="F144" s="1"/>
      <c r="G144" s="1"/>
      <c r="H144" s="1"/>
      <c r="I144" s="1"/>
    </row>
    <row r="145" spans="1:9" ht="15.75" customHeight="1">
      <c r="A145" s="1"/>
      <c r="B145" s="1"/>
      <c r="C145" s="1"/>
      <c r="D145" s="1"/>
      <c r="E145" s="1"/>
      <c r="F145" s="1"/>
      <c r="G145" s="1"/>
      <c r="H145" s="1"/>
      <c r="I145" s="1"/>
    </row>
    <row r="146" spans="1:9" ht="15.75" customHeight="1">
      <c r="A146" s="1"/>
      <c r="B146" s="1"/>
      <c r="C146" s="1"/>
      <c r="D146" s="1"/>
      <c r="E146" s="1"/>
      <c r="F146" s="1"/>
      <c r="G146" s="1"/>
      <c r="H146" s="1"/>
      <c r="I146" s="1"/>
    </row>
    <row r="147" spans="1:9" ht="15.75" customHeight="1">
      <c r="A147" s="1"/>
      <c r="B147" s="1"/>
      <c r="C147" s="1"/>
      <c r="D147" s="1"/>
      <c r="E147" s="1"/>
      <c r="F147" s="1"/>
      <c r="G147" s="1"/>
      <c r="H147" s="1"/>
      <c r="I147" s="1"/>
    </row>
    <row r="148" spans="1:9" ht="15.75" customHeight="1">
      <c r="A148" s="1"/>
      <c r="B148" s="1"/>
      <c r="C148" s="1"/>
      <c r="D148" s="1"/>
      <c r="E148" s="1"/>
      <c r="F148" s="1"/>
      <c r="G148" s="1"/>
      <c r="H148" s="1"/>
      <c r="I148" s="1"/>
    </row>
    <row r="149" spans="1:9" ht="15.75" customHeight="1">
      <c r="A149" s="1"/>
      <c r="B149" s="1"/>
      <c r="C149" s="1"/>
      <c r="D149" s="1"/>
      <c r="E149" s="1"/>
      <c r="F149" s="1"/>
      <c r="G149" s="1"/>
      <c r="H149" s="1"/>
      <c r="I149" s="1"/>
    </row>
    <row r="150" spans="1:9" ht="15.75" customHeight="1">
      <c r="A150" s="1"/>
      <c r="B150" s="1"/>
      <c r="C150" s="1"/>
      <c r="D150" s="1"/>
      <c r="E150" s="1"/>
      <c r="F150" s="1"/>
      <c r="G150" s="1"/>
      <c r="H150" s="1"/>
      <c r="I150" s="1"/>
    </row>
    <row r="151" spans="1:9" ht="15.75" customHeight="1">
      <c r="A151" s="1"/>
      <c r="B151" s="1"/>
      <c r="C151" s="1"/>
      <c r="D151" s="1"/>
      <c r="E151" s="1"/>
      <c r="F151" s="1"/>
      <c r="G151" s="1"/>
      <c r="H151" s="1"/>
      <c r="I151" s="1"/>
    </row>
    <row r="152" spans="1:9" ht="15.75" customHeight="1">
      <c r="A152" s="1"/>
      <c r="B152" s="1"/>
      <c r="C152" s="1"/>
      <c r="D152" s="1"/>
      <c r="E152" s="1"/>
      <c r="F152" s="1"/>
      <c r="G152" s="1"/>
      <c r="H152" s="1"/>
      <c r="I152" s="1"/>
    </row>
    <row r="153" spans="1:9" ht="15.75" customHeight="1">
      <c r="A153" s="1"/>
      <c r="B153" s="1"/>
      <c r="C153" s="1"/>
      <c r="D153" s="1"/>
      <c r="E153" s="1"/>
      <c r="F153" s="1"/>
      <c r="G153" s="1"/>
      <c r="H153" s="1"/>
      <c r="I153" s="1"/>
    </row>
    <row r="154" spans="1:9" ht="15.75" customHeight="1">
      <c r="A154" s="1"/>
      <c r="B154" s="1"/>
      <c r="C154" s="1"/>
      <c r="D154" s="1"/>
      <c r="E154" s="1"/>
      <c r="F154" s="1"/>
      <c r="G154" s="1"/>
      <c r="H154" s="1"/>
      <c r="I154" s="1"/>
    </row>
    <row r="155" spans="1:9" ht="15.75" customHeight="1">
      <c r="A155" s="1"/>
      <c r="B155" s="1"/>
      <c r="C155" s="1"/>
      <c r="D155" s="1"/>
      <c r="E155" s="1"/>
      <c r="F155" s="1"/>
      <c r="G155" s="1"/>
      <c r="H155" s="1"/>
      <c r="I155" s="1"/>
    </row>
    <row r="156" spans="1:9" ht="15.75" customHeight="1">
      <c r="A156" s="1"/>
      <c r="B156" s="1"/>
      <c r="C156" s="1"/>
      <c r="D156" s="1"/>
      <c r="E156" s="1"/>
      <c r="F156" s="1"/>
      <c r="G156" s="1"/>
      <c r="H156" s="1"/>
      <c r="I156" s="1"/>
    </row>
    <row r="157" spans="1:9" ht="15.75" customHeight="1">
      <c r="A157" s="1"/>
      <c r="B157" s="1"/>
      <c r="C157" s="1"/>
      <c r="D157" s="1"/>
      <c r="E157" s="1"/>
      <c r="F157" s="1"/>
      <c r="G157" s="1"/>
      <c r="H157" s="1"/>
      <c r="I157" s="1"/>
    </row>
    <row r="158" spans="1:9" ht="15.75" customHeight="1">
      <c r="A158" s="1"/>
      <c r="B158" s="1"/>
      <c r="C158" s="1"/>
      <c r="D158" s="1"/>
      <c r="E158" s="1"/>
      <c r="F158" s="1"/>
      <c r="G158" s="1"/>
      <c r="H158" s="1"/>
      <c r="I158" s="1"/>
    </row>
    <row r="159" spans="1:9" ht="15.75" customHeight="1">
      <c r="A159" s="1"/>
      <c r="B159" s="1"/>
      <c r="C159" s="1"/>
      <c r="D159" s="1"/>
      <c r="E159" s="1"/>
      <c r="F159" s="1"/>
      <c r="G159" s="1"/>
      <c r="H159" s="1"/>
      <c r="I159" s="1"/>
    </row>
    <row r="160" spans="1:9" ht="15.75" customHeight="1">
      <c r="A160" s="1"/>
      <c r="B160" s="1"/>
      <c r="C160" s="1"/>
      <c r="D160" s="1"/>
      <c r="E160" s="1"/>
      <c r="F160" s="1"/>
      <c r="G160" s="1"/>
      <c r="H160" s="1"/>
      <c r="I160" s="1"/>
    </row>
    <row r="161" spans="1:9" ht="15.75" customHeight="1">
      <c r="A161" s="1"/>
      <c r="B161" s="1"/>
      <c r="C161" s="1"/>
      <c r="D161" s="1"/>
      <c r="E161" s="1"/>
      <c r="F161" s="1"/>
      <c r="G161" s="1"/>
      <c r="H161" s="1"/>
      <c r="I161" s="1"/>
    </row>
    <row r="162" spans="1:9" ht="15.75" customHeight="1">
      <c r="A162" s="1"/>
      <c r="B162" s="1"/>
      <c r="C162" s="1"/>
      <c r="D162" s="1"/>
      <c r="E162" s="1"/>
      <c r="F162" s="1"/>
      <c r="G162" s="1"/>
      <c r="H162" s="1"/>
      <c r="I162" s="1"/>
    </row>
    <row r="163" spans="1:9" ht="15.75" customHeight="1">
      <c r="A163" s="1"/>
      <c r="B163" s="1"/>
      <c r="C163" s="1"/>
      <c r="D163" s="1"/>
      <c r="E163" s="1"/>
      <c r="F163" s="1"/>
      <c r="G163" s="1"/>
      <c r="H163" s="1"/>
      <c r="I163" s="1"/>
    </row>
    <row r="164" spans="1:9" ht="15.75" customHeight="1">
      <c r="A164" s="1"/>
      <c r="B164" s="1"/>
      <c r="C164" s="1"/>
      <c r="D164" s="1"/>
      <c r="E164" s="1"/>
      <c r="F164" s="1"/>
      <c r="G164" s="1"/>
      <c r="H164" s="1"/>
      <c r="I164" s="1"/>
    </row>
    <row r="165" spans="1:9" ht="15.75" customHeight="1">
      <c r="A165" s="1"/>
      <c r="B165" s="1"/>
      <c r="C165" s="1"/>
      <c r="D165" s="1"/>
      <c r="E165" s="1"/>
      <c r="F165" s="1"/>
      <c r="G165" s="1"/>
      <c r="H165" s="1"/>
      <c r="I165" s="1"/>
    </row>
    <row r="166" spans="1:9" ht="15.75" customHeight="1">
      <c r="A166" s="1"/>
      <c r="B166" s="1"/>
      <c r="C166" s="1"/>
      <c r="D166" s="1"/>
      <c r="E166" s="1"/>
      <c r="F166" s="1"/>
      <c r="G166" s="1"/>
      <c r="H166" s="1"/>
      <c r="I166" s="1"/>
    </row>
    <row r="167" spans="1:9" ht="15.75" customHeight="1">
      <c r="A167" s="1"/>
      <c r="B167" s="1"/>
      <c r="C167" s="1"/>
      <c r="D167" s="1"/>
      <c r="E167" s="1"/>
      <c r="F167" s="1"/>
      <c r="G167" s="1"/>
      <c r="H167" s="1"/>
      <c r="I167" s="1"/>
    </row>
    <row r="168" spans="1:9" ht="15.75" customHeight="1">
      <c r="A168" s="1"/>
      <c r="B168" s="1"/>
      <c r="C168" s="1"/>
      <c r="D168" s="1"/>
      <c r="E168" s="1"/>
      <c r="F168" s="1"/>
      <c r="G168" s="1"/>
      <c r="H168" s="1"/>
      <c r="I168" s="1"/>
    </row>
    <row r="169" spans="1:9" ht="15.75" customHeight="1">
      <c r="A169" s="1"/>
      <c r="B169" s="1"/>
      <c r="C169" s="1"/>
      <c r="D169" s="1"/>
      <c r="E169" s="1"/>
      <c r="F169" s="1"/>
      <c r="G169" s="1"/>
      <c r="H169" s="1"/>
      <c r="I169" s="1"/>
    </row>
    <row r="170" spans="1:9" ht="15.75" customHeight="1">
      <c r="A170" s="1"/>
      <c r="B170" s="1"/>
      <c r="C170" s="1"/>
      <c r="D170" s="1"/>
      <c r="E170" s="1"/>
      <c r="F170" s="1"/>
      <c r="G170" s="1"/>
      <c r="H170" s="1"/>
      <c r="I170" s="1"/>
    </row>
    <row r="171" spans="1:9" ht="15.75" customHeight="1">
      <c r="A171" s="1"/>
      <c r="B171" s="1"/>
      <c r="C171" s="1"/>
      <c r="D171" s="1"/>
      <c r="E171" s="1"/>
      <c r="F171" s="1"/>
      <c r="G171" s="1"/>
      <c r="H171" s="1"/>
      <c r="I171" s="1"/>
    </row>
    <row r="172" spans="1:9" ht="15.75" customHeight="1">
      <c r="A172" s="1"/>
      <c r="B172" s="1"/>
      <c r="C172" s="1"/>
      <c r="D172" s="1"/>
      <c r="E172" s="1"/>
      <c r="F172" s="1"/>
      <c r="G172" s="1"/>
      <c r="H172" s="1"/>
      <c r="I172" s="1"/>
    </row>
    <row r="173" spans="1:9" ht="15.75" customHeight="1">
      <c r="A173" s="1"/>
      <c r="B173" s="1"/>
      <c r="C173" s="1"/>
      <c r="D173" s="1"/>
      <c r="E173" s="1"/>
      <c r="F173" s="1"/>
      <c r="G173" s="1"/>
      <c r="H173" s="1"/>
      <c r="I173" s="1"/>
    </row>
    <row r="174" spans="1:9" ht="15.75" customHeight="1">
      <c r="A174" s="1"/>
      <c r="B174" s="1"/>
      <c r="C174" s="1"/>
      <c r="D174" s="1"/>
      <c r="E174" s="1"/>
      <c r="F174" s="1"/>
      <c r="G174" s="1"/>
      <c r="H174" s="1"/>
      <c r="I174" s="1"/>
    </row>
    <row r="175" spans="1:9" ht="15.75" customHeight="1">
      <c r="A175" s="1"/>
      <c r="B175" s="1"/>
      <c r="C175" s="1"/>
      <c r="D175" s="1"/>
      <c r="E175" s="1"/>
      <c r="F175" s="1"/>
      <c r="G175" s="1"/>
      <c r="H175" s="1"/>
      <c r="I175" s="1"/>
    </row>
    <row r="176" spans="1:9" ht="15.75" customHeight="1">
      <c r="A176" s="1"/>
      <c r="B176" s="1"/>
      <c r="C176" s="1"/>
      <c r="D176" s="1"/>
      <c r="E176" s="1"/>
      <c r="F176" s="1"/>
      <c r="G176" s="1"/>
      <c r="H176" s="1"/>
      <c r="I176" s="1"/>
    </row>
    <row r="177" spans="1:9" ht="15.75" customHeight="1">
      <c r="A177" s="1"/>
      <c r="B177" s="1"/>
      <c r="C177" s="1"/>
      <c r="D177" s="1"/>
      <c r="E177" s="1"/>
      <c r="F177" s="1"/>
      <c r="G177" s="1"/>
      <c r="H177" s="1"/>
      <c r="I177" s="1"/>
    </row>
    <row r="178" spans="1:9" ht="15.75" customHeight="1">
      <c r="A178" s="1"/>
      <c r="B178" s="1"/>
      <c r="C178" s="1"/>
      <c r="D178" s="1"/>
      <c r="E178" s="1"/>
      <c r="F178" s="1"/>
      <c r="G178" s="1"/>
      <c r="H178" s="1"/>
      <c r="I178" s="1"/>
    </row>
    <row r="179" spans="1:9" ht="15.75" customHeight="1">
      <c r="A179" s="1"/>
      <c r="B179" s="1"/>
      <c r="C179" s="1"/>
      <c r="D179" s="1"/>
      <c r="E179" s="1"/>
      <c r="F179" s="1"/>
      <c r="G179" s="1"/>
      <c r="H179" s="1"/>
      <c r="I179" s="1"/>
    </row>
    <row r="180" spans="1:9" ht="15.75" customHeight="1">
      <c r="A180" s="1"/>
      <c r="B180" s="1"/>
      <c r="C180" s="1"/>
      <c r="D180" s="1"/>
      <c r="E180" s="1"/>
      <c r="F180" s="1"/>
      <c r="G180" s="1"/>
      <c r="H180" s="1"/>
      <c r="I180" s="1"/>
    </row>
    <row r="181" spans="1:9" ht="15.75" customHeight="1">
      <c r="A181" s="1"/>
      <c r="B181" s="1"/>
      <c r="C181" s="1"/>
      <c r="D181" s="1"/>
      <c r="E181" s="1"/>
      <c r="F181" s="1"/>
      <c r="G181" s="1"/>
      <c r="H181" s="1"/>
      <c r="I181" s="1"/>
    </row>
    <row r="182" spans="1:9" ht="15.75" customHeight="1">
      <c r="A182" s="1"/>
      <c r="B182" s="1"/>
      <c r="C182" s="1"/>
      <c r="D182" s="1"/>
      <c r="E182" s="1"/>
      <c r="F182" s="1"/>
      <c r="G182" s="1"/>
      <c r="H182" s="1"/>
      <c r="I182" s="1"/>
    </row>
    <row r="183" spans="1:9" ht="15.75" customHeight="1">
      <c r="A183" s="1"/>
      <c r="B183" s="1"/>
      <c r="C183" s="1"/>
      <c r="D183" s="1"/>
      <c r="E183" s="1"/>
      <c r="F183" s="1"/>
      <c r="G183" s="1"/>
      <c r="H183" s="1"/>
      <c r="I183" s="1"/>
    </row>
    <row r="184" spans="1:9" ht="15.75" customHeight="1">
      <c r="A184" s="1"/>
      <c r="B184" s="1"/>
      <c r="C184" s="1"/>
      <c r="D184" s="1"/>
      <c r="E184" s="1"/>
      <c r="F184" s="1"/>
      <c r="G184" s="1"/>
      <c r="H184" s="1"/>
      <c r="I184" s="1"/>
    </row>
    <row r="185" spans="1:9" ht="15.75" customHeight="1">
      <c r="A185" s="1"/>
      <c r="B185" s="1"/>
      <c r="C185" s="1"/>
      <c r="D185" s="1"/>
      <c r="E185" s="1"/>
      <c r="F185" s="1"/>
      <c r="G185" s="1"/>
      <c r="H185" s="1"/>
      <c r="I185" s="1"/>
    </row>
    <row r="186" spans="1:9" ht="15.75" customHeight="1">
      <c r="A186" s="1"/>
      <c r="B186" s="1"/>
      <c r="C186" s="1"/>
      <c r="D186" s="1"/>
      <c r="E186" s="1"/>
      <c r="F186" s="1"/>
      <c r="G186" s="1"/>
      <c r="H186" s="1"/>
      <c r="I186" s="1"/>
    </row>
    <row r="187" spans="1:9" ht="15.75" customHeight="1">
      <c r="A187" s="1"/>
      <c r="B187" s="1"/>
      <c r="C187" s="1"/>
      <c r="D187" s="1"/>
      <c r="E187" s="1"/>
      <c r="F187" s="1"/>
      <c r="G187" s="1"/>
      <c r="H187" s="1"/>
      <c r="I187" s="1"/>
    </row>
    <row r="188" spans="1:9" ht="15.75" customHeight="1">
      <c r="A188" s="1"/>
      <c r="B188" s="1"/>
      <c r="C188" s="1"/>
      <c r="D188" s="1"/>
      <c r="E188" s="1"/>
      <c r="F188" s="1"/>
      <c r="G188" s="1"/>
      <c r="H188" s="1"/>
      <c r="I188" s="1"/>
    </row>
    <row r="189" spans="1:9" ht="15.75" customHeight="1">
      <c r="A189" s="1"/>
      <c r="B189" s="1"/>
      <c r="C189" s="1"/>
      <c r="D189" s="1"/>
      <c r="E189" s="1"/>
      <c r="F189" s="1"/>
      <c r="G189" s="1"/>
      <c r="H189" s="1"/>
      <c r="I189" s="1"/>
    </row>
    <row r="190" spans="1:9" ht="15.75" customHeight="1">
      <c r="A190" s="1"/>
      <c r="B190" s="1"/>
      <c r="C190" s="1"/>
      <c r="D190" s="1"/>
      <c r="E190" s="1"/>
      <c r="F190" s="1"/>
      <c r="G190" s="1"/>
      <c r="H190" s="1"/>
      <c r="I190" s="1"/>
    </row>
    <row r="191" spans="1:9" ht="15.75" customHeight="1">
      <c r="A191" s="1"/>
      <c r="B191" s="1"/>
      <c r="C191" s="1"/>
      <c r="D191" s="1"/>
      <c r="E191" s="1"/>
      <c r="F191" s="1"/>
      <c r="G191" s="1"/>
      <c r="H191" s="1"/>
      <c r="I191" s="1"/>
    </row>
    <row r="192" spans="1:9" ht="15.75" customHeight="1">
      <c r="A192" s="1"/>
      <c r="B192" s="1"/>
      <c r="C192" s="1"/>
      <c r="D192" s="1"/>
      <c r="E192" s="1"/>
      <c r="F192" s="1"/>
      <c r="G192" s="1"/>
      <c r="H192" s="1"/>
      <c r="I192" s="1"/>
    </row>
    <row r="193" spans="1:9" ht="15.75" customHeight="1">
      <c r="A193" s="1"/>
      <c r="B193" s="1"/>
      <c r="C193" s="1"/>
      <c r="D193" s="1"/>
      <c r="E193" s="1"/>
      <c r="F193" s="1"/>
      <c r="G193" s="1"/>
      <c r="H193" s="1"/>
      <c r="I193" s="1"/>
    </row>
    <row r="194" spans="1:9" ht="15.75" customHeight="1">
      <c r="A194" s="1"/>
      <c r="B194" s="1"/>
      <c r="C194" s="1"/>
      <c r="D194" s="1"/>
      <c r="E194" s="1"/>
      <c r="F194" s="1"/>
      <c r="G194" s="1"/>
      <c r="H194" s="1"/>
      <c r="I194" s="1"/>
    </row>
    <row r="195" spans="1:9" ht="15.75" customHeight="1">
      <c r="A195" s="1"/>
      <c r="B195" s="1"/>
      <c r="C195" s="1"/>
      <c r="D195" s="1"/>
      <c r="E195" s="1"/>
      <c r="F195" s="1"/>
      <c r="G195" s="1"/>
      <c r="H195" s="1"/>
      <c r="I195" s="1"/>
    </row>
    <row r="196" spans="1:9" ht="15.75" customHeight="1">
      <c r="A196" s="1"/>
      <c r="B196" s="1"/>
      <c r="C196" s="1"/>
      <c r="D196" s="1"/>
      <c r="E196" s="1"/>
      <c r="F196" s="1"/>
      <c r="G196" s="1"/>
      <c r="H196" s="1"/>
      <c r="I196" s="1"/>
    </row>
    <row r="197" spans="1:9" ht="15.75" customHeight="1">
      <c r="A197" s="1"/>
      <c r="B197" s="1"/>
      <c r="C197" s="1"/>
      <c r="D197" s="1"/>
      <c r="E197" s="1"/>
      <c r="F197" s="1"/>
      <c r="G197" s="1"/>
      <c r="H197" s="1"/>
      <c r="I197" s="1"/>
    </row>
    <row r="198" spans="1:9" ht="15.75" customHeight="1">
      <c r="A198" s="1"/>
      <c r="B198" s="1"/>
      <c r="C198" s="1"/>
      <c r="D198" s="1"/>
      <c r="E198" s="1"/>
      <c r="F198" s="1"/>
      <c r="G198" s="1"/>
      <c r="H198" s="1"/>
      <c r="I198" s="1"/>
    </row>
    <row r="199" spans="1:9" ht="15.75" customHeight="1">
      <c r="A199" s="1"/>
      <c r="B199" s="1"/>
      <c r="C199" s="1"/>
      <c r="D199" s="1"/>
      <c r="E199" s="1"/>
      <c r="F199" s="1"/>
      <c r="G199" s="1"/>
      <c r="H199" s="1"/>
      <c r="I199" s="1"/>
    </row>
    <row r="200" spans="1:9" ht="15.75" customHeight="1">
      <c r="A200" s="1"/>
      <c r="B200" s="1"/>
      <c r="C200" s="1"/>
      <c r="D200" s="1"/>
      <c r="E200" s="1"/>
      <c r="F200" s="1"/>
      <c r="G200" s="1"/>
      <c r="H200" s="1"/>
      <c r="I200" s="1"/>
    </row>
    <row r="201" spans="1:9" ht="15.75" customHeight="1">
      <c r="A201" s="1"/>
      <c r="B201" s="1"/>
      <c r="C201" s="1"/>
      <c r="D201" s="1"/>
      <c r="E201" s="1"/>
      <c r="F201" s="1"/>
      <c r="G201" s="1"/>
      <c r="H201" s="1"/>
      <c r="I201" s="1"/>
    </row>
    <row r="202" spans="1:9" ht="15.75" customHeight="1">
      <c r="A202" s="1"/>
      <c r="B202" s="1"/>
      <c r="C202" s="1"/>
      <c r="D202" s="1"/>
      <c r="E202" s="1"/>
      <c r="F202" s="1"/>
      <c r="G202" s="1"/>
      <c r="H202" s="1"/>
      <c r="I202" s="1"/>
    </row>
    <row r="203" spans="1:9" ht="15.75" customHeight="1">
      <c r="A203" s="1"/>
      <c r="B203" s="1"/>
      <c r="C203" s="1"/>
      <c r="D203" s="1"/>
      <c r="E203" s="1"/>
      <c r="F203" s="1"/>
      <c r="G203" s="1"/>
      <c r="H203" s="1"/>
      <c r="I203" s="1"/>
    </row>
    <row r="204" spans="1:9" ht="15.75" customHeight="1">
      <c r="A204" s="1"/>
      <c r="B204" s="1"/>
      <c r="C204" s="1"/>
      <c r="D204" s="1"/>
      <c r="E204" s="1"/>
      <c r="F204" s="1"/>
      <c r="G204" s="1"/>
      <c r="H204" s="1"/>
      <c r="I204" s="1"/>
    </row>
    <row r="205" spans="1:9" ht="15.75" customHeight="1">
      <c r="A205" s="1"/>
      <c r="B205" s="1"/>
      <c r="C205" s="1"/>
      <c r="D205" s="1"/>
      <c r="E205" s="1"/>
      <c r="F205" s="1"/>
      <c r="G205" s="1"/>
      <c r="H205" s="1"/>
      <c r="I205" s="1"/>
    </row>
    <row r="206" spans="1:9" ht="15.75" customHeight="1">
      <c r="A206" s="1"/>
      <c r="B206" s="1"/>
      <c r="C206" s="1"/>
      <c r="D206" s="1"/>
      <c r="E206" s="1"/>
      <c r="F206" s="1"/>
      <c r="G206" s="1"/>
      <c r="H206" s="1"/>
      <c r="I206" s="1"/>
    </row>
    <row r="207" spans="1:9" ht="15.75" customHeight="1">
      <c r="A207" s="1"/>
      <c r="B207" s="1"/>
      <c r="C207" s="1"/>
      <c r="D207" s="1"/>
      <c r="E207" s="1"/>
      <c r="F207" s="1"/>
      <c r="G207" s="1"/>
      <c r="H207" s="1"/>
      <c r="I207" s="1"/>
    </row>
    <row r="208" spans="1:9" ht="15.75" customHeight="1">
      <c r="A208" s="1"/>
      <c r="B208" s="1"/>
      <c r="C208" s="1"/>
      <c r="D208" s="1"/>
      <c r="E208" s="1"/>
      <c r="F208" s="1"/>
      <c r="G208" s="1"/>
      <c r="H208" s="1"/>
      <c r="I208" s="1"/>
    </row>
    <row r="209" spans="1:9" ht="15.75" customHeight="1">
      <c r="A209" s="1"/>
      <c r="B209" s="1"/>
      <c r="C209" s="1"/>
      <c r="D209" s="1"/>
      <c r="E209" s="1"/>
      <c r="F209" s="1"/>
      <c r="G209" s="1"/>
      <c r="H209" s="1"/>
      <c r="I209" s="1"/>
    </row>
    <row r="210" spans="1:9" ht="15.75" customHeight="1">
      <c r="A210" s="1"/>
      <c r="B210" s="1"/>
      <c r="C210" s="1"/>
      <c r="D210" s="1"/>
      <c r="E210" s="1"/>
      <c r="F210" s="1"/>
      <c r="G210" s="1"/>
      <c r="H210" s="1"/>
      <c r="I210" s="1"/>
    </row>
    <row r="211" spans="1:9" ht="15.75" customHeight="1">
      <c r="A211" s="1"/>
      <c r="B211" s="1"/>
      <c r="C211" s="1"/>
      <c r="D211" s="1"/>
      <c r="E211" s="1"/>
      <c r="F211" s="1"/>
      <c r="G211" s="1"/>
      <c r="H211" s="1"/>
      <c r="I211" s="1"/>
    </row>
    <row r="212" spans="1:9" ht="15.75" customHeight="1">
      <c r="A212" s="1"/>
      <c r="B212" s="1"/>
      <c r="C212" s="1"/>
      <c r="D212" s="1"/>
      <c r="E212" s="1"/>
      <c r="F212" s="1"/>
      <c r="G212" s="1"/>
      <c r="H212" s="1"/>
      <c r="I212" s="1"/>
    </row>
    <row r="213" spans="1:9" ht="15.75" customHeight="1">
      <c r="A213" s="1"/>
      <c r="B213" s="1"/>
      <c r="C213" s="1"/>
      <c r="D213" s="1"/>
      <c r="E213" s="1"/>
      <c r="F213" s="1"/>
      <c r="G213" s="1"/>
      <c r="H213" s="1"/>
      <c r="I213" s="1"/>
    </row>
    <row r="214" spans="1:9" ht="15.75" customHeight="1">
      <c r="A214" s="1"/>
      <c r="B214" s="1"/>
      <c r="C214" s="1"/>
      <c r="D214" s="1"/>
      <c r="E214" s="1"/>
      <c r="F214" s="1"/>
      <c r="G214" s="1"/>
      <c r="H214" s="1"/>
      <c r="I214" s="1"/>
    </row>
    <row r="215" spans="1:9" ht="15.75" customHeight="1">
      <c r="A215" s="1"/>
      <c r="B215" s="1"/>
      <c r="C215" s="1"/>
      <c r="D215" s="1"/>
      <c r="E215" s="1"/>
      <c r="F215" s="1"/>
      <c r="G215" s="1"/>
      <c r="H215" s="1"/>
      <c r="I215" s="1"/>
    </row>
    <row r="216" spans="1:9" ht="15.75" customHeight="1">
      <c r="A216" s="1"/>
      <c r="B216" s="1"/>
      <c r="C216" s="1"/>
      <c r="D216" s="1"/>
      <c r="E216" s="1"/>
      <c r="F216" s="1"/>
      <c r="G216" s="1"/>
      <c r="H216" s="1"/>
      <c r="I216" s="1"/>
    </row>
    <row r="217" spans="1:9" ht="15.75" customHeight="1">
      <c r="A217" s="1"/>
      <c r="B217" s="1"/>
      <c r="C217" s="1"/>
      <c r="D217" s="1"/>
      <c r="E217" s="1"/>
      <c r="F217" s="1"/>
      <c r="G217" s="1"/>
      <c r="H217" s="1"/>
      <c r="I217" s="1"/>
    </row>
    <row r="218" spans="1:9" ht="15.75" customHeight="1">
      <c r="A218" s="1"/>
      <c r="B218" s="1"/>
      <c r="C218" s="1"/>
      <c r="D218" s="1"/>
      <c r="E218" s="1"/>
      <c r="F218" s="1"/>
      <c r="G218" s="1"/>
      <c r="H218" s="1"/>
      <c r="I218" s="1"/>
    </row>
    <row r="219" spans="1:9" ht="15.75" customHeight="1">
      <c r="A219" s="1"/>
      <c r="B219" s="1"/>
      <c r="C219" s="1"/>
      <c r="D219" s="1"/>
      <c r="E219" s="1"/>
      <c r="F219" s="1"/>
      <c r="G219" s="1"/>
      <c r="H219" s="1"/>
      <c r="I219" s="1"/>
    </row>
    <row r="220" spans="1:9" ht="15.75" customHeight="1">
      <c r="A220" s="1"/>
      <c r="B220" s="1"/>
      <c r="C220" s="1"/>
      <c r="D220" s="1"/>
      <c r="E220" s="1"/>
      <c r="F220" s="1"/>
      <c r="G220" s="1"/>
      <c r="H220" s="1"/>
      <c r="I220" s="1"/>
    </row>
    <row r="221" spans="1:9" ht="15.75" customHeight="1">
      <c r="A221" s="1"/>
      <c r="B221" s="1"/>
      <c r="C221" s="1"/>
      <c r="D221" s="1"/>
      <c r="E221" s="1"/>
      <c r="F221" s="1"/>
      <c r="G221" s="1"/>
      <c r="H221" s="1"/>
      <c r="I221" s="1"/>
    </row>
    <row r="222" spans="1:9" ht="15.75" customHeight="1">
      <c r="A222" s="1"/>
      <c r="B222" s="1"/>
      <c r="C222" s="1"/>
      <c r="D222" s="1"/>
      <c r="E222" s="1"/>
      <c r="F222" s="1"/>
      <c r="G222" s="1"/>
      <c r="H222" s="1"/>
      <c r="I222" s="1"/>
    </row>
    <row r="223" spans="1:9" ht="15.75" customHeight="1">
      <c r="A223" s="1"/>
      <c r="B223" s="1"/>
      <c r="C223" s="1"/>
      <c r="D223" s="1"/>
      <c r="E223" s="1"/>
      <c r="F223" s="1"/>
      <c r="G223" s="1"/>
      <c r="H223" s="1"/>
      <c r="I223" s="1"/>
    </row>
    <row r="224" spans="1:9" ht="15.75" customHeight="1">
      <c r="A224" s="1"/>
      <c r="B224" s="1"/>
      <c r="C224" s="1"/>
      <c r="D224" s="1"/>
      <c r="E224" s="1"/>
      <c r="F224" s="1"/>
      <c r="G224" s="1"/>
      <c r="H224" s="1"/>
      <c r="I224" s="1"/>
    </row>
    <row r="225" spans="1:9" ht="15.75" customHeight="1">
      <c r="A225" s="1"/>
      <c r="B225" s="1"/>
      <c r="C225" s="1"/>
      <c r="D225" s="1"/>
      <c r="E225" s="1"/>
      <c r="F225" s="1"/>
      <c r="G225" s="1"/>
      <c r="H225" s="1"/>
      <c r="I225" s="1"/>
    </row>
    <row r="226" spans="1:9" ht="15.75" customHeight="1">
      <c r="A226" s="1"/>
      <c r="B226" s="1"/>
      <c r="C226" s="1"/>
      <c r="D226" s="1"/>
      <c r="E226" s="1"/>
      <c r="F226" s="1"/>
      <c r="G226" s="1"/>
      <c r="H226" s="1"/>
      <c r="I226" s="1"/>
    </row>
    <row r="227" spans="1:9" ht="15.75" customHeight="1">
      <c r="A227" s="1"/>
      <c r="B227" s="1"/>
      <c r="C227" s="1"/>
      <c r="D227" s="1"/>
      <c r="E227" s="1"/>
      <c r="F227" s="1"/>
      <c r="G227" s="1"/>
      <c r="H227" s="1"/>
      <c r="I227" s="1"/>
    </row>
    <row r="228" spans="1:9" ht="15.75" customHeight="1">
      <c r="A228" s="1"/>
      <c r="B228" s="1"/>
      <c r="C228" s="1"/>
      <c r="D228" s="1"/>
      <c r="E228" s="1"/>
      <c r="F228" s="1"/>
      <c r="G228" s="1"/>
      <c r="H228" s="1"/>
      <c r="I228" s="1"/>
    </row>
    <row r="229" spans="1:9" ht="15.75" customHeight="1">
      <c r="A229" s="1"/>
      <c r="B229" s="1"/>
      <c r="C229" s="1"/>
      <c r="D229" s="1"/>
      <c r="E229" s="1"/>
      <c r="F229" s="1"/>
      <c r="G229" s="1"/>
      <c r="H229" s="1"/>
      <c r="I229" s="1"/>
    </row>
    <row r="230" spans="1:9" ht="15.75" customHeight="1">
      <c r="A230" s="1"/>
      <c r="B230" s="1"/>
      <c r="C230" s="1"/>
      <c r="D230" s="1"/>
      <c r="E230" s="1"/>
      <c r="F230" s="1"/>
      <c r="G230" s="1"/>
      <c r="H230" s="1"/>
      <c r="I230" s="1"/>
    </row>
    <row r="231" spans="1:9" ht="15.75" customHeight="1">
      <c r="A231" s="1"/>
      <c r="B231" s="1"/>
      <c r="C231" s="1"/>
      <c r="D231" s="1"/>
      <c r="E231" s="1"/>
      <c r="F231" s="1"/>
      <c r="G231" s="1"/>
      <c r="H231" s="1"/>
      <c r="I231" s="1"/>
    </row>
    <row r="232" spans="1:9" ht="15.75" customHeight="1">
      <c r="A232" s="1"/>
      <c r="B232" s="1"/>
      <c r="C232" s="1"/>
      <c r="D232" s="1"/>
      <c r="E232" s="1"/>
      <c r="F232" s="1"/>
      <c r="G232" s="1"/>
      <c r="H232" s="1"/>
      <c r="I232" s="1"/>
    </row>
    <row r="233" spans="1:9" ht="15.75" customHeight="1">
      <c r="A233" s="1"/>
      <c r="B233" s="1"/>
      <c r="C233" s="1"/>
      <c r="D233" s="1"/>
      <c r="E233" s="1"/>
      <c r="F233" s="1"/>
      <c r="G233" s="1"/>
      <c r="H233" s="1"/>
      <c r="I233" s="1"/>
    </row>
    <row r="234" spans="1:9" ht="15.75" customHeight="1">
      <c r="A234" s="1"/>
      <c r="B234" s="1"/>
      <c r="C234" s="1"/>
      <c r="D234" s="1"/>
      <c r="E234" s="1"/>
      <c r="F234" s="1"/>
      <c r="G234" s="1"/>
      <c r="H234" s="1"/>
      <c r="I234" s="1"/>
    </row>
    <row r="235" spans="1:9" ht="15.75" customHeight="1">
      <c r="A235" s="1"/>
      <c r="B235" s="1"/>
      <c r="C235" s="1"/>
      <c r="D235" s="1"/>
      <c r="E235" s="1"/>
      <c r="F235" s="1"/>
      <c r="G235" s="1"/>
      <c r="H235" s="1"/>
      <c r="I235" s="1"/>
    </row>
    <row r="236" spans="1:9" ht="15.75" customHeight="1">
      <c r="A236" s="1"/>
      <c r="B236" s="1"/>
      <c r="C236" s="1"/>
      <c r="D236" s="1"/>
      <c r="E236" s="1"/>
      <c r="F236" s="1"/>
      <c r="G236" s="1"/>
      <c r="H236" s="1"/>
      <c r="I236" s="1"/>
    </row>
    <row r="237" spans="1:9" ht="15.75" customHeight="1">
      <c r="A237" s="1"/>
      <c r="B237" s="1"/>
      <c r="C237" s="1"/>
      <c r="D237" s="1"/>
      <c r="E237" s="1"/>
      <c r="F237" s="1"/>
      <c r="G237" s="1"/>
      <c r="H237" s="1"/>
      <c r="I237" s="1"/>
    </row>
    <row r="238" spans="1:9" ht="15.75" customHeight="1">
      <c r="A238" s="1"/>
      <c r="B238" s="1"/>
      <c r="C238" s="1"/>
      <c r="D238" s="1"/>
      <c r="E238" s="1"/>
      <c r="F238" s="1"/>
      <c r="G238" s="1"/>
      <c r="H238" s="1"/>
      <c r="I238" s="1"/>
    </row>
    <row r="239" spans="1:9" ht="15.75" customHeight="1">
      <c r="A239" s="1"/>
      <c r="B239" s="1"/>
      <c r="C239" s="1"/>
      <c r="D239" s="1"/>
      <c r="E239" s="1"/>
      <c r="F239" s="1"/>
      <c r="G239" s="1"/>
      <c r="H239" s="1"/>
      <c r="I239" s="1"/>
    </row>
    <row r="240" spans="1:9" ht="15.75" customHeight="1">
      <c r="A240" s="1"/>
      <c r="B240" s="1"/>
      <c r="C240" s="1"/>
      <c r="D240" s="1"/>
      <c r="E240" s="1"/>
      <c r="F240" s="1"/>
      <c r="G240" s="1"/>
      <c r="H240" s="1"/>
      <c r="I240" s="1"/>
    </row>
    <row r="241" spans="1:9" ht="15.75" customHeight="1">
      <c r="A241" s="1"/>
      <c r="B241" s="1"/>
      <c r="C241" s="1"/>
      <c r="D241" s="1"/>
      <c r="E241" s="1"/>
      <c r="F241" s="1"/>
      <c r="G241" s="1"/>
      <c r="H241" s="1"/>
      <c r="I241" s="1"/>
    </row>
    <row r="242" spans="1:9" ht="15.75" customHeight="1">
      <c r="A242" s="1"/>
      <c r="B242" s="1"/>
      <c r="C242" s="1"/>
      <c r="D242" s="1"/>
      <c r="E242" s="1"/>
      <c r="F242" s="1"/>
      <c r="G242" s="1"/>
      <c r="H242" s="1"/>
      <c r="I242" s="1"/>
    </row>
    <row r="243" spans="1:9" ht="15.75" customHeight="1">
      <c r="A243" s="1"/>
      <c r="B243" s="1"/>
      <c r="C243" s="1"/>
      <c r="D243" s="1"/>
      <c r="E243" s="1"/>
      <c r="F243" s="1"/>
      <c r="G243" s="1"/>
      <c r="H243" s="1"/>
      <c r="I243" s="1"/>
    </row>
    <row r="244" spans="1:9" ht="15.75" customHeight="1">
      <c r="A244" s="1"/>
      <c r="B244" s="1"/>
      <c r="C244" s="1"/>
      <c r="D244" s="1"/>
      <c r="E244" s="1"/>
      <c r="F244" s="1"/>
      <c r="G244" s="1"/>
      <c r="H244" s="1"/>
      <c r="I244" s="1"/>
    </row>
    <row r="245" spans="1:9" ht="15.75" customHeight="1">
      <c r="A245" s="1"/>
      <c r="B245" s="1"/>
      <c r="C245" s="1"/>
      <c r="D245" s="1"/>
      <c r="E245" s="1"/>
      <c r="F245" s="1"/>
      <c r="G245" s="1"/>
      <c r="H245" s="1"/>
      <c r="I245" s="1"/>
    </row>
    <row r="246" spans="1:9" ht="15.75" customHeight="1">
      <c r="A246" s="1"/>
      <c r="B246" s="1"/>
      <c r="C246" s="1"/>
      <c r="D246" s="1"/>
      <c r="E246" s="1"/>
      <c r="F246" s="1"/>
      <c r="G246" s="1"/>
      <c r="H246" s="1"/>
      <c r="I246" s="1"/>
    </row>
    <row r="247" spans="1:9" ht="15.75" customHeight="1">
      <c r="A247" s="1"/>
      <c r="B247" s="1"/>
      <c r="C247" s="1"/>
      <c r="D247" s="1"/>
      <c r="E247" s="1"/>
      <c r="F247" s="1"/>
      <c r="G247" s="1"/>
      <c r="H247" s="1"/>
      <c r="I247" s="1"/>
    </row>
    <row r="248" spans="1:9" ht="15.75" customHeight="1">
      <c r="A248" s="1"/>
      <c r="B248" s="1"/>
      <c r="C248" s="1"/>
      <c r="D248" s="1"/>
      <c r="E248" s="1"/>
      <c r="F248" s="1"/>
      <c r="G248" s="1"/>
      <c r="H248" s="1"/>
      <c r="I248" s="1"/>
    </row>
    <row r="249" spans="1:9" ht="15.75" customHeight="1">
      <c r="A249" s="1"/>
      <c r="B249" s="1"/>
      <c r="C249" s="1"/>
      <c r="D249" s="1"/>
      <c r="E249" s="1"/>
      <c r="F249" s="1"/>
      <c r="G249" s="1"/>
      <c r="H249" s="1"/>
      <c r="I249" s="1"/>
    </row>
    <row r="250" spans="1:9" ht="15.75" customHeight="1">
      <c r="A250" s="1"/>
      <c r="B250" s="1"/>
      <c r="C250" s="1"/>
      <c r="D250" s="1"/>
      <c r="E250" s="1"/>
      <c r="F250" s="1"/>
      <c r="G250" s="1"/>
      <c r="H250" s="1"/>
      <c r="I250" s="1"/>
    </row>
    <row r="251" spans="1:9" ht="15.75" customHeight="1">
      <c r="A251" s="1"/>
      <c r="B251" s="1"/>
      <c r="C251" s="1"/>
      <c r="D251" s="1"/>
      <c r="E251" s="1"/>
      <c r="F251" s="1"/>
      <c r="G251" s="1"/>
      <c r="H251" s="1"/>
      <c r="I251" s="1"/>
    </row>
    <row r="252" spans="1:9" ht="15.75" customHeight="1">
      <c r="A252" s="1"/>
      <c r="B252" s="1"/>
      <c r="C252" s="1"/>
      <c r="D252" s="1"/>
      <c r="E252" s="1"/>
      <c r="F252" s="1"/>
      <c r="G252" s="1"/>
      <c r="H252" s="1"/>
      <c r="I252" s="1"/>
    </row>
    <row r="253" spans="1:9" ht="15.75" customHeight="1">
      <c r="A253" s="1"/>
      <c r="B253" s="1"/>
      <c r="C253" s="1"/>
      <c r="D253" s="1"/>
      <c r="E253" s="1"/>
      <c r="F253" s="1"/>
      <c r="G253" s="1"/>
      <c r="H253" s="1"/>
      <c r="I253" s="1"/>
    </row>
    <row r="254" spans="1:9" ht="15.75" customHeight="1">
      <c r="A254" s="1"/>
      <c r="B254" s="1"/>
      <c r="C254" s="1"/>
      <c r="D254" s="1"/>
      <c r="E254" s="1"/>
      <c r="F254" s="1"/>
      <c r="G254" s="1"/>
      <c r="H254" s="1"/>
      <c r="I254" s="1"/>
    </row>
    <row r="255" spans="1:9" ht="15.75" customHeight="1">
      <c r="A255" s="1"/>
      <c r="B255" s="1"/>
      <c r="C255" s="1"/>
      <c r="D255" s="1"/>
      <c r="E255" s="1"/>
      <c r="F255" s="1"/>
      <c r="G255" s="1"/>
      <c r="H255" s="1"/>
      <c r="I255" s="1"/>
    </row>
    <row r="256" spans="1:9" ht="15.75" customHeight="1">
      <c r="A256" s="1"/>
      <c r="B256" s="1"/>
      <c r="C256" s="1"/>
      <c r="D256" s="1"/>
      <c r="E256" s="1"/>
      <c r="F256" s="1"/>
      <c r="G256" s="1"/>
      <c r="H256" s="1"/>
      <c r="I256" s="1"/>
    </row>
    <row r="257" spans="1:9" ht="15.75" customHeight="1">
      <c r="A257" s="1"/>
      <c r="B257" s="1"/>
      <c r="C257" s="1"/>
      <c r="D257" s="1"/>
      <c r="E257" s="1"/>
      <c r="F257" s="1"/>
      <c r="G257" s="1"/>
      <c r="H257" s="1"/>
      <c r="I257" s="1"/>
    </row>
    <row r="258" spans="1:9" ht="15.75" customHeight="1">
      <c r="A258" s="1"/>
      <c r="B258" s="1"/>
      <c r="C258" s="1"/>
      <c r="D258" s="1"/>
      <c r="E258" s="1"/>
      <c r="F258" s="1"/>
      <c r="G258" s="1"/>
      <c r="H258" s="1"/>
      <c r="I258" s="1"/>
    </row>
    <row r="259" spans="1:9" ht="15.75" customHeight="1">
      <c r="A259" s="1"/>
      <c r="B259" s="1"/>
      <c r="C259" s="1"/>
      <c r="D259" s="1"/>
      <c r="E259" s="1"/>
      <c r="F259" s="1"/>
      <c r="G259" s="1"/>
      <c r="H259" s="1"/>
      <c r="I259" s="1"/>
    </row>
    <row r="260" spans="1:9" ht="15.75" customHeight="1">
      <c r="A260" s="1"/>
      <c r="B260" s="1"/>
      <c r="C260" s="1"/>
      <c r="D260" s="1"/>
      <c r="E260" s="1"/>
      <c r="F260" s="1"/>
      <c r="G260" s="1"/>
      <c r="H260" s="1"/>
      <c r="I260" s="1"/>
    </row>
    <row r="261" spans="1:9" ht="15.75" customHeight="1">
      <c r="A261" s="1"/>
      <c r="B261" s="1"/>
      <c r="C261" s="1"/>
      <c r="D261" s="1"/>
      <c r="E261" s="1"/>
      <c r="F261" s="1"/>
      <c r="G261" s="1"/>
      <c r="H261" s="1"/>
      <c r="I261" s="1"/>
    </row>
    <row r="262" spans="1:9" ht="15.75" customHeight="1">
      <c r="A262" s="1"/>
      <c r="B262" s="1"/>
      <c r="C262" s="1"/>
      <c r="D262" s="1"/>
      <c r="E262" s="1"/>
      <c r="F262" s="1"/>
      <c r="G262" s="1"/>
      <c r="H262" s="1"/>
      <c r="I262" s="1"/>
    </row>
    <row r="263" spans="1:9" ht="15.75" customHeight="1">
      <c r="A263" s="1"/>
      <c r="B263" s="1"/>
      <c r="C263" s="1"/>
      <c r="D263" s="1"/>
      <c r="E263" s="1"/>
      <c r="F263" s="1"/>
      <c r="G263" s="1"/>
      <c r="H263" s="1"/>
      <c r="I263" s="1"/>
    </row>
    <row r="264" spans="1:9" ht="15.75" customHeight="1">
      <c r="A264" s="1"/>
      <c r="B264" s="1"/>
      <c r="C264" s="1"/>
      <c r="D264" s="1"/>
      <c r="E264" s="1"/>
      <c r="F264" s="1"/>
      <c r="G264" s="1"/>
      <c r="H264" s="1"/>
      <c r="I264" s="1"/>
    </row>
    <row r="265" spans="1:9" ht="15.75" customHeight="1">
      <c r="A265" s="1"/>
      <c r="B265" s="1"/>
      <c r="C265" s="1"/>
      <c r="D265" s="1"/>
      <c r="E265" s="1"/>
      <c r="F265" s="1"/>
      <c r="G265" s="1"/>
      <c r="H265" s="1"/>
      <c r="I265" s="1"/>
    </row>
    <row r="266" spans="1:9" ht="15.75" customHeight="1">
      <c r="A266" s="1"/>
      <c r="B266" s="1"/>
      <c r="C266" s="1"/>
      <c r="D266" s="1"/>
      <c r="E266" s="1"/>
      <c r="F266" s="1"/>
      <c r="G266" s="1"/>
      <c r="H266" s="1"/>
      <c r="I266" s="1"/>
    </row>
    <row r="267" spans="1:9" ht="15.75" customHeight="1">
      <c r="A267" s="1"/>
      <c r="B267" s="1"/>
      <c r="C267" s="1"/>
      <c r="D267" s="1"/>
      <c r="E267" s="1"/>
      <c r="F267" s="1"/>
      <c r="G267" s="1"/>
      <c r="H267" s="1"/>
      <c r="I267" s="1"/>
    </row>
    <row r="268" spans="1:9" ht="15.75" customHeight="1">
      <c r="A268" s="1"/>
      <c r="B268" s="1"/>
      <c r="C268" s="1"/>
      <c r="D268" s="1"/>
      <c r="E268" s="1"/>
      <c r="F268" s="1"/>
      <c r="G268" s="1"/>
      <c r="H268" s="1"/>
      <c r="I268" s="1"/>
    </row>
    <row r="269" spans="1:9" ht="15.75" customHeight="1">
      <c r="A269" s="1"/>
      <c r="B269" s="1"/>
      <c r="C269" s="1"/>
      <c r="D269" s="1"/>
      <c r="E269" s="1"/>
      <c r="F269" s="1"/>
      <c r="G269" s="1"/>
      <c r="H269" s="1"/>
      <c r="I269" s="1"/>
    </row>
    <row r="270" spans="1:9" ht="15.75" customHeight="1">
      <c r="A270" s="1"/>
      <c r="B270" s="1"/>
      <c r="C270" s="1"/>
      <c r="D270" s="1"/>
      <c r="E270" s="1"/>
      <c r="F270" s="1"/>
      <c r="G270" s="1"/>
      <c r="H270" s="1"/>
      <c r="I270" s="1"/>
    </row>
    <row r="271" spans="1:9" ht="15.75" customHeight="1">
      <c r="A271" s="1"/>
      <c r="B271" s="1"/>
      <c r="C271" s="1"/>
      <c r="D271" s="1"/>
      <c r="E271" s="1"/>
      <c r="F271" s="1"/>
      <c r="G271" s="1"/>
      <c r="H271" s="1"/>
      <c r="I271" s="1"/>
    </row>
    <row r="272" spans="1:9" ht="15.75" customHeight="1">
      <c r="A272" s="1"/>
      <c r="B272" s="1"/>
      <c r="C272" s="1"/>
      <c r="D272" s="1"/>
      <c r="E272" s="1"/>
      <c r="F272" s="1"/>
      <c r="G272" s="1"/>
      <c r="H272" s="1"/>
      <c r="I272" s="1"/>
    </row>
    <row r="273" spans="1:9" ht="15.75" customHeight="1">
      <c r="A273" s="1"/>
      <c r="B273" s="1"/>
      <c r="C273" s="1"/>
      <c r="D273" s="1"/>
      <c r="E273" s="1"/>
      <c r="F273" s="1"/>
      <c r="G273" s="1"/>
      <c r="H273" s="1"/>
      <c r="I273" s="1"/>
    </row>
    <row r="274" spans="1:9" ht="15.75" customHeight="1">
      <c r="A274" s="1"/>
      <c r="B274" s="1"/>
      <c r="C274" s="1"/>
      <c r="D274" s="1"/>
      <c r="E274" s="1"/>
      <c r="F274" s="1"/>
      <c r="G274" s="1"/>
      <c r="H274" s="1"/>
      <c r="I274" s="1"/>
    </row>
    <row r="275" spans="1:9" ht="15.75" customHeight="1">
      <c r="A275" s="1"/>
      <c r="B275" s="1"/>
      <c r="C275" s="1"/>
      <c r="D275" s="1"/>
      <c r="E275" s="1"/>
      <c r="F275" s="1"/>
      <c r="G275" s="1"/>
      <c r="H275" s="1"/>
      <c r="I275" s="1"/>
    </row>
    <row r="276" spans="1:9" ht="15.75" customHeight="1">
      <c r="A276" s="1"/>
      <c r="B276" s="1"/>
      <c r="C276" s="1"/>
      <c r="D276" s="1"/>
      <c r="E276" s="1"/>
      <c r="F276" s="1"/>
      <c r="G276" s="1"/>
      <c r="H276" s="1"/>
      <c r="I276" s="1"/>
    </row>
    <row r="277" spans="1:9" ht="15.75" customHeight="1">
      <c r="A277" s="1"/>
      <c r="B277" s="1"/>
      <c r="C277" s="1"/>
      <c r="D277" s="1"/>
      <c r="E277" s="1"/>
      <c r="F277" s="1"/>
      <c r="G277" s="1"/>
      <c r="H277" s="1"/>
      <c r="I277" s="1"/>
    </row>
    <row r="278" spans="1:9" ht="15.75" customHeight="1">
      <c r="A278" s="1"/>
      <c r="B278" s="1"/>
      <c r="C278" s="1"/>
      <c r="D278" s="1"/>
      <c r="E278" s="1"/>
      <c r="F278" s="1"/>
      <c r="G278" s="1"/>
      <c r="H278" s="1"/>
      <c r="I278" s="1"/>
    </row>
    <row r="279" spans="1:9" ht="15.75" customHeight="1">
      <c r="A279" s="1"/>
      <c r="B279" s="1"/>
      <c r="C279" s="1"/>
      <c r="D279" s="1"/>
      <c r="E279" s="1"/>
      <c r="F279" s="1"/>
      <c r="G279" s="1"/>
      <c r="H279" s="1"/>
      <c r="I279" s="1"/>
    </row>
    <row r="280" spans="1:9" ht="15.75" customHeight="1">
      <c r="A280" s="1"/>
      <c r="B280" s="1"/>
      <c r="C280" s="1"/>
      <c r="D280" s="1"/>
      <c r="E280" s="1"/>
      <c r="F280" s="1"/>
      <c r="G280" s="1"/>
      <c r="H280" s="1"/>
      <c r="I280" s="1"/>
    </row>
    <row r="281" spans="1:9" ht="15.75" customHeight="1">
      <c r="A281" s="1"/>
      <c r="B281" s="1"/>
      <c r="C281" s="1"/>
      <c r="D281" s="1"/>
      <c r="E281" s="1"/>
      <c r="F281" s="1"/>
      <c r="G281" s="1"/>
      <c r="H281" s="1"/>
      <c r="I281" s="1"/>
    </row>
    <row r="282" spans="1:9" ht="15.75" customHeight="1">
      <c r="A282" s="1"/>
      <c r="B282" s="1"/>
      <c r="C282" s="1"/>
      <c r="D282" s="1"/>
      <c r="E282" s="1"/>
      <c r="F282" s="1"/>
      <c r="G282" s="1"/>
      <c r="H282" s="1"/>
      <c r="I282" s="1"/>
    </row>
    <row r="283" spans="1:9" ht="15.75" customHeight="1">
      <c r="A283" s="1"/>
      <c r="B283" s="1"/>
      <c r="C283" s="1"/>
      <c r="D283" s="1"/>
      <c r="E283" s="1"/>
      <c r="F283" s="1"/>
      <c r="G283" s="1"/>
      <c r="H283" s="1"/>
      <c r="I283" s="1"/>
    </row>
    <row r="284" spans="1:9" ht="15.75" customHeight="1">
      <c r="A284" s="1"/>
      <c r="B284" s="1"/>
      <c r="C284" s="1"/>
      <c r="D284" s="1"/>
      <c r="E284" s="1"/>
      <c r="F284" s="1"/>
      <c r="G284" s="1"/>
      <c r="H284" s="1"/>
      <c r="I284" s="1"/>
    </row>
    <row r="285" spans="1:9" ht="15.75" customHeight="1">
      <c r="A285" s="1"/>
      <c r="B285" s="1"/>
      <c r="C285" s="1"/>
      <c r="D285" s="1"/>
      <c r="E285" s="1"/>
      <c r="F285" s="1"/>
      <c r="G285" s="1"/>
      <c r="H285" s="1"/>
      <c r="I285" s="1"/>
    </row>
    <row r="286" spans="1:9" ht="15.75" customHeight="1"/>
    <row r="287" spans="1:9" ht="15.75" customHeight="1"/>
    <row r="288" spans="1:9"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B1:I1"/>
    <mergeCell ref="A3:I3"/>
    <mergeCell ref="A4:I4"/>
    <mergeCell ref="G5:I5"/>
    <mergeCell ref="E69:I69"/>
    <mergeCell ref="A128:D128"/>
    <mergeCell ref="E128:I128"/>
    <mergeCell ref="A69:D69"/>
    <mergeCell ref="A85:D85"/>
    <mergeCell ref="E85:I85"/>
    <mergeCell ref="A87:I87"/>
    <mergeCell ref="A88:I88"/>
    <mergeCell ref="G89:I89"/>
    <mergeCell ref="A110:D110"/>
    <mergeCell ref="A71:I71"/>
    <mergeCell ref="G72:I72"/>
    <mergeCell ref="E110:I110"/>
    <mergeCell ref="A112:I112"/>
    <mergeCell ref="G113:I113"/>
  </mergeCells>
  <printOptions horizontalCentered="1" verticalCentered="1"/>
  <pageMargins left="0.11811023622047245" right="0.11811023622047245" top="0.11811023622047245" bottom="0.1181102362204724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1000"/>
  <sheetViews>
    <sheetView workbookViewId="0">
      <selection sqref="A1:H1"/>
    </sheetView>
  </sheetViews>
  <sheetFormatPr defaultColWidth="14.42578125" defaultRowHeight="15" customHeight="1"/>
  <cols>
    <col min="1" max="1" width="6.7109375" customWidth="1"/>
    <col min="2" max="2" width="90.5703125" customWidth="1"/>
    <col min="3" max="3" width="11.140625" customWidth="1"/>
    <col min="4" max="4" width="9" customWidth="1"/>
    <col min="5" max="5" width="9.28515625" customWidth="1"/>
    <col min="6" max="6" width="9" customWidth="1"/>
    <col min="7" max="7" width="7.5703125" customWidth="1"/>
    <col min="8" max="8" width="4.7109375" customWidth="1"/>
    <col min="9" max="12" width="4.28515625" customWidth="1"/>
    <col min="13" max="13" width="3.7109375" customWidth="1"/>
  </cols>
  <sheetData>
    <row r="1" spans="1:9" ht="15.75" customHeight="1">
      <c r="A1" s="1059" t="s">
        <v>359</v>
      </c>
      <c r="B1" s="1060"/>
      <c r="C1" s="1060"/>
      <c r="D1" s="1060"/>
      <c r="E1" s="1060"/>
      <c r="F1" s="1060"/>
      <c r="G1" s="1060"/>
      <c r="H1" s="1060"/>
      <c r="I1" s="553"/>
    </row>
    <row r="2" spans="1:9" ht="15.75" customHeight="1">
      <c r="A2" s="1061" t="s">
        <v>360</v>
      </c>
      <c r="B2" s="1060"/>
      <c r="C2" s="1062"/>
      <c r="D2" s="554"/>
      <c r="E2" s="1064" t="s">
        <v>361</v>
      </c>
      <c r="F2" s="1060"/>
      <c r="G2" s="1060"/>
      <c r="H2" s="1062"/>
      <c r="I2" s="556"/>
    </row>
    <row r="3" spans="1:9" ht="15.75" customHeight="1">
      <c r="A3" s="557" t="s">
        <v>362</v>
      </c>
      <c r="B3" s="558" t="s">
        <v>363</v>
      </c>
      <c r="C3" s="558" t="s">
        <v>364</v>
      </c>
      <c r="D3" s="558" t="s">
        <v>365</v>
      </c>
      <c r="E3" s="558" t="s">
        <v>366</v>
      </c>
      <c r="F3" s="558" t="s">
        <v>367</v>
      </c>
      <c r="G3" s="558" t="s">
        <v>368</v>
      </c>
      <c r="H3" s="558" t="s">
        <v>369</v>
      </c>
      <c r="I3" s="559"/>
    </row>
    <row r="4" spans="1:9" ht="15.75" customHeight="1">
      <c r="A4" s="560">
        <v>1</v>
      </c>
      <c r="B4" s="561" t="s">
        <v>370</v>
      </c>
      <c r="C4" s="562" t="s">
        <v>371</v>
      </c>
      <c r="D4" s="562">
        <v>5.66</v>
      </c>
      <c r="E4" s="562">
        <v>25</v>
      </c>
      <c r="F4" s="562">
        <v>25</v>
      </c>
      <c r="G4" s="562">
        <v>25</v>
      </c>
      <c r="H4" s="562">
        <v>40</v>
      </c>
      <c r="I4" s="563">
        <v>1</v>
      </c>
    </row>
    <row r="5" spans="1:9" ht="15.75" customHeight="1">
      <c r="A5" s="564">
        <v>2</v>
      </c>
      <c r="B5" s="565" t="s">
        <v>372</v>
      </c>
      <c r="C5" s="566" t="s">
        <v>373</v>
      </c>
      <c r="D5" s="566">
        <v>6.68</v>
      </c>
      <c r="E5" s="566">
        <v>8</v>
      </c>
      <c r="F5" s="566">
        <v>8</v>
      </c>
      <c r="G5" s="566">
        <v>6</v>
      </c>
      <c r="H5" s="566">
        <v>8</v>
      </c>
      <c r="I5" s="563">
        <v>1</v>
      </c>
    </row>
    <row r="6" spans="1:9" ht="15.75" customHeight="1">
      <c r="A6" s="560">
        <v>3</v>
      </c>
      <c r="B6" s="561" t="s">
        <v>374</v>
      </c>
      <c r="C6" s="562" t="s">
        <v>375</v>
      </c>
      <c r="D6" s="562">
        <v>6.71</v>
      </c>
      <c r="E6" s="562">
        <v>17</v>
      </c>
      <c r="F6" s="562">
        <v>15</v>
      </c>
      <c r="G6" s="562">
        <v>16</v>
      </c>
      <c r="H6" s="562">
        <v>20</v>
      </c>
      <c r="I6" s="563">
        <v>1</v>
      </c>
    </row>
    <row r="7" spans="1:9" ht="15.75" customHeight="1">
      <c r="A7" s="564">
        <v>4</v>
      </c>
      <c r="B7" s="565" t="s">
        <v>376</v>
      </c>
      <c r="C7" s="566" t="s">
        <v>377</v>
      </c>
      <c r="D7" s="566">
        <v>12.47</v>
      </c>
      <c r="E7" s="566">
        <v>1</v>
      </c>
      <c r="F7" s="566">
        <v>2</v>
      </c>
      <c r="G7" s="566">
        <v>1</v>
      </c>
      <c r="H7" s="566">
        <v>4</v>
      </c>
      <c r="I7" s="563">
        <v>1</v>
      </c>
    </row>
    <row r="8" spans="1:9" ht="15.75" customHeight="1">
      <c r="A8" s="560">
        <v>5</v>
      </c>
      <c r="B8" s="561" t="s">
        <v>378</v>
      </c>
      <c r="C8" s="567"/>
      <c r="D8" s="562">
        <v>1.33</v>
      </c>
      <c r="E8" s="562">
        <v>200</v>
      </c>
      <c r="F8" s="562">
        <v>150</v>
      </c>
      <c r="G8" s="562">
        <v>125</v>
      </c>
      <c r="H8" s="562">
        <v>250</v>
      </c>
      <c r="I8" s="563">
        <v>1</v>
      </c>
    </row>
    <row r="9" spans="1:9" ht="15.75" customHeight="1">
      <c r="A9" s="564">
        <v>6</v>
      </c>
      <c r="B9" s="565" t="s">
        <v>379</v>
      </c>
      <c r="C9" s="566" t="s">
        <v>380</v>
      </c>
      <c r="D9" s="566">
        <v>11.41</v>
      </c>
      <c r="E9" s="566">
        <v>1</v>
      </c>
      <c r="F9" s="566">
        <v>4</v>
      </c>
      <c r="G9" s="566">
        <v>1</v>
      </c>
      <c r="H9" s="566">
        <v>0</v>
      </c>
      <c r="I9" s="563">
        <v>1</v>
      </c>
    </row>
    <row r="10" spans="1:9" ht="15.75" customHeight="1">
      <c r="A10" s="560">
        <v>7</v>
      </c>
      <c r="B10" s="561" t="s">
        <v>381</v>
      </c>
      <c r="C10" s="562" t="s">
        <v>382</v>
      </c>
      <c r="D10" s="562">
        <v>1.47</v>
      </c>
      <c r="E10" s="562">
        <v>5</v>
      </c>
      <c r="F10" s="562">
        <v>5</v>
      </c>
      <c r="G10" s="562">
        <v>4</v>
      </c>
      <c r="H10" s="562">
        <v>10</v>
      </c>
      <c r="I10" s="563">
        <v>1</v>
      </c>
    </row>
    <row r="11" spans="1:9" ht="15.75" customHeight="1">
      <c r="A11" s="564">
        <v>8</v>
      </c>
      <c r="B11" s="565" t="s">
        <v>383</v>
      </c>
      <c r="C11" s="566" t="s">
        <v>346</v>
      </c>
      <c r="D11" s="566">
        <v>0.7</v>
      </c>
      <c r="E11" s="566">
        <v>30</v>
      </c>
      <c r="F11" s="566">
        <v>30</v>
      </c>
      <c r="G11" s="566">
        <v>30</v>
      </c>
      <c r="H11" s="566">
        <v>40</v>
      </c>
      <c r="I11" s="563">
        <v>1</v>
      </c>
    </row>
    <row r="12" spans="1:9" ht="15.75" customHeight="1">
      <c r="A12" s="560">
        <v>9</v>
      </c>
      <c r="B12" s="561" t="s">
        <v>384</v>
      </c>
      <c r="C12" s="562" t="s">
        <v>385</v>
      </c>
      <c r="D12" s="562">
        <v>2.37</v>
      </c>
      <c r="E12" s="562">
        <v>10</v>
      </c>
      <c r="F12" s="562">
        <v>10</v>
      </c>
      <c r="G12" s="562">
        <v>10</v>
      </c>
      <c r="H12" s="562">
        <v>0</v>
      </c>
      <c r="I12" s="563">
        <v>1</v>
      </c>
    </row>
    <row r="13" spans="1:9" ht="15.75" customHeight="1">
      <c r="A13" s="564">
        <v>10</v>
      </c>
      <c r="B13" s="565" t="s">
        <v>386</v>
      </c>
      <c r="C13" s="566" t="s">
        <v>387</v>
      </c>
      <c r="D13" s="566">
        <v>4.2</v>
      </c>
      <c r="E13" s="566">
        <v>2</v>
      </c>
      <c r="F13" s="566">
        <v>1</v>
      </c>
      <c r="G13" s="566">
        <v>2</v>
      </c>
      <c r="H13" s="566">
        <v>0</v>
      </c>
      <c r="I13" s="563">
        <v>1</v>
      </c>
    </row>
    <row r="14" spans="1:9" ht="15.75" customHeight="1">
      <c r="A14" s="560">
        <v>11</v>
      </c>
      <c r="B14" s="561" t="s">
        <v>388</v>
      </c>
      <c r="C14" s="562" t="s">
        <v>389</v>
      </c>
      <c r="D14" s="562">
        <v>2.93</v>
      </c>
      <c r="E14" s="562">
        <v>3</v>
      </c>
      <c r="F14" s="562">
        <v>2</v>
      </c>
      <c r="G14" s="562">
        <v>2</v>
      </c>
      <c r="H14" s="562">
        <v>0</v>
      </c>
      <c r="I14" s="563">
        <v>1</v>
      </c>
    </row>
    <row r="15" spans="1:9" ht="15.75" customHeight="1">
      <c r="A15" s="564">
        <v>12</v>
      </c>
      <c r="B15" s="565" t="s">
        <v>390</v>
      </c>
      <c r="C15" s="566" t="s">
        <v>391</v>
      </c>
      <c r="D15" s="566">
        <v>8.33</v>
      </c>
      <c r="E15" s="566">
        <v>40</v>
      </c>
      <c r="F15" s="566">
        <v>30</v>
      </c>
      <c r="G15" s="566">
        <v>30</v>
      </c>
      <c r="H15" s="566">
        <v>40</v>
      </c>
      <c r="I15" s="563">
        <v>1</v>
      </c>
    </row>
    <row r="16" spans="1:9" ht="15.75" customHeight="1">
      <c r="A16" s="560">
        <v>13</v>
      </c>
      <c r="B16" s="561" t="s">
        <v>392</v>
      </c>
      <c r="C16" s="562" t="s">
        <v>393</v>
      </c>
      <c r="D16" s="562">
        <v>3.09</v>
      </c>
      <c r="E16" s="562">
        <v>2</v>
      </c>
      <c r="F16" s="562">
        <v>2</v>
      </c>
      <c r="G16" s="562">
        <v>2</v>
      </c>
      <c r="H16" s="562">
        <v>0</v>
      </c>
      <c r="I16" s="563">
        <v>1</v>
      </c>
    </row>
    <row r="17" spans="1:9" ht="15.75" customHeight="1">
      <c r="A17" s="564">
        <v>14</v>
      </c>
      <c r="B17" s="565" t="s">
        <v>394</v>
      </c>
      <c r="C17" s="566" t="s">
        <v>395</v>
      </c>
      <c r="D17" s="566">
        <v>32.9</v>
      </c>
      <c r="E17" s="566">
        <v>3</v>
      </c>
      <c r="F17" s="566">
        <v>5</v>
      </c>
      <c r="G17" s="566">
        <v>5</v>
      </c>
      <c r="H17" s="566">
        <v>5</v>
      </c>
      <c r="I17" s="563">
        <v>1</v>
      </c>
    </row>
    <row r="18" spans="1:9" ht="15.75" customHeight="1">
      <c r="A18" s="560">
        <v>15</v>
      </c>
      <c r="B18" s="561" t="s">
        <v>396</v>
      </c>
      <c r="C18" s="562" t="s">
        <v>397</v>
      </c>
      <c r="D18" s="562">
        <v>2.81</v>
      </c>
      <c r="E18" s="562">
        <v>10</v>
      </c>
      <c r="F18" s="562">
        <v>6</v>
      </c>
      <c r="G18" s="562">
        <v>8</v>
      </c>
      <c r="H18" s="562">
        <v>15</v>
      </c>
      <c r="I18" s="563">
        <v>1</v>
      </c>
    </row>
    <row r="19" spans="1:9" ht="15.75" customHeight="1">
      <c r="A19" s="564">
        <v>16</v>
      </c>
      <c r="B19" s="565" t="s">
        <v>398</v>
      </c>
      <c r="C19" s="566" t="s">
        <v>346</v>
      </c>
      <c r="D19" s="566">
        <v>3.95</v>
      </c>
      <c r="E19" s="566">
        <v>7</v>
      </c>
      <c r="F19" s="566">
        <v>7</v>
      </c>
      <c r="G19" s="566">
        <v>7</v>
      </c>
      <c r="H19" s="566">
        <v>0</v>
      </c>
      <c r="I19" s="563">
        <v>1</v>
      </c>
    </row>
    <row r="20" spans="1:9" ht="15.75" customHeight="1">
      <c r="A20" s="560">
        <v>17</v>
      </c>
      <c r="B20" s="561" t="s">
        <v>399</v>
      </c>
      <c r="C20" s="562" t="s">
        <v>400</v>
      </c>
      <c r="D20" s="562">
        <v>3.28</v>
      </c>
      <c r="E20" s="562">
        <v>2</v>
      </c>
      <c r="F20" s="562">
        <v>1</v>
      </c>
      <c r="G20" s="562">
        <v>2</v>
      </c>
      <c r="H20" s="562">
        <v>0</v>
      </c>
      <c r="I20" s="563">
        <v>1</v>
      </c>
    </row>
    <row r="21" spans="1:9" ht="15.75" customHeight="1">
      <c r="A21" s="564">
        <v>18</v>
      </c>
      <c r="B21" s="565" t="s">
        <v>401</v>
      </c>
      <c r="C21" s="566" t="s">
        <v>400</v>
      </c>
      <c r="D21" s="566">
        <v>28.07</v>
      </c>
      <c r="E21" s="566">
        <v>4</v>
      </c>
      <c r="F21" s="566">
        <v>4</v>
      </c>
      <c r="G21" s="566">
        <v>2</v>
      </c>
      <c r="H21" s="566">
        <v>5</v>
      </c>
      <c r="I21" s="563">
        <v>1</v>
      </c>
    </row>
    <row r="22" spans="1:9" ht="15.75" customHeight="1">
      <c r="A22" s="560">
        <v>19</v>
      </c>
      <c r="B22" s="561" t="s">
        <v>402</v>
      </c>
      <c r="C22" s="562" t="s">
        <v>403</v>
      </c>
      <c r="D22" s="562">
        <v>10.43</v>
      </c>
      <c r="E22" s="562">
        <v>4</v>
      </c>
      <c r="F22" s="562">
        <v>4</v>
      </c>
      <c r="G22" s="562">
        <v>4</v>
      </c>
      <c r="H22" s="562">
        <v>0</v>
      </c>
      <c r="I22" s="563">
        <v>1</v>
      </c>
    </row>
    <row r="23" spans="1:9" ht="15.75" customHeight="1">
      <c r="A23" s="564">
        <v>20</v>
      </c>
      <c r="B23" s="565" t="s">
        <v>404</v>
      </c>
      <c r="C23" s="568"/>
      <c r="D23" s="568">
        <v>16.54</v>
      </c>
      <c r="E23" s="568"/>
      <c r="F23" s="568"/>
      <c r="G23" s="568"/>
      <c r="H23" s="566">
        <v>2</v>
      </c>
      <c r="I23" s="563">
        <v>1</v>
      </c>
    </row>
    <row r="24" spans="1:9" ht="15.75" customHeight="1">
      <c r="A24" s="560">
        <v>21</v>
      </c>
      <c r="B24" s="561" t="s">
        <v>405</v>
      </c>
      <c r="C24" s="562" t="s">
        <v>403</v>
      </c>
      <c r="D24" s="562">
        <v>11.87</v>
      </c>
      <c r="E24" s="562">
        <v>2</v>
      </c>
      <c r="F24" s="562">
        <v>2</v>
      </c>
      <c r="G24" s="562">
        <v>2</v>
      </c>
      <c r="H24" s="562">
        <v>2</v>
      </c>
      <c r="I24" s="563">
        <v>1</v>
      </c>
    </row>
    <row r="25" spans="1:9" ht="15.75" customHeight="1">
      <c r="A25" s="564">
        <v>22</v>
      </c>
      <c r="B25" s="565" t="s">
        <v>406</v>
      </c>
      <c r="C25" s="566" t="s">
        <v>397</v>
      </c>
      <c r="D25" s="566">
        <v>43.43</v>
      </c>
      <c r="E25" s="566">
        <v>4</v>
      </c>
      <c r="F25" s="566">
        <v>2</v>
      </c>
      <c r="G25" s="566">
        <v>4</v>
      </c>
      <c r="H25" s="566">
        <v>6</v>
      </c>
      <c r="I25" s="563">
        <v>1</v>
      </c>
    </row>
    <row r="26" spans="1:9" ht="15.75" customHeight="1">
      <c r="A26" s="560">
        <v>23</v>
      </c>
      <c r="B26" s="561" t="s">
        <v>407</v>
      </c>
      <c r="C26" s="562" t="s">
        <v>408</v>
      </c>
      <c r="D26" s="562">
        <v>3.18</v>
      </c>
      <c r="E26" s="562">
        <v>20</v>
      </c>
      <c r="F26" s="562">
        <v>20</v>
      </c>
      <c r="G26" s="562">
        <v>15</v>
      </c>
      <c r="H26" s="562">
        <v>20</v>
      </c>
      <c r="I26" s="563">
        <v>1</v>
      </c>
    </row>
    <row r="27" spans="1:9" ht="15.75" customHeight="1">
      <c r="A27" s="564">
        <v>24</v>
      </c>
      <c r="B27" s="565" t="s">
        <v>409</v>
      </c>
      <c r="C27" s="566" t="s">
        <v>364</v>
      </c>
      <c r="D27" s="566">
        <v>6.93</v>
      </c>
      <c r="E27" s="566">
        <v>4</v>
      </c>
      <c r="F27" s="566">
        <v>4</v>
      </c>
      <c r="G27" s="566">
        <v>4</v>
      </c>
      <c r="H27" s="566">
        <v>2</v>
      </c>
      <c r="I27" s="563">
        <v>1</v>
      </c>
    </row>
    <row r="28" spans="1:9" ht="15.75" customHeight="1">
      <c r="A28" s="560">
        <v>25</v>
      </c>
      <c r="B28" s="561" t="s">
        <v>410</v>
      </c>
      <c r="C28" s="562" t="s">
        <v>364</v>
      </c>
      <c r="D28" s="562">
        <v>6.86</v>
      </c>
      <c r="E28" s="562">
        <v>4</v>
      </c>
      <c r="F28" s="562">
        <v>4</v>
      </c>
      <c r="G28" s="562">
        <v>4</v>
      </c>
      <c r="H28" s="562">
        <v>2</v>
      </c>
      <c r="I28" s="563">
        <v>1</v>
      </c>
    </row>
    <row r="29" spans="1:9" ht="15.75" customHeight="1">
      <c r="A29" s="564">
        <v>26</v>
      </c>
      <c r="B29" s="565" t="s">
        <v>411</v>
      </c>
      <c r="C29" s="566" t="s">
        <v>364</v>
      </c>
      <c r="D29" s="566">
        <v>40.159999999999997</v>
      </c>
      <c r="E29" s="566">
        <v>1</v>
      </c>
      <c r="F29" s="566">
        <v>1</v>
      </c>
      <c r="G29" s="566">
        <v>1</v>
      </c>
      <c r="H29" s="566">
        <v>1</v>
      </c>
      <c r="I29" s="563">
        <v>1</v>
      </c>
    </row>
    <row r="30" spans="1:9" ht="15.75" customHeight="1">
      <c r="A30" s="560">
        <v>27</v>
      </c>
      <c r="B30" s="561" t="s">
        <v>412</v>
      </c>
      <c r="C30" s="562" t="s">
        <v>364</v>
      </c>
      <c r="D30" s="562">
        <v>15.27</v>
      </c>
      <c r="E30" s="562">
        <v>0</v>
      </c>
      <c r="F30" s="562">
        <v>1</v>
      </c>
      <c r="G30" s="562">
        <v>3</v>
      </c>
      <c r="H30" s="562">
        <v>0</v>
      </c>
      <c r="I30" s="563">
        <v>1</v>
      </c>
    </row>
    <row r="31" spans="1:9" ht="15.75" customHeight="1">
      <c r="A31" s="564">
        <v>28</v>
      </c>
      <c r="B31" s="565" t="s">
        <v>413</v>
      </c>
      <c r="C31" s="566" t="s">
        <v>364</v>
      </c>
      <c r="D31" s="566">
        <v>63.83</v>
      </c>
      <c r="E31" s="566">
        <v>0</v>
      </c>
      <c r="F31" s="566">
        <v>1</v>
      </c>
      <c r="G31" s="566">
        <v>3</v>
      </c>
      <c r="H31" s="566">
        <v>0</v>
      </c>
      <c r="I31" s="563">
        <v>1</v>
      </c>
    </row>
    <row r="32" spans="1:9" ht="15.75" customHeight="1">
      <c r="A32" s="560">
        <v>29</v>
      </c>
      <c r="B32" s="561" t="s">
        <v>414</v>
      </c>
      <c r="C32" s="562" t="s">
        <v>364</v>
      </c>
      <c r="D32" s="562">
        <v>12.28</v>
      </c>
      <c r="E32" s="562">
        <v>6</v>
      </c>
      <c r="F32" s="567"/>
      <c r="G32" s="562">
        <v>5</v>
      </c>
      <c r="H32" s="562">
        <v>10</v>
      </c>
      <c r="I32" s="563">
        <v>1</v>
      </c>
    </row>
    <row r="33" spans="1:9" ht="15.75" customHeight="1">
      <c r="A33" s="564">
        <v>30</v>
      </c>
      <c r="B33" s="565" t="s">
        <v>415</v>
      </c>
      <c r="C33" s="566" t="s">
        <v>416</v>
      </c>
      <c r="D33" s="566">
        <v>13.98</v>
      </c>
      <c r="E33" s="566">
        <v>8</v>
      </c>
      <c r="F33" s="566">
        <v>8</v>
      </c>
      <c r="G33" s="566">
        <v>3</v>
      </c>
      <c r="H33" s="566">
        <v>8</v>
      </c>
      <c r="I33" s="563">
        <v>1</v>
      </c>
    </row>
    <row r="34" spans="1:9" ht="15.75" customHeight="1">
      <c r="A34" s="560">
        <v>31</v>
      </c>
      <c r="B34" s="561" t="s">
        <v>417</v>
      </c>
      <c r="C34" s="562" t="s">
        <v>346</v>
      </c>
      <c r="D34" s="562">
        <v>3.94</v>
      </c>
      <c r="E34" s="562">
        <v>10</v>
      </c>
      <c r="F34" s="562">
        <v>6</v>
      </c>
      <c r="G34" s="562">
        <v>6</v>
      </c>
      <c r="H34" s="562">
        <v>20</v>
      </c>
      <c r="I34" s="563">
        <v>6</v>
      </c>
    </row>
    <row r="35" spans="1:9" ht="15.75" customHeight="1">
      <c r="A35" s="564">
        <v>32</v>
      </c>
      <c r="B35" s="565" t="s">
        <v>418</v>
      </c>
      <c r="C35" s="566" t="s">
        <v>346</v>
      </c>
      <c r="D35" s="566">
        <v>2.68</v>
      </c>
      <c r="E35" s="566">
        <v>12</v>
      </c>
      <c r="F35" s="566">
        <v>12</v>
      </c>
      <c r="G35" s="566">
        <v>10</v>
      </c>
      <c r="H35" s="566">
        <v>0</v>
      </c>
      <c r="I35" s="563">
        <v>6</v>
      </c>
    </row>
    <row r="36" spans="1:9" ht="15.75" customHeight="1">
      <c r="A36" s="560">
        <v>33</v>
      </c>
      <c r="B36" s="561" t="s">
        <v>419</v>
      </c>
      <c r="C36" s="562" t="s">
        <v>420</v>
      </c>
      <c r="D36" s="562">
        <v>1.72</v>
      </c>
      <c r="E36" s="562">
        <v>12</v>
      </c>
      <c r="F36" s="562">
        <v>12</v>
      </c>
      <c r="G36" s="562">
        <v>12</v>
      </c>
      <c r="H36" s="562">
        <v>12</v>
      </c>
      <c r="I36" s="563">
        <v>6</v>
      </c>
    </row>
    <row r="37" spans="1:9" ht="15.75" customHeight="1">
      <c r="A37" s="564">
        <v>34</v>
      </c>
      <c r="B37" s="565" t="s">
        <v>421</v>
      </c>
      <c r="C37" s="566" t="s">
        <v>422</v>
      </c>
      <c r="D37" s="566">
        <v>13.19</v>
      </c>
      <c r="E37" s="566">
        <v>6</v>
      </c>
      <c r="F37" s="566">
        <v>2</v>
      </c>
      <c r="G37" s="566">
        <v>5</v>
      </c>
      <c r="H37" s="566">
        <v>1</v>
      </c>
      <c r="I37" s="563">
        <v>6</v>
      </c>
    </row>
    <row r="38" spans="1:9" ht="15.75" customHeight="1">
      <c r="A38" s="560">
        <v>35</v>
      </c>
      <c r="B38" s="561" t="s">
        <v>423</v>
      </c>
      <c r="C38" s="562" t="s">
        <v>420</v>
      </c>
      <c r="D38" s="562">
        <v>0.72</v>
      </c>
      <c r="E38" s="562">
        <v>3</v>
      </c>
      <c r="F38" s="562">
        <v>3</v>
      </c>
      <c r="G38" s="562">
        <v>2</v>
      </c>
      <c r="H38" s="562">
        <v>0</v>
      </c>
      <c r="I38" s="563">
        <v>6</v>
      </c>
    </row>
    <row r="39" spans="1:9" ht="15.75" customHeight="1">
      <c r="A39" s="564">
        <v>36</v>
      </c>
      <c r="B39" s="565" t="s">
        <v>424</v>
      </c>
      <c r="C39" s="566" t="s">
        <v>425</v>
      </c>
      <c r="D39" s="566">
        <v>3.36</v>
      </c>
      <c r="E39" s="566">
        <v>3</v>
      </c>
      <c r="F39" s="566">
        <v>3</v>
      </c>
      <c r="G39" s="566">
        <v>3</v>
      </c>
      <c r="H39" s="566">
        <v>0</v>
      </c>
      <c r="I39" s="563">
        <v>6</v>
      </c>
    </row>
    <row r="40" spans="1:9" ht="15.75" customHeight="1">
      <c r="A40" s="560">
        <v>37</v>
      </c>
      <c r="B40" s="561" t="s">
        <v>426</v>
      </c>
      <c r="C40" s="562" t="s">
        <v>346</v>
      </c>
      <c r="D40" s="562">
        <v>7.4</v>
      </c>
      <c r="E40" s="562">
        <v>30</v>
      </c>
      <c r="F40" s="562">
        <v>30</v>
      </c>
      <c r="G40" s="562">
        <v>10</v>
      </c>
      <c r="H40" s="562">
        <v>30</v>
      </c>
      <c r="I40" s="563">
        <v>6</v>
      </c>
    </row>
    <row r="41" spans="1:9" ht="15.75" customHeight="1">
      <c r="A41" s="564">
        <v>38</v>
      </c>
      <c r="B41" s="565" t="s">
        <v>427</v>
      </c>
      <c r="C41" s="566" t="s">
        <v>364</v>
      </c>
      <c r="D41" s="566">
        <v>4.8</v>
      </c>
      <c r="E41" s="566">
        <v>4</v>
      </c>
      <c r="F41" s="566">
        <v>2</v>
      </c>
      <c r="G41" s="566">
        <v>3</v>
      </c>
      <c r="H41" s="566">
        <v>2</v>
      </c>
      <c r="I41" s="563">
        <v>6</v>
      </c>
    </row>
    <row r="42" spans="1:9" ht="15.75" customHeight="1">
      <c r="A42" s="560">
        <v>39</v>
      </c>
      <c r="B42" s="561" t="s">
        <v>428</v>
      </c>
      <c r="C42" s="562" t="s">
        <v>364</v>
      </c>
      <c r="D42" s="562">
        <v>14.2</v>
      </c>
      <c r="E42" s="562">
        <v>6</v>
      </c>
      <c r="F42" s="562">
        <v>6</v>
      </c>
      <c r="G42" s="562">
        <v>6</v>
      </c>
      <c r="H42" s="562">
        <v>10</v>
      </c>
      <c r="I42" s="563">
        <v>6</v>
      </c>
    </row>
    <row r="43" spans="1:9" ht="15.75" customHeight="1">
      <c r="A43" s="564">
        <v>40</v>
      </c>
      <c r="B43" s="565" t="s">
        <v>429</v>
      </c>
      <c r="C43" s="566" t="s">
        <v>364</v>
      </c>
      <c r="D43" s="566">
        <v>6.01</v>
      </c>
      <c r="E43" s="566">
        <v>10</v>
      </c>
      <c r="F43" s="566">
        <v>6</v>
      </c>
      <c r="G43" s="566">
        <v>10</v>
      </c>
      <c r="H43" s="566">
        <v>10</v>
      </c>
      <c r="I43" s="563">
        <v>6</v>
      </c>
    </row>
    <row r="44" spans="1:9" ht="15.75" customHeight="1">
      <c r="A44" s="560">
        <v>41</v>
      </c>
      <c r="B44" s="561" t="s">
        <v>430</v>
      </c>
      <c r="C44" s="562" t="s">
        <v>364</v>
      </c>
      <c r="D44" s="562">
        <v>12.47</v>
      </c>
      <c r="E44" s="562">
        <v>6</v>
      </c>
      <c r="F44" s="562">
        <v>6</v>
      </c>
      <c r="G44" s="562">
        <v>3</v>
      </c>
      <c r="H44" s="562">
        <v>0</v>
      </c>
      <c r="I44" s="563">
        <v>6</v>
      </c>
    </row>
    <row r="45" spans="1:9" ht="15.75" customHeight="1">
      <c r="A45" s="564">
        <v>42</v>
      </c>
      <c r="B45" s="565" t="s">
        <v>431</v>
      </c>
      <c r="C45" s="568"/>
      <c r="D45" s="568">
        <v>9.74</v>
      </c>
      <c r="E45" s="568"/>
      <c r="F45" s="566">
        <v>2</v>
      </c>
      <c r="G45" s="566">
        <v>2</v>
      </c>
      <c r="H45" s="566">
        <v>4</v>
      </c>
      <c r="I45" s="563">
        <v>6</v>
      </c>
    </row>
    <row r="46" spans="1:9" ht="15.75" customHeight="1">
      <c r="A46" s="560">
        <v>43</v>
      </c>
      <c r="B46" s="561" t="s">
        <v>432</v>
      </c>
      <c r="C46" s="562" t="s">
        <v>433</v>
      </c>
      <c r="D46" s="562">
        <v>5.95</v>
      </c>
      <c r="E46" s="562">
        <v>3</v>
      </c>
      <c r="F46" s="562">
        <v>3</v>
      </c>
      <c r="G46" s="562">
        <v>3</v>
      </c>
      <c r="H46" s="562">
        <v>0</v>
      </c>
      <c r="I46" s="563">
        <v>6</v>
      </c>
    </row>
    <row r="47" spans="1:9" ht="15.75" customHeight="1">
      <c r="A47" s="564">
        <v>44</v>
      </c>
      <c r="B47" s="565" t="s">
        <v>434</v>
      </c>
      <c r="C47" s="566" t="s">
        <v>364</v>
      </c>
      <c r="D47" s="566">
        <v>8.0500000000000007</v>
      </c>
      <c r="E47" s="566">
        <v>3</v>
      </c>
      <c r="F47" s="566">
        <v>3</v>
      </c>
      <c r="G47" s="566">
        <v>3</v>
      </c>
      <c r="H47" s="566">
        <v>10</v>
      </c>
      <c r="I47" s="563">
        <v>6</v>
      </c>
    </row>
    <row r="48" spans="1:9" ht="15.75" customHeight="1">
      <c r="A48" s="560">
        <v>45</v>
      </c>
      <c r="B48" s="561" t="s">
        <v>435</v>
      </c>
      <c r="C48" s="562" t="s">
        <v>436</v>
      </c>
      <c r="D48" s="562">
        <v>2.39</v>
      </c>
      <c r="E48" s="562">
        <v>10</v>
      </c>
      <c r="F48" s="562">
        <v>10</v>
      </c>
      <c r="G48" s="562">
        <v>10</v>
      </c>
      <c r="H48" s="562">
        <v>8</v>
      </c>
      <c r="I48" s="563">
        <v>12</v>
      </c>
    </row>
    <row r="49" spans="1:11" ht="15.75" customHeight="1">
      <c r="A49" s="564">
        <v>46</v>
      </c>
      <c r="B49" s="565" t="s">
        <v>437</v>
      </c>
      <c r="C49" s="566" t="s">
        <v>438</v>
      </c>
      <c r="D49" s="566">
        <v>2.5</v>
      </c>
      <c r="E49" s="566">
        <v>20</v>
      </c>
      <c r="F49" s="566">
        <v>12</v>
      </c>
      <c r="G49" s="566">
        <v>14</v>
      </c>
      <c r="H49" s="566">
        <v>8</v>
      </c>
      <c r="I49" s="563">
        <v>12</v>
      </c>
    </row>
    <row r="50" spans="1:11" ht="15.75" customHeight="1">
      <c r="A50" s="560">
        <v>47</v>
      </c>
      <c r="B50" s="561" t="s">
        <v>439</v>
      </c>
      <c r="C50" s="562" t="s">
        <v>438</v>
      </c>
      <c r="D50" s="562">
        <v>2.88</v>
      </c>
      <c r="E50" s="562">
        <v>24</v>
      </c>
      <c r="F50" s="562">
        <v>24</v>
      </c>
      <c r="G50" s="562">
        <v>35</v>
      </c>
      <c r="H50" s="562">
        <v>32</v>
      </c>
      <c r="I50" s="563">
        <v>12</v>
      </c>
    </row>
    <row r="51" spans="1:11" ht="15.75" customHeight="1">
      <c r="A51" s="564">
        <v>48</v>
      </c>
      <c r="B51" s="565" t="s">
        <v>440</v>
      </c>
      <c r="C51" s="566" t="s">
        <v>441</v>
      </c>
      <c r="D51" s="566">
        <v>76.62</v>
      </c>
      <c r="E51" s="566">
        <v>1</v>
      </c>
      <c r="F51" s="566">
        <v>1</v>
      </c>
      <c r="G51" s="566">
        <v>1</v>
      </c>
      <c r="H51" s="566">
        <v>1</v>
      </c>
      <c r="I51" s="563">
        <v>12</v>
      </c>
    </row>
    <row r="52" spans="1:11" ht="15.75" customHeight="1">
      <c r="A52" s="560">
        <v>49</v>
      </c>
      <c r="B52" s="561" t="s">
        <v>442</v>
      </c>
      <c r="C52" s="562" t="s">
        <v>346</v>
      </c>
      <c r="D52" s="562">
        <v>21.97</v>
      </c>
      <c r="E52" s="562">
        <v>4</v>
      </c>
      <c r="F52" s="562">
        <v>4</v>
      </c>
      <c r="G52" s="567"/>
      <c r="H52" s="562">
        <v>5</v>
      </c>
      <c r="I52" s="563">
        <v>12</v>
      </c>
    </row>
    <row r="53" spans="1:11" ht="15.75" customHeight="1">
      <c r="A53" s="564">
        <v>50</v>
      </c>
      <c r="B53" s="565" t="s">
        <v>443</v>
      </c>
      <c r="C53" s="566" t="s">
        <v>364</v>
      </c>
      <c r="D53" s="566">
        <v>24.92</v>
      </c>
      <c r="E53" s="566">
        <v>4</v>
      </c>
      <c r="F53" s="566">
        <v>4</v>
      </c>
      <c r="G53" s="568"/>
      <c r="H53" s="566">
        <v>10</v>
      </c>
      <c r="I53" s="563">
        <v>12</v>
      </c>
    </row>
    <row r="54" spans="1:11" ht="15.75" customHeight="1">
      <c r="A54" s="560">
        <v>51</v>
      </c>
      <c r="B54" s="561" t="s">
        <v>444</v>
      </c>
      <c r="C54" s="562" t="s">
        <v>364</v>
      </c>
      <c r="D54" s="562">
        <v>32.229999999999997</v>
      </c>
      <c r="E54" s="562">
        <v>6</v>
      </c>
      <c r="F54" s="562">
        <v>6</v>
      </c>
      <c r="G54" s="567"/>
      <c r="H54" s="562">
        <v>2</v>
      </c>
      <c r="I54" s="563">
        <v>12</v>
      </c>
    </row>
    <row r="55" spans="1:11" ht="15.75" customHeight="1">
      <c r="A55" s="564">
        <v>52</v>
      </c>
      <c r="B55" s="565" t="s">
        <v>445</v>
      </c>
      <c r="C55" s="566" t="s">
        <v>420</v>
      </c>
      <c r="D55" s="566">
        <v>4.7</v>
      </c>
      <c r="E55" s="566">
        <v>4</v>
      </c>
      <c r="F55" s="566">
        <v>4</v>
      </c>
      <c r="G55" s="566">
        <v>3</v>
      </c>
      <c r="H55" s="566">
        <v>6</v>
      </c>
      <c r="I55" s="563">
        <v>12</v>
      </c>
    </row>
    <row r="56" spans="1:11" ht="15.75" customHeight="1">
      <c r="A56" s="560">
        <v>53</v>
      </c>
      <c r="B56" s="561" t="s">
        <v>446</v>
      </c>
      <c r="C56" s="562" t="s">
        <v>346</v>
      </c>
      <c r="D56" s="567">
        <v>22.18</v>
      </c>
      <c r="E56" s="567">
        <v>0</v>
      </c>
      <c r="F56" s="567">
        <v>0</v>
      </c>
      <c r="G56" s="562">
        <v>2</v>
      </c>
      <c r="H56" s="562">
        <v>6</v>
      </c>
      <c r="I56" s="563">
        <v>12</v>
      </c>
    </row>
    <row r="57" spans="1:11" ht="15.75" customHeight="1">
      <c r="A57" s="564">
        <v>54</v>
      </c>
      <c r="B57" s="561" t="s">
        <v>447</v>
      </c>
      <c r="C57" s="562" t="s">
        <v>420</v>
      </c>
      <c r="D57" s="562">
        <v>59.29</v>
      </c>
      <c r="E57" s="562">
        <v>2</v>
      </c>
      <c r="F57" s="562">
        <v>2</v>
      </c>
      <c r="G57" s="562">
        <v>2</v>
      </c>
      <c r="H57" s="562">
        <v>0</v>
      </c>
      <c r="I57" s="562">
        <v>30</v>
      </c>
      <c r="J57" s="562">
        <v>3</v>
      </c>
      <c r="K57" s="563"/>
    </row>
    <row r="58" spans="1:11" ht="15.75" customHeight="1">
      <c r="A58" s="560">
        <v>55</v>
      </c>
      <c r="B58" s="565" t="s">
        <v>448</v>
      </c>
      <c r="C58" s="566" t="s">
        <v>420</v>
      </c>
      <c r="D58" s="566">
        <v>232.66</v>
      </c>
      <c r="E58" s="566">
        <v>1</v>
      </c>
      <c r="F58" s="566">
        <v>1</v>
      </c>
      <c r="G58" s="568"/>
      <c r="H58" s="566">
        <v>1</v>
      </c>
      <c r="I58" s="562">
        <v>30</v>
      </c>
      <c r="J58" s="568"/>
      <c r="K58" s="569"/>
    </row>
    <row r="59" spans="1:11" ht="15.75" customHeight="1">
      <c r="A59" s="564">
        <v>56</v>
      </c>
      <c r="B59" s="561" t="s">
        <v>449</v>
      </c>
      <c r="C59" s="562" t="s">
        <v>420</v>
      </c>
      <c r="D59" s="562">
        <v>2104.67</v>
      </c>
      <c r="E59" s="562">
        <v>1</v>
      </c>
      <c r="F59" s="562">
        <v>1</v>
      </c>
      <c r="G59" s="562">
        <v>1</v>
      </c>
      <c r="H59" s="562">
        <v>1</v>
      </c>
      <c r="I59" s="562">
        <v>30</v>
      </c>
      <c r="J59" s="562">
        <v>1</v>
      </c>
      <c r="K59" s="563"/>
    </row>
    <row r="60" spans="1:11" ht="15.75" customHeight="1">
      <c r="A60" s="560">
        <v>57</v>
      </c>
      <c r="B60" s="565" t="s">
        <v>450</v>
      </c>
      <c r="C60" s="566" t="s">
        <v>420</v>
      </c>
      <c r="D60" s="566">
        <v>143.07</v>
      </c>
      <c r="E60" s="566">
        <v>2</v>
      </c>
      <c r="F60" s="566">
        <v>1</v>
      </c>
      <c r="G60" s="566">
        <v>2</v>
      </c>
      <c r="H60" s="566">
        <v>1</v>
      </c>
      <c r="I60" s="562">
        <v>30</v>
      </c>
      <c r="J60" s="566">
        <v>3</v>
      </c>
      <c r="K60" s="570"/>
    </row>
    <row r="61" spans="1:11" ht="15.75" customHeight="1">
      <c r="A61" s="564">
        <v>58</v>
      </c>
      <c r="B61" s="561" t="s">
        <v>451</v>
      </c>
      <c r="C61" s="562" t="s">
        <v>420</v>
      </c>
      <c r="D61" s="562">
        <v>228.33</v>
      </c>
      <c r="E61" s="562">
        <v>1</v>
      </c>
      <c r="F61" s="562">
        <v>1</v>
      </c>
      <c r="G61" s="562">
        <v>1</v>
      </c>
      <c r="H61" s="562">
        <v>1</v>
      </c>
      <c r="I61" s="562">
        <v>30</v>
      </c>
      <c r="J61" s="567"/>
      <c r="K61" s="571"/>
    </row>
    <row r="62" spans="1:11" ht="15.75" customHeight="1">
      <c r="A62" s="560">
        <v>59</v>
      </c>
      <c r="B62" s="565" t="s">
        <v>452</v>
      </c>
      <c r="C62" s="566" t="s">
        <v>420</v>
      </c>
      <c r="D62" s="566">
        <v>29.93</v>
      </c>
      <c r="E62" s="566">
        <v>6</v>
      </c>
      <c r="F62" s="566">
        <v>6</v>
      </c>
      <c r="G62" s="566">
        <v>6</v>
      </c>
      <c r="H62" s="566">
        <v>6</v>
      </c>
      <c r="I62" s="562">
        <v>30</v>
      </c>
      <c r="J62" s="568"/>
      <c r="K62" s="569"/>
    </row>
    <row r="63" spans="1:11" ht="15.75" customHeight="1">
      <c r="A63" s="564">
        <v>60</v>
      </c>
      <c r="B63" s="561" t="s">
        <v>453</v>
      </c>
      <c r="C63" s="562" t="s">
        <v>346</v>
      </c>
      <c r="D63" s="562">
        <v>22.56</v>
      </c>
      <c r="E63" s="562">
        <v>2</v>
      </c>
      <c r="F63" s="562">
        <v>2</v>
      </c>
      <c r="G63" s="562">
        <v>2</v>
      </c>
      <c r="H63" s="562">
        <v>2</v>
      </c>
      <c r="I63" s="562">
        <v>30</v>
      </c>
      <c r="J63" s="562">
        <v>2</v>
      </c>
      <c r="K63" s="563"/>
    </row>
    <row r="64" spans="1:11" ht="15.75" customHeight="1">
      <c r="A64" s="560">
        <v>61</v>
      </c>
      <c r="B64" s="565" t="s">
        <v>454</v>
      </c>
      <c r="C64" s="566" t="s">
        <v>346</v>
      </c>
      <c r="D64" s="566">
        <v>1980.12</v>
      </c>
      <c r="E64" s="566">
        <v>1</v>
      </c>
      <c r="F64" s="566">
        <v>1</v>
      </c>
      <c r="G64" s="566">
        <v>1</v>
      </c>
      <c r="H64" s="566">
        <v>1</v>
      </c>
      <c r="I64" s="562">
        <v>30</v>
      </c>
      <c r="J64" s="568"/>
      <c r="K64" s="569"/>
    </row>
    <row r="65" spans="1:11" ht="15.75" customHeight="1">
      <c r="A65" s="564">
        <v>62</v>
      </c>
      <c r="B65" s="561" t="s">
        <v>455</v>
      </c>
      <c r="C65" s="562" t="s">
        <v>346</v>
      </c>
      <c r="D65" s="562">
        <v>1985.96</v>
      </c>
      <c r="E65" s="562">
        <v>1</v>
      </c>
      <c r="F65" s="562">
        <v>1</v>
      </c>
      <c r="G65" s="562">
        <v>1</v>
      </c>
      <c r="H65" s="562">
        <v>1</v>
      </c>
      <c r="I65" s="562">
        <v>30</v>
      </c>
      <c r="J65" s="567"/>
      <c r="K65" s="571"/>
    </row>
    <row r="66" spans="1:11" ht="15.75" customHeight="1">
      <c r="A66" s="560">
        <v>63</v>
      </c>
      <c r="B66" s="565" t="s">
        <v>456</v>
      </c>
      <c r="C66" s="566" t="s">
        <v>364</v>
      </c>
      <c r="D66" s="572">
        <v>62.92</v>
      </c>
      <c r="E66" s="568">
        <v>0</v>
      </c>
      <c r="F66" s="568">
        <v>0</v>
      </c>
      <c r="G66" s="566">
        <v>0</v>
      </c>
      <c r="H66" s="566">
        <v>0</v>
      </c>
      <c r="I66" s="562">
        <v>30</v>
      </c>
      <c r="J66" s="568"/>
      <c r="K66" s="569"/>
    </row>
    <row r="67" spans="1:11" ht="15.75" customHeight="1"/>
    <row r="68" spans="1:11" ht="15.75" customHeight="1">
      <c r="A68" s="1059" t="s">
        <v>457</v>
      </c>
      <c r="B68" s="1060"/>
      <c r="C68" s="1060"/>
      <c r="D68" s="1060"/>
      <c r="E68" s="1060"/>
      <c r="F68" s="1060"/>
      <c r="G68" s="1060"/>
    </row>
    <row r="69" spans="1:11" ht="15.75" customHeight="1">
      <c r="A69" s="1061" t="s">
        <v>360</v>
      </c>
      <c r="B69" s="1060"/>
      <c r="C69" s="1062"/>
      <c r="D69" s="555"/>
      <c r="E69" s="1063" t="s">
        <v>361</v>
      </c>
      <c r="F69" s="1009"/>
      <c r="G69" s="1009"/>
      <c r="H69" s="1010"/>
      <c r="I69" s="556"/>
    </row>
    <row r="70" spans="1:11" ht="15.75" customHeight="1">
      <c r="A70" s="557" t="s">
        <v>362</v>
      </c>
      <c r="B70" s="558" t="s">
        <v>363</v>
      </c>
      <c r="C70" s="558" t="s">
        <v>346</v>
      </c>
      <c r="D70" s="558" t="s">
        <v>365</v>
      </c>
      <c r="E70" s="558" t="s">
        <v>366</v>
      </c>
      <c r="F70" s="558" t="s">
        <v>367</v>
      </c>
      <c r="G70" s="558" t="s">
        <v>368</v>
      </c>
      <c r="H70" s="558" t="s">
        <v>369</v>
      </c>
      <c r="I70" s="559"/>
    </row>
    <row r="71" spans="1:11" ht="15.75" customHeight="1">
      <c r="A71" s="560">
        <v>1</v>
      </c>
      <c r="B71" s="561" t="s">
        <v>458</v>
      </c>
      <c r="C71" s="562" t="s">
        <v>459</v>
      </c>
      <c r="D71" s="562">
        <v>78.83</v>
      </c>
      <c r="E71" s="562">
        <v>12</v>
      </c>
      <c r="F71" s="562">
        <v>12</v>
      </c>
      <c r="G71" s="562">
        <v>14</v>
      </c>
      <c r="H71" s="562">
        <v>0</v>
      </c>
      <c r="I71" s="563">
        <v>6</v>
      </c>
    </row>
    <row r="72" spans="1:11" ht="15.75" customHeight="1">
      <c r="A72" s="564">
        <v>2</v>
      </c>
      <c r="B72" s="565" t="s">
        <v>460</v>
      </c>
      <c r="C72" s="566" t="s">
        <v>459</v>
      </c>
      <c r="D72" s="566">
        <v>57.33</v>
      </c>
      <c r="E72" s="566">
        <v>12</v>
      </c>
      <c r="F72" s="566">
        <v>12</v>
      </c>
      <c r="G72" s="566">
        <v>7</v>
      </c>
      <c r="H72" s="566">
        <v>16</v>
      </c>
      <c r="I72" s="563">
        <v>6</v>
      </c>
    </row>
    <row r="73" spans="1:11" ht="15.75" customHeight="1">
      <c r="A73" s="560">
        <v>3</v>
      </c>
      <c r="B73" s="561" t="s">
        <v>461</v>
      </c>
      <c r="C73" s="562" t="s">
        <v>459</v>
      </c>
      <c r="D73" s="562">
        <v>54.84</v>
      </c>
      <c r="E73" s="562">
        <v>12</v>
      </c>
      <c r="F73" s="562">
        <v>12</v>
      </c>
      <c r="G73" s="562">
        <v>7</v>
      </c>
      <c r="H73" s="562">
        <v>16</v>
      </c>
      <c r="I73" s="563">
        <v>6</v>
      </c>
    </row>
    <row r="74" spans="1:11" ht="15.75" customHeight="1">
      <c r="A74" s="564">
        <v>4</v>
      </c>
      <c r="B74" s="565" t="s">
        <v>462</v>
      </c>
      <c r="C74" s="566" t="s">
        <v>346</v>
      </c>
      <c r="D74" s="566">
        <v>64</v>
      </c>
      <c r="E74" s="566">
        <v>24</v>
      </c>
      <c r="F74" s="566">
        <v>24</v>
      </c>
      <c r="G74" s="566">
        <v>14</v>
      </c>
      <c r="H74" s="566">
        <v>32</v>
      </c>
      <c r="I74" s="563">
        <v>6</v>
      </c>
    </row>
    <row r="75" spans="1:11" ht="15.75" customHeight="1">
      <c r="A75" s="560">
        <v>5</v>
      </c>
      <c r="B75" s="561" t="s">
        <v>463</v>
      </c>
      <c r="C75" s="562" t="s">
        <v>346</v>
      </c>
      <c r="D75" s="562">
        <v>137.82</v>
      </c>
      <c r="E75" s="562">
        <v>24</v>
      </c>
      <c r="F75" s="562">
        <v>24</v>
      </c>
      <c r="G75" s="562">
        <v>14</v>
      </c>
      <c r="H75" s="562">
        <v>32</v>
      </c>
      <c r="I75" s="563">
        <v>6</v>
      </c>
    </row>
    <row r="76" spans="1:11" ht="15.75" customHeight="1">
      <c r="A76" s="564">
        <v>6</v>
      </c>
      <c r="B76" s="565" t="s">
        <v>464</v>
      </c>
      <c r="C76" s="566" t="s">
        <v>346</v>
      </c>
      <c r="D76" s="566">
        <v>21.57</v>
      </c>
      <c r="E76" s="566">
        <v>24</v>
      </c>
      <c r="F76" s="566">
        <v>24</v>
      </c>
      <c r="G76" s="566">
        <v>21</v>
      </c>
      <c r="H76" s="566">
        <v>32</v>
      </c>
      <c r="I76" s="563">
        <v>6</v>
      </c>
    </row>
    <row r="77" spans="1:11" ht="15.75" customHeight="1">
      <c r="A77" s="560">
        <v>7</v>
      </c>
      <c r="B77" s="561" t="s">
        <v>465</v>
      </c>
      <c r="C77" s="562" t="s">
        <v>346</v>
      </c>
      <c r="D77" s="562">
        <v>6.49</v>
      </c>
      <c r="E77" s="562">
        <v>36</v>
      </c>
      <c r="F77" s="562">
        <v>36</v>
      </c>
      <c r="G77" s="562">
        <v>7</v>
      </c>
      <c r="H77" s="562">
        <v>32</v>
      </c>
      <c r="I77" s="563">
        <v>6</v>
      </c>
    </row>
    <row r="78" spans="1:11" ht="15.75" customHeight="1">
      <c r="A78" s="564">
        <v>8</v>
      </c>
      <c r="B78" s="565" t="s">
        <v>466</v>
      </c>
      <c r="C78" s="566" t="s">
        <v>459</v>
      </c>
      <c r="D78" s="566">
        <v>6.31</v>
      </c>
      <c r="E78" s="566">
        <v>6</v>
      </c>
      <c r="F78" s="566">
        <v>6</v>
      </c>
      <c r="G78" s="566">
        <v>6</v>
      </c>
      <c r="H78" s="566">
        <v>2</v>
      </c>
      <c r="I78" s="563">
        <v>6</v>
      </c>
    </row>
    <row r="79" spans="1:11" ht="15.75" customHeight="1">
      <c r="A79" s="560">
        <v>9</v>
      </c>
      <c r="B79" s="561" t="s">
        <v>467</v>
      </c>
      <c r="C79" s="562" t="s">
        <v>346</v>
      </c>
      <c r="D79" s="562">
        <v>118.51</v>
      </c>
      <c r="E79" s="562">
        <v>2</v>
      </c>
      <c r="F79" s="562">
        <v>1</v>
      </c>
      <c r="G79" s="562">
        <v>1</v>
      </c>
      <c r="H79" s="562">
        <v>1</v>
      </c>
      <c r="I79" s="563">
        <v>6</v>
      </c>
    </row>
    <row r="80" spans="1:11" ht="15.75" customHeight="1">
      <c r="A80" s="564">
        <v>10</v>
      </c>
      <c r="B80" s="565" t="s">
        <v>468</v>
      </c>
      <c r="C80" s="566" t="s">
        <v>438</v>
      </c>
      <c r="D80" s="566">
        <v>8.83</v>
      </c>
      <c r="E80" s="566">
        <v>4</v>
      </c>
      <c r="F80" s="566">
        <v>4</v>
      </c>
      <c r="G80" s="566">
        <v>2</v>
      </c>
      <c r="H80" s="566">
        <v>2</v>
      </c>
      <c r="I80" s="563">
        <v>6</v>
      </c>
    </row>
    <row r="81" spans="1:11" ht="15.75" customHeight="1">
      <c r="A81" s="560">
        <v>11</v>
      </c>
      <c r="B81" s="561" t="s">
        <v>469</v>
      </c>
      <c r="C81" s="562" t="s">
        <v>438</v>
      </c>
      <c r="D81" s="562">
        <v>4.17</v>
      </c>
      <c r="E81" s="562">
        <v>4</v>
      </c>
      <c r="F81" s="562">
        <v>4</v>
      </c>
      <c r="G81" s="562">
        <v>4</v>
      </c>
      <c r="H81" s="562">
        <v>2</v>
      </c>
      <c r="I81" s="563">
        <v>6</v>
      </c>
    </row>
    <row r="82" spans="1:11" ht="15.75" customHeight="1">
      <c r="A82" s="564">
        <v>12</v>
      </c>
      <c r="B82" s="565" t="s">
        <v>470</v>
      </c>
      <c r="C82" s="566" t="s">
        <v>471</v>
      </c>
      <c r="D82" s="566">
        <v>153.84</v>
      </c>
      <c r="E82" s="566">
        <v>2</v>
      </c>
      <c r="F82" s="566">
        <v>2</v>
      </c>
      <c r="G82" s="566">
        <v>2</v>
      </c>
      <c r="H82" s="566">
        <v>0</v>
      </c>
      <c r="I82" s="563">
        <v>6</v>
      </c>
    </row>
    <row r="83" spans="1:11" ht="15.75" customHeight="1"/>
    <row r="84" spans="1:11" ht="15.75" customHeight="1"/>
    <row r="85" spans="1:11" ht="15.75" customHeight="1"/>
    <row r="86" spans="1:11" ht="15.75" customHeight="1"/>
    <row r="87" spans="1:11" ht="15.75" customHeight="1"/>
    <row r="88" spans="1:11" ht="15.75" customHeight="1"/>
    <row r="89" spans="1:11" ht="15.75" customHeight="1"/>
    <row r="90" spans="1:11" ht="15.75" customHeight="1"/>
    <row r="91" spans="1:11" ht="15.75" customHeight="1"/>
    <row r="92" spans="1:11" ht="15.75" customHeight="1"/>
    <row r="93" spans="1:11" ht="15.75" customHeight="1"/>
    <row r="94" spans="1:11" ht="15.75" customHeight="1"/>
    <row r="95" spans="1:11" ht="15.75" customHeight="1"/>
    <row r="96" spans="1:11" ht="15.75" customHeight="1">
      <c r="A96" s="1059" t="s">
        <v>472</v>
      </c>
      <c r="B96" s="1060"/>
      <c r="C96" s="1060"/>
      <c r="D96" s="1060"/>
      <c r="E96" s="1060"/>
      <c r="F96" s="1060"/>
      <c r="G96" s="573"/>
      <c r="H96" s="573"/>
      <c r="I96" s="573"/>
      <c r="J96" s="573"/>
      <c r="K96" s="574"/>
    </row>
    <row r="97" spans="1:16" ht="15.75" customHeight="1">
      <c r="A97" s="1061" t="s">
        <v>473</v>
      </c>
      <c r="B97" s="1060"/>
      <c r="C97" s="1062"/>
      <c r="D97" s="555"/>
      <c r="E97" s="1063" t="s">
        <v>361</v>
      </c>
      <c r="F97" s="1009"/>
      <c r="G97" s="1010"/>
      <c r="H97" s="1065" t="s">
        <v>474</v>
      </c>
      <c r="I97" s="1009"/>
      <c r="J97" s="1009"/>
      <c r="K97" s="1009"/>
      <c r="L97" s="1009"/>
      <c r="M97" s="1010"/>
      <c r="N97" s="575"/>
    </row>
    <row r="98" spans="1:16" ht="15.75" customHeight="1">
      <c r="A98" s="557" t="s">
        <v>362</v>
      </c>
      <c r="B98" s="558" t="s">
        <v>363</v>
      </c>
      <c r="C98" s="558" t="s">
        <v>346</v>
      </c>
      <c r="D98" s="558"/>
      <c r="E98" s="558" t="s">
        <v>368</v>
      </c>
      <c r="F98" s="558" t="s">
        <v>369</v>
      </c>
      <c r="G98" s="558" t="s">
        <v>475</v>
      </c>
      <c r="H98" s="1066" t="s">
        <v>368</v>
      </c>
      <c r="I98" s="1067"/>
      <c r="J98" s="1066" t="s">
        <v>369</v>
      </c>
      <c r="K98" s="1067"/>
      <c r="L98" s="1066" t="s">
        <v>475</v>
      </c>
      <c r="M98" s="1067"/>
    </row>
    <row r="99" spans="1:16" ht="15.75" customHeight="1">
      <c r="A99" s="560">
        <v>1</v>
      </c>
      <c r="B99" s="561" t="s">
        <v>476</v>
      </c>
      <c r="C99" s="562" t="s">
        <v>420</v>
      </c>
      <c r="D99" s="576">
        <v>78.323333329999997</v>
      </c>
      <c r="E99" s="562">
        <v>10</v>
      </c>
      <c r="F99" s="562">
        <v>10</v>
      </c>
      <c r="G99" s="562">
        <v>6</v>
      </c>
      <c r="H99" s="562">
        <v>2</v>
      </c>
      <c r="I99" s="562">
        <v>6</v>
      </c>
      <c r="J99" s="562">
        <v>2</v>
      </c>
      <c r="K99" s="562">
        <v>6</v>
      </c>
      <c r="L99" s="562">
        <v>6</v>
      </c>
      <c r="M99" s="577">
        <v>30</v>
      </c>
      <c r="P99" s="578"/>
    </row>
    <row r="100" spans="1:16" ht="15.75" customHeight="1">
      <c r="A100" s="564">
        <v>2</v>
      </c>
      <c r="B100" s="565" t="s">
        <v>477</v>
      </c>
      <c r="C100" s="566" t="s">
        <v>420</v>
      </c>
      <c r="D100" s="579">
        <v>142.96666669999999</v>
      </c>
      <c r="E100" s="566">
        <v>3</v>
      </c>
      <c r="F100" s="566">
        <v>3</v>
      </c>
      <c r="G100" s="566">
        <v>1</v>
      </c>
      <c r="H100" s="566">
        <v>1</v>
      </c>
      <c r="I100" s="566">
        <v>12</v>
      </c>
      <c r="J100" s="566">
        <v>1</v>
      </c>
      <c r="K100" s="566">
        <v>12</v>
      </c>
      <c r="L100" s="566">
        <v>1</v>
      </c>
      <c r="M100" s="580">
        <v>30</v>
      </c>
      <c r="P100" s="578"/>
    </row>
    <row r="101" spans="1:16" ht="15.75" customHeight="1">
      <c r="A101" s="560">
        <v>3</v>
      </c>
      <c r="B101" s="561" t="s">
        <v>478</v>
      </c>
      <c r="C101" s="562" t="s">
        <v>346</v>
      </c>
      <c r="D101" s="576">
        <v>64.900000000000006</v>
      </c>
      <c r="E101" s="562">
        <v>6</v>
      </c>
      <c r="F101" s="562">
        <v>6</v>
      </c>
      <c r="G101" s="562">
        <v>3</v>
      </c>
      <c r="H101" s="562">
        <v>2</v>
      </c>
      <c r="I101" s="562">
        <v>12</v>
      </c>
      <c r="J101" s="562">
        <v>2</v>
      </c>
      <c r="K101" s="562">
        <v>12</v>
      </c>
      <c r="L101" s="562">
        <v>3</v>
      </c>
      <c r="M101" s="577">
        <v>30</v>
      </c>
      <c r="P101" s="578"/>
    </row>
    <row r="102" spans="1:16" ht="15.75" customHeight="1">
      <c r="A102" s="560">
        <v>4</v>
      </c>
      <c r="B102" s="565" t="s">
        <v>479</v>
      </c>
      <c r="C102" s="566" t="s">
        <v>420</v>
      </c>
      <c r="D102" s="579">
        <v>40.659999999999997</v>
      </c>
      <c r="E102" s="566">
        <v>10</v>
      </c>
      <c r="F102" s="566">
        <v>10</v>
      </c>
      <c r="G102" s="566">
        <v>8</v>
      </c>
      <c r="H102" s="566">
        <v>2</v>
      </c>
      <c r="I102" s="566">
        <v>6</v>
      </c>
      <c r="J102" s="566">
        <v>2</v>
      </c>
      <c r="K102" s="566">
        <v>6</v>
      </c>
      <c r="L102" s="566">
        <v>8</v>
      </c>
      <c r="M102" s="580">
        <v>30</v>
      </c>
      <c r="P102" s="578"/>
    </row>
    <row r="103" spans="1:16" ht="15.75" customHeight="1">
      <c r="A103" s="564">
        <v>5</v>
      </c>
      <c r="B103" s="561" t="s">
        <v>480</v>
      </c>
      <c r="C103" s="562" t="s">
        <v>346</v>
      </c>
      <c r="D103" s="576">
        <v>46.566666669999996</v>
      </c>
      <c r="E103" s="562">
        <v>6</v>
      </c>
      <c r="F103" s="562">
        <v>6</v>
      </c>
      <c r="G103" s="562">
        <v>6</v>
      </c>
      <c r="H103" s="562">
        <v>2</v>
      </c>
      <c r="I103" s="562">
        <v>12</v>
      </c>
      <c r="J103" s="562">
        <v>2</v>
      </c>
      <c r="K103" s="562">
        <v>6</v>
      </c>
      <c r="L103" s="562">
        <v>6</v>
      </c>
      <c r="M103" s="577">
        <v>30</v>
      </c>
      <c r="P103" s="578"/>
    </row>
    <row r="104" spans="1:16" ht="15.75" customHeight="1">
      <c r="A104" s="560">
        <v>6</v>
      </c>
      <c r="B104" s="565" t="s">
        <v>481</v>
      </c>
      <c r="C104" s="566" t="s">
        <v>346</v>
      </c>
      <c r="D104" s="579">
        <v>28.493333329999999</v>
      </c>
      <c r="E104" s="566">
        <v>3</v>
      </c>
      <c r="F104" s="566">
        <v>3</v>
      </c>
      <c r="G104" s="566">
        <v>2</v>
      </c>
      <c r="H104" s="566">
        <v>3</v>
      </c>
      <c r="I104" s="566">
        <v>30</v>
      </c>
      <c r="J104" s="566">
        <v>3</v>
      </c>
      <c r="K104" s="566">
        <v>30</v>
      </c>
      <c r="L104" s="566">
        <v>2</v>
      </c>
      <c r="M104" s="580">
        <v>30</v>
      </c>
      <c r="P104" s="578"/>
    </row>
    <row r="105" spans="1:16" ht="15.75" customHeight="1">
      <c r="A105" s="560">
        <v>7</v>
      </c>
      <c r="B105" s="561" t="s">
        <v>482</v>
      </c>
      <c r="C105" s="562" t="s">
        <v>346</v>
      </c>
      <c r="D105" s="576">
        <v>16.86333333</v>
      </c>
      <c r="E105" s="562">
        <v>2</v>
      </c>
      <c r="F105" s="562">
        <v>2</v>
      </c>
      <c r="G105" s="562">
        <v>2</v>
      </c>
      <c r="H105" s="562">
        <v>2</v>
      </c>
      <c r="I105" s="562">
        <v>30</v>
      </c>
      <c r="J105" s="562">
        <v>2</v>
      </c>
      <c r="K105" s="562">
        <v>30</v>
      </c>
      <c r="L105" s="562">
        <v>2</v>
      </c>
      <c r="M105" s="577">
        <v>30</v>
      </c>
      <c r="P105" s="578"/>
    </row>
    <row r="106" spans="1:16" ht="15.75" customHeight="1">
      <c r="A106" s="564">
        <v>8</v>
      </c>
      <c r="B106" s="565" t="s">
        <v>483</v>
      </c>
      <c r="C106" s="566" t="s">
        <v>459</v>
      </c>
      <c r="D106" s="579">
        <v>55.93</v>
      </c>
      <c r="E106" s="566">
        <v>5</v>
      </c>
      <c r="F106" s="566">
        <v>5</v>
      </c>
      <c r="G106" s="566">
        <v>3</v>
      </c>
      <c r="H106" s="566">
        <v>1</v>
      </c>
      <c r="I106" s="566">
        <v>6</v>
      </c>
      <c r="J106" s="566">
        <v>1</v>
      </c>
      <c r="K106" s="566">
        <v>6</v>
      </c>
      <c r="L106" s="566">
        <v>3</v>
      </c>
      <c r="M106" s="580">
        <v>30</v>
      </c>
      <c r="P106" s="578"/>
    </row>
    <row r="107" spans="1:16" ht="15.75" customHeight="1">
      <c r="A107" s="560">
        <v>9</v>
      </c>
      <c r="B107" s="561" t="s">
        <v>484</v>
      </c>
      <c r="C107" s="562" t="s">
        <v>438</v>
      </c>
      <c r="D107" s="576">
        <v>17.263333329999998</v>
      </c>
      <c r="E107" s="562">
        <v>10</v>
      </c>
      <c r="F107" s="562">
        <v>10</v>
      </c>
      <c r="G107" s="562">
        <v>10</v>
      </c>
      <c r="H107" s="562">
        <v>2</v>
      </c>
      <c r="I107" s="562">
        <v>6</v>
      </c>
      <c r="J107" s="562">
        <v>2</v>
      </c>
      <c r="K107" s="562">
        <v>6</v>
      </c>
      <c r="L107" s="562">
        <v>10</v>
      </c>
      <c r="M107" s="577">
        <v>30</v>
      </c>
      <c r="P107" s="578"/>
    </row>
    <row r="108" spans="1:16" ht="15.75" customHeight="1">
      <c r="A108" s="560">
        <v>10</v>
      </c>
      <c r="B108" s="581" t="s">
        <v>485</v>
      </c>
      <c r="C108" s="582" t="s">
        <v>459</v>
      </c>
      <c r="D108" s="583">
        <v>39.520000000000003</v>
      </c>
      <c r="E108" s="577">
        <v>3</v>
      </c>
      <c r="F108" s="582">
        <v>3</v>
      </c>
      <c r="G108" s="582">
        <v>2</v>
      </c>
      <c r="H108" s="577">
        <v>3</v>
      </c>
      <c r="I108" s="577">
        <v>30</v>
      </c>
      <c r="J108" s="577">
        <v>3</v>
      </c>
      <c r="K108" s="577">
        <v>30</v>
      </c>
      <c r="L108" s="577">
        <v>2</v>
      </c>
      <c r="M108" s="577">
        <v>30</v>
      </c>
      <c r="P108" s="578"/>
    </row>
    <row r="109" spans="1:16" ht="15.75" customHeight="1">
      <c r="A109" s="564">
        <v>11</v>
      </c>
      <c r="B109" s="565" t="s">
        <v>486</v>
      </c>
      <c r="C109" s="566" t="s">
        <v>420</v>
      </c>
      <c r="D109" s="579">
        <v>1.8033333330000001</v>
      </c>
      <c r="E109" s="564">
        <v>0</v>
      </c>
      <c r="F109" s="566">
        <v>4</v>
      </c>
      <c r="G109" s="566">
        <v>4</v>
      </c>
      <c r="H109" s="577">
        <v>0</v>
      </c>
      <c r="I109" s="577">
        <v>30</v>
      </c>
      <c r="J109" s="577">
        <v>4</v>
      </c>
      <c r="K109" s="577">
        <v>30</v>
      </c>
      <c r="L109" s="577">
        <v>4</v>
      </c>
      <c r="M109" s="577">
        <v>30</v>
      </c>
      <c r="P109" s="578"/>
    </row>
    <row r="110" spans="1:16" ht="15.75" customHeight="1">
      <c r="A110" s="560">
        <v>12</v>
      </c>
      <c r="B110" s="561" t="s">
        <v>487</v>
      </c>
      <c r="C110" s="562" t="s">
        <v>346</v>
      </c>
      <c r="D110" s="576">
        <v>39.15</v>
      </c>
      <c r="E110" s="560">
        <v>2</v>
      </c>
      <c r="F110" s="562">
        <v>2</v>
      </c>
      <c r="G110" s="562">
        <v>2</v>
      </c>
      <c r="H110" s="577">
        <v>2</v>
      </c>
      <c r="I110" s="577">
        <v>30</v>
      </c>
      <c r="J110" s="577">
        <v>2</v>
      </c>
      <c r="K110" s="577">
        <v>30</v>
      </c>
      <c r="L110" s="577">
        <v>2</v>
      </c>
      <c r="M110" s="577">
        <v>30</v>
      </c>
      <c r="P110" s="578"/>
    </row>
    <row r="111" spans="1:16" ht="15.75" customHeight="1">
      <c r="A111" s="560">
        <v>13</v>
      </c>
      <c r="B111" s="565" t="s">
        <v>488</v>
      </c>
      <c r="C111" s="566" t="s">
        <v>420</v>
      </c>
      <c r="D111" s="579">
        <v>5.1466666669999999</v>
      </c>
      <c r="E111" s="564">
        <v>5</v>
      </c>
      <c r="F111" s="566">
        <v>5</v>
      </c>
      <c r="G111" s="566">
        <v>5</v>
      </c>
      <c r="H111" s="577">
        <v>5</v>
      </c>
      <c r="I111" s="577">
        <v>30</v>
      </c>
      <c r="J111" s="577">
        <v>5</v>
      </c>
      <c r="K111" s="577">
        <v>30</v>
      </c>
      <c r="L111" s="577">
        <v>5</v>
      </c>
      <c r="M111" s="577">
        <v>30</v>
      </c>
      <c r="P111" s="578"/>
    </row>
    <row r="112" spans="1:16" ht="15.75" customHeight="1">
      <c r="A112" s="564">
        <v>14</v>
      </c>
      <c r="B112" s="561" t="s">
        <v>489</v>
      </c>
      <c r="C112" s="562" t="s">
        <v>438</v>
      </c>
      <c r="D112" s="576">
        <v>28.04666667</v>
      </c>
      <c r="E112" s="560">
        <v>0</v>
      </c>
      <c r="F112" s="562">
        <v>2</v>
      </c>
      <c r="G112" s="562">
        <v>1</v>
      </c>
      <c r="H112" s="577">
        <v>0</v>
      </c>
      <c r="I112" s="577">
        <v>30</v>
      </c>
      <c r="J112" s="577">
        <v>2</v>
      </c>
      <c r="K112" s="577">
        <v>30</v>
      </c>
      <c r="L112" s="577">
        <v>1</v>
      </c>
      <c r="M112" s="577">
        <v>30</v>
      </c>
      <c r="P112" s="578"/>
    </row>
    <row r="113" spans="1:16" ht="15.75" customHeight="1">
      <c r="A113" s="560">
        <v>15</v>
      </c>
      <c r="B113" s="565" t="s">
        <v>490</v>
      </c>
      <c r="C113" s="566" t="s">
        <v>438</v>
      </c>
      <c r="D113" s="579">
        <v>10.596666669999999</v>
      </c>
      <c r="E113" s="564">
        <v>5</v>
      </c>
      <c r="F113" s="566">
        <v>4</v>
      </c>
      <c r="G113" s="566">
        <v>4</v>
      </c>
      <c r="H113" s="577">
        <v>5</v>
      </c>
      <c r="I113" s="577">
        <v>30</v>
      </c>
      <c r="J113" s="577">
        <v>4</v>
      </c>
      <c r="K113" s="577">
        <v>30</v>
      </c>
      <c r="L113" s="577">
        <v>4</v>
      </c>
      <c r="M113" s="577">
        <v>30</v>
      </c>
      <c r="P113" s="578"/>
    </row>
    <row r="114" spans="1:16" ht="15.75" customHeight="1">
      <c r="A114" s="560">
        <v>16</v>
      </c>
      <c r="B114" s="561" t="s">
        <v>491</v>
      </c>
      <c r="C114" s="562" t="s">
        <v>438</v>
      </c>
      <c r="D114" s="576">
        <v>19.223333329999999</v>
      </c>
      <c r="E114" s="560">
        <v>8</v>
      </c>
      <c r="F114" s="562">
        <v>6</v>
      </c>
      <c r="G114" s="562">
        <v>6</v>
      </c>
      <c r="H114" s="577">
        <v>8</v>
      </c>
      <c r="I114" s="577">
        <v>30</v>
      </c>
      <c r="J114" s="577">
        <v>6</v>
      </c>
      <c r="K114" s="577">
        <v>30</v>
      </c>
      <c r="L114" s="577">
        <v>6</v>
      </c>
      <c r="M114" s="577">
        <v>30</v>
      </c>
      <c r="P114" s="578"/>
    </row>
    <row r="115" spans="1:16" ht="15.75" customHeight="1">
      <c r="A115" s="564">
        <v>17</v>
      </c>
      <c r="B115" s="565" t="s">
        <v>492</v>
      </c>
      <c r="C115" s="566" t="s">
        <v>346</v>
      </c>
      <c r="D115" s="579">
        <v>47.76</v>
      </c>
      <c r="E115" s="564">
        <v>0</v>
      </c>
      <c r="F115" s="566">
        <v>1</v>
      </c>
      <c r="G115" s="566">
        <v>0</v>
      </c>
      <c r="H115" s="577">
        <v>0</v>
      </c>
      <c r="I115" s="577">
        <v>30</v>
      </c>
      <c r="J115" s="577">
        <v>1</v>
      </c>
      <c r="K115" s="577">
        <v>30</v>
      </c>
      <c r="L115" s="577">
        <v>0</v>
      </c>
      <c r="M115" s="577">
        <v>30</v>
      </c>
      <c r="P115" s="578"/>
    </row>
    <row r="116" spans="1:16" ht="15.75" customHeight="1">
      <c r="A116" s="560">
        <v>18</v>
      </c>
      <c r="B116" s="561" t="s">
        <v>493</v>
      </c>
      <c r="C116" s="562" t="s">
        <v>346</v>
      </c>
      <c r="D116" s="576">
        <v>30.72666667</v>
      </c>
      <c r="E116" s="560">
        <v>0</v>
      </c>
      <c r="F116" s="562">
        <v>1</v>
      </c>
      <c r="G116" s="562">
        <v>1</v>
      </c>
      <c r="H116" s="577">
        <v>0</v>
      </c>
      <c r="I116" s="577">
        <v>30</v>
      </c>
      <c r="J116" s="577">
        <v>1</v>
      </c>
      <c r="K116" s="577">
        <v>30</v>
      </c>
      <c r="L116" s="577">
        <v>1</v>
      </c>
      <c r="M116" s="577">
        <v>30</v>
      </c>
      <c r="P116" s="578"/>
    </row>
    <row r="117" spans="1:16" ht="15.75" customHeight="1">
      <c r="A117" s="560">
        <v>19</v>
      </c>
      <c r="B117" s="565" t="s">
        <v>494</v>
      </c>
      <c r="C117" s="566" t="s">
        <v>420</v>
      </c>
      <c r="D117" s="579">
        <v>26.393333330000001</v>
      </c>
      <c r="E117" s="564">
        <v>5</v>
      </c>
      <c r="F117" s="566">
        <v>10</v>
      </c>
      <c r="G117" s="566">
        <v>10</v>
      </c>
      <c r="H117" s="580">
        <v>1</v>
      </c>
      <c r="I117" s="580">
        <v>6</v>
      </c>
      <c r="J117" s="580">
        <v>10</v>
      </c>
      <c r="K117" s="580">
        <v>30</v>
      </c>
      <c r="L117" s="580">
        <v>10</v>
      </c>
      <c r="M117" s="580">
        <v>30</v>
      </c>
      <c r="P117" s="578"/>
    </row>
    <row r="118" spans="1:16" ht="15.75" customHeight="1">
      <c r="A118" s="564">
        <v>20</v>
      </c>
      <c r="B118" s="561" t="s">
        <v>495</v>
      </c>
      <c r="C118" s="562" t="s">
        <v>346</v>
      </c>
      <c r="D118" s="576">
        <v>56.79</v>
      </c>
      <c r="E118" s="560">
        <v>1</v>
      </c>
      <c r="F118" s="562">
        <v>1</v>
      </c>
      <c r="G118" s="562">
        <v>0</v>
      </c>
      <c r="H118" s="577">
        <v>1</v>
      </c>
      <c r="I118" s="577">
        <v>30</v>
      </c>
      <c r="J118" s="577">
        <v>1</v>
      </c>
      <c r="K118" s="577">
        <v>30</v>
      </c>
      <c r="L118" s="577">
        <v>0</v>
      </c>
      <c r="M118" s="577">
        <v>30</v>
      </c>
      <c r="P118" s="578"/>
    </row>
    <row r="119" spans="1:16" ht="15.75" customHeight="1">
      <c r="P119" s="578"/>
    </row>
    <row r="120" spans="1:16" ht="15.75" customHeight="1">
      <c r="A120" s="1059" t="s">
        <v>457</v>
      </c>
      <c r="B120" s="1060"/>
      <c r="C120" s="1060"/>
      <c r="D120" s="1060"/>
      <c r="E120" s="1060"/>
      <c r="F120" s="1060"/>
      <c r="G120" s="1060"/>
      <c r="P120" s="578"/>
    </row>
    <row r="121" spans="1:16" ht="15.75" customHeight="1">
      <c r="A121" s="1061" t="s">
        <v>360</v>
      </c>
      <c r="B121" s="1060"/>
      <c r="C121" s="1062"/>
      <c r="D121" s="555"/>
      <c r="E121" s="1063" t="s">
        <v>361</v>
      </c>
      <c r="F121" s="1009"/>
      <c r="G121" s="1009"/>
      <c r="H121" s="1010"/>
      <c r="I121" s="556"/>
      <c r="P121" s="578"/>
    </row>
    <row r="122" spans="1:16" ht="15.75" customHeight="1">
      <c r="A122" s="557" t="s">
        <v>362</v>
      </c>
      <c r="B122" s="558" t="s">
        <v>363</v>
      </c>
      <c r="C122" s="558" t="s">
        <v>346</v>
      </c>
      <c r="D122" s="558" t="s">
        <v>365</v>
      </c>
      <c r="E122" s="558" t="s">
        <v>368</v>
      </c>
      <c r="F122" s="558" t="s">
        <v>369</v>
      </c>
      <c r="G122" s="558" t="s">
        <v>475</v>
      </c>
      <c r="H122" s="558"/>
      <c r="I122" s="559"/>
      <c r="P122" s="578"/>
    </row>
    <row r="123" spans="1:16" ht="15.75" customHeight="1">
      <c r="A123" s="584">
        <v>1</v>
      </c>
      <c r="B123" s="585" t="s">
        <v>496</v>
      </c>
      <c r="C123" s="584" t="s">
        <v>346</v>
      </c>
      <c r="D123" s="586">
        <v>1473.896667</v>
      </c>
      <c r="E123" s="587">
        <v>1</v>
      </c>
      <c r="F123" s="587">
        <v>1</v>
      </c>
      <c r="G123" s="587">
        <v>1</v>
      </c>
      <c r="H123" s="587">
        <v>30</v>
      </c>
      <c r="P123" s="578"/>
    </row>
    <row r="124" spans="1:16" ht="15.75" customHeight="1">
      <c r="A124" s="588">
        <v>2</v>
      </c>
      <c r="B124" s="589" t="s">
        <v>497</v>
      </c>
      <c r="C124" s="588" t="s">
        <v>346</v>
      </c>
      <c r="D124" s="586">
        <v>2272.5166669999999</v>
      </c>
      <c r="E124" s="587">
        <v>1</v>
      </c>
      <c r="F124" s="587">
        <v>1</v>
      </c>
      <c r="G124" s="587">
        <v>1</v>
      </c>
      <c r="H124" s="587">
        <v>30</v>
      </c>
      <c r="P124" s="578"/>
    </row>
    <row r="125" spans="1:16" ht="15.75" customHeight="1">
      <c r="A125" s="584">
        <v>3</v>
      </c>
      <c r="B125" s="585" t="s">
        <v>498</v>
      </c>
      <c r="C125" s="584" t="s">
        <v>346</v>
      </c>
      <c r="D125" s="586">
        <v>1136.086667</v>
      </c>
      <c r="E125" s="587">
        <v>1</v>
      </c>
      <c r="F125" s="587">
        <v>1</v>
      </c>
      <c r="G125" s="587">
        <v>1</v>
      </c>
      <c r="H125" s="587">
        <v>30</v>
      </c>
      <c r="P125" s="578"/>
    </row>
    <row r="126" spans="1:16" ht="15.75" customHeight="1">
      <c r="A126" s="588">
        <v>4</v>
      </c>
      <c r="B126" s="589" t="s">
        <v>499</v>
      </c>
      <c r="C126" s="588" t="s">
        <v>500</v>
      </c>
      <c r="D126" s="586">
        <v>146.5466667</v>
      </c>
      <c r="E126" s="587">
        <v>2</v>
      </c>
      <c r="F126" s="587">
        <v>2</v>
      </c>
      <c r="G126" s="587">
        <v>2</v>
      </c>
      <c r="H126" s="587">
        <v>30</v>
      </c>
      <c r="P126" s="578"/>
    </row>
    <row r="127" spans="1:16" ht="15.75" customHeight="1">
      <c r="A127" s="584">
        <v>5</v>
      </c>
      <c r="B127" s="585" t="s">
        <v>501</v>
      </c>
      <c r="C127" s="584" t="s">
        <v>346</v>
      </c>
      <c r="D127" s="586">
        <v>1612.603333</v>
      </c>
      <c r="E127" s="587">
        <v>1</v>
      </c>
      <c r="F127" s="587">
        <v>1</v>
      </c>
      <c r="G127" s="587">
        <v>1</v>
      </c>
      <c r="H127" s="587">
        <v>30</v>
      </c>
      <c r="P127" s="578"/>
    </row>
    <row r="128" spans="1:16" ht="15.75" customHeight="1">
      <c r="A128" s="588">
        <v>6</v>
      </c>
      <c r="B128" s="589" t="s">
        <v>502</v>
      </c>
      <c r="C128" s="588" t="s">
        <v>346</v>
      </c>
      <c r="D128" s="586">
        <v>37.033333329999998</v>
      </c>
      <c r="E128" s="587">
        <v>2</v>
      </c>
      <c r="F128" s="587">
        <v>2</v>
      </c>
      <c r="G128" s="587">
        <v>2</v>
      </c>
      <c r="H128" s="587">
        <v>30</v>
      </c>
      <c r="P128" s="578"/>
    </row>
    <row r="129" spans="1:16" ht="15.75" customHeight="1">
      <c r="A129" s="584">
        <v>7</v>
      </c>
      <c r="B129" s="585" t="s">
        <v>503</v>
      </c>
      <c r="C129" s="584" t="s">
        <v>346</v>
      </c>
      <c r="D129" s="586">
        <v>228.2966667</v>
      </c>
      <c r="E129" s="587">
        <v>1</v>
      </c>
      <c r="F129" s="587">
        <v>1</v>
      </c>
      <c r="G129" s="587">
        <v>1</v>
      </c>
      <c r="H129" s="587">
        <v>30</v>
      </c>
      <c r="P129" s="578"/>
    </row>
    <row r="130" spans="1:16" ht="15.75" customHeight="1">
      <c r="A130" s="588">
        <v>8</v>
      </c>
      <c r="B130" s="589" t="s">
        <v>504</v>
      </c>
      <c r="C130" s="588" t="s">
        <v>346</v>
      </c>
      <c r="D130" s="586">
        <v>41.136666669999997</v>
      </c>
      <c r="E130" s="587">
        <v>5</v>
      </c>
      <c r="F130" s="587">
        <v>6</v>
      </c>
      <c r="G130" s="587">
        <v>6</v>
      </c>
      <c r="H130" s="587">
        <v>30</v>
      </c>
      <c r="P130" s="578"/>
    </row>
    <row r="131" spans="1:16" ht="15.75" customHeight="1">
      <c r="A131" s="584">
        <v>9</v>
      </c>
      <c r="B131" s="585" t="s">
        <v>505</v>
      </c>
      <c r="C131" s="584" t="s">
        <v>500</v>
      </c>
      <c r="D131" s="586">
        <v>28.93</v>
      </c>
      <c r="E131" s="587">
        <v>0</v>
      </c>
      <c r="F131" s="587">
        <v>3</v>
      </c>
      <c r="G131" s="587">
        <v>2</v>
      </c>
      <c r="H131" s="587">
        <v>30</v>
      </c>
      <c r="P131" s="578"/>
    </row>
    <row r="132" spans="1:16" ht="15.75" customHeight="1">
      <c r="A132" s="588">
        <v>10</v>
      </c>
      <c r="B132" s="589" t="s">
        <v>506</v>
      </c>
      <c r="C132" s="588" t="s">
        <v>346</v>
      </c>
      <c r="D132" s="586">
        <v>55.95</v>
      </c>
      <c r="E132" s="587">
        <v>0</v>
      </c>
      <c r="F132" s="587">
        <v>1</v>
      </c>
      <c r="G132" s="587">
        <v>2</v>
      </c>
      <c r="H132" s="587">
        <v>30</v>
      </c>
      <c r="P132" s="578"/>
    </row>
    <row r="133" spans="1:16" ht="15.75" customHeight="1">
      <c r="A133" s="584">
        <v>11</v>
      </c>
      <c r="B133" s="585" t="s">
        <v>507</v>
      </c>
      <c r="C133" s="584" t="s">
        <v>346</v>
      </c>
      <c r="D133" s="586">
        <v>30.42</v>
      </c>
      <c r="E133" s="587">
        <v>2</v>
      </c>
      <c r="F133" s="587">
        <v>2</v>
      </c>
      <c r="G133" s="587">
        <v>2</v>
      </c>
      <c r="H133" s="587">
        <v>30</v>
      </c>
      <c r="P133" s="578"/>
    </row>
    <row r="134" spans="1:16" ht="15.75" customHeight="1">
      <c r="A134" s="588">
        <v>12</v>
      </c>
      <c r="B134" s="589" t="s">
        <v>508</v>
      </c>
      <c r="C134" s="588" t="s">
        <v>346</v>
      </c>
      <c r="D134" s="586">
        <v>29.883333329999999</v>
      </c>
      <c r="E134" s="587">
        <v>1</v>
      </c>
      <c r="F134" s="587">
        <v>1</v>
      </c>
      <c r="G134" s="587">
        <v>2</v>
      </c>
      <c r="H134" s="587">
        <v>30</v>
      </c>
    </row>
    <row r="135" spans="1:16" ht="15.75" customHeight="1">
      <c r="A135" s="584">
        <v>13</v>
      </c>
      <c r="B135" s="585" t="s">
        <v>509</v>
      </c>
      <c r="C135" s="584" t="s">
        <v>346</v>
      </c>
      <c r="D135" s="586">
        <v>67.703333330000007</v>
      </c>
      <c r="E135" s="587">
        <v>1</v>
      </c>
      <c r="F135" s="587">
        <v>2</v>
      </c>
      <c r="G135" s="587">
        <v>2</v>
      </c>
      <c r="H135" s="587">
        <v>30</v>
      </c>
    </row>
    <row r="136" spans="1:16" ht="15.75" customHeight="1">
      <c r="A136" s="588">
        <v>14</v>
      </c>
      <c r="B136" s="589" t="s">
        <v>510</v>
      </c>
      <c r="C136" s="588" t="s">
        <v>346</v>
      </c>
      <c r="D136" s="586">
        <v>46.926666670000003</v>
      </c>
      <c r="E136" s="587">
        <v>0</v>
      </c>
      <c r="F136" s="587">
        <v>1</v>
      </c>
      <c r="G136" s="587">
        <v>1</v>
      </c>
      <c r="H136" s="587">
        <v>30</v>
      </c>
    </row>
    <row r="137" spans="1:16" ht="15.75" customHeight="1"/>
    <row r="138" spans="1:16" ht="15.75" customHeight="1"/>
    <row r="139" spans="1:16" ht="15.75" customHeight="1"/>
    <row r="140" spans="1:16" ht="15.75" customHeight="1"/>
    <row r="141" spans="1:16" ht="15.75" customHeight="1"/>
    <row r="142" spans="1:16" ht="15.75" customHeight="1"/>
    <row r="143" spans="1:16" ht="15.75" customHeight="1"/>
    <row r="144" spans="1:16"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A120:G120"/>
    <mergeCell ref="A121:C121"/>
    <mergeCell ref="E121:H121"/>
    <mergeCell ref="A1:H1"/>
    <mergeCell ref="A2:C2"/>
    <mergeCell ref="E2:H2"/>
    <mergeCell ref="A68:G68"/>
    <mergeCell ref="A69:C69"/>
    <mergeCell ref="E69:H69"/>
    <mergeCell ref="A96:F96"/>
    <mergeCell ref="A97:C97"/>
    <mergeCell ref="E97:G97"/>
    <mergeCell ref="H97:M97"/>
    <mergeCell ref="H98:I98"/>
    <mergeCell ref="J98:K98"/>
    <mergeCell ref="L98:M98"/>
  </mergeCells>
  <pageMargins left="0.511811024" right="0.511811024" top="0.78740157499999996" bottom="0.78740157499999996" header="0" footer="0"/>
  <pageSetup orientation="landscape"/>
  <tableParts count="1">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Z1000"/>
  <sheetViews>
    <sheetView topLeftCell="A40" workbookViewId="0">
      <selection activeCell="M48" sqref="M48"/>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3.42578125" customWidth="1"/>
    <col min="7" max="7" width="17.140625" customWidth="1"/>
    <col min="8" max="8" width="14.42578125" customWidth="1"/>
    <col min="9" max="9" width="11.28515625" customWidth="1"/>
    <col min="10" max="10" width="22.28515625" customWidth="1"/>
    <col min="11" max="11" width="13.28515625" customWidth="1"/>
  </cols>
  <sheetData>
    <row r="1" spans="1:26" ht="8.25" customHeight="1">
      <c r="A1" s="574"/>
      <c r="B1" s="574"/>
      <c r="C1" s="574"/>
      <c r="D1" s="574"/>
      <c r="E1" s="574"/>
      <c r="F1" s="574"/>
      <c r="G1" s="574"/>
      <c r="H1" s="574"/>
      <c r="I1" s="574"/>
      <c r="J1" s="571"/>
      <c r="K1" s="574"/>
      <c r="L1" s="590"/>
      <c r="M1" s="590"/>
      <c r="N1" s="590"/>
      <c r="O1" s="590"/>
      <c r="P1" s="590"/>
      <c r="Q1" s="590"/>
      <c r="R1" s="590"/>
      <c r="S1" s="590"/>
      <c r="T1" s="590"/>
      <c r="U1" s="590"/>
      <c r="V1" s="590"/>
      <c r="W1" s="590"/>
      <c r="X1" s="590"/>
      <c r="Y1" s="590"/>
      <c r="Z1" s="590"/>
    </row>
    <row r="2" spans="1:26" ht="18.75" customHeight="1">
      <c r="A2" s="574"/>
      <c r="B2" s="1146" t="str">
        <f>'1-ABA-DE-CARREGAMENTO'!C11</f>
        <v xml:space="preserve"> S E R V I Ç O S     -   REFEITORIO_×_JARDINAGEM</v>
      </c>
      <c r="C2" s="1130"/>
      <c r="D2" s="1130"/>
      <c r="E2" s="1130"/>
      <c r="F2" s="1130"/>
      <c r="G2" s="1130"/>
      <c r="H2" s="1130"/>
      <c r="I2" s="1130"/>
      <c r="J2" s="1128"/>
      <c r="K2" s="591"/>
      <c r="L2" s="590"/>
      <c r="M2" s="590"/>
      <c r="N2" s="590"/>
      <c r="O2" s="590"/>
      <c r="P2" s="590"/>
      <c r="Q2" s="590"/>
      <c r="R2" s="590"/>
      <c r="S2" s="590"/>
      <c r="T2" s="590"/>
      <c r="U2" s="590"/>
      <c r="V2" s="590"/>
      <c r="W2" s="590"/>
      <c r="X2" s="590"/>
      <c r="Y2" s="590"/>
      <c r="Z2" s="590"/>
    </row>
    <row r="3" spans="1:26" ht="22.5" customHeight="1">
      <c r="A3" s="574"/>
      <c r="B3" s="1147" t="str">
        <f>'1-ABA-DE-CARREGAMENTO'!C33</f>
        <v>5132-05_COZINHEIRO_prepost_hs</v>
      </c>
      <c r="C3" s="1060"/>
      <c r="D3" s="1060"/>
      <c r="E3" s="1060"/>
      <c r="F3" s="1060"/>
      <c r="G3" s="1060"/>
      <c r="H3" s="1060"/>
      <c r="I3" s="1060"/>
      <c r="J3" s="1062"/>
      <c r="K3" s="592"/>
      <c r="L3" s="590"/>
      <c r="M3" s="590"/>
      <c r="N3" s="590"/>
      <c r="O3" s="590"/>
      <c r="P3" s="590"/>
      <c r="Q3" s="590"/>
      <c r="R3" s="590"/>
      <c r="S3" s="590"/>
      <c r="T3" s="590"/>
      <c r="U3" s="590"/>
      <c r="V3" s="590"/>
      <c r="W3" s="590"/>
      <c r="X3" s="590"/>
      <c r="Y3" s="590"/>
      <c r="Z3" s="590"/>
    </row>
    <row r="4" spans="1:26" ht="20.25" customHeight="1">
      <c r="A4" s="574"/>
      <c r="B4" s="1144" t="s">
        <v>511</v>
      </c>
      <c r="C4" s="1060"/>
      <c r="D4" s="1060"/>
      <c r="E4" s="1060"/>
      <c r="F4" s="1062"/>
      <c r="G4" s="1148">
        <f>'1-ABA-DE-CARREGAMENTO'!C12</f>
        <v>0</v>
      </c>
      <c r="H4" s="1060"/>
      <c r="I4" s="1060"/>
      <c r="J4" s="1062"/>
      <c r="K4" s="593"/>
      <c r="L4" s="590"/>
      <c r="M4" s="590"/>
      <c r="N4" s="590"/>
      <c r="O4" s="590"/>
      <c r="P4" s="590"/>
      <c r="Q4" s="590"/>
      <c r="R4" s="590"/>
      <c r="S4" s="590"/>
      <c r="T4" s="590"/>
      <c r="U4" s="590"/>
      <c r="V4" s="590"/>
      <c r="W4" s="590"/>
      <c r="X4" s="590"/>
      <c r="Y4" s="590"/>
      <c r="Z4" s="590"/>
    </row>
    <row r="5" spans="1:26" ht="15" customHeight="1">
      <c r="A5" s="574"/>
      <c r="B5" s="1069" t="s">
        <v>512</v>
      </c>
      <c r="C5" s="1009"/>
      <c r="D5" s="1009"/>
      <c r="E5" s="1009"/>
      <c r="F5" s="1010"/>
      <c r="G5" s="1149">
        <f>'1-ABA-DE-CARREGAMENTO'!C13</f>
        <v>0</v>
      </c>
      <c r="H5" s="1009"/>
      <c r="I5" s="1009"/>
      <c r="J5" s="1010"/>
      <c r="K5" s="593"/>
      <c r="L5" s="590"/>
      <c r="M5" s="590"/>
      <c r="N5" s="590"/>
      <c r="O5" s="590"/>
      <c r="P5" s="590"/>
      <c r="Q5" s="590"/>
      <c r="R5" s="590"/>
      <c r="S5" s="590"/>
      <c r="T5" s="590"/>
      <c r="U5" s="590"/>
      <c r="V5" s="590"/>
      <c r="W5" s="590"/>
      <c r="X5" s="590"/>
      <c r="Y5" s="590"/>
      <c r="Z5" s="590"/>
    </row>
    <row r="6" spans="1:26" ht="15" customHeight="1">
      <c r="A6" s="574"/>
      <c r="B6" s="1150">
        <f>'1-ABA-DE-CARREGAMENTO'!C16</f>
        <v>0</v>
      </c>
      <c r="C6" s="1009"/>
      <c r="D6" s="1009"/>
      <c r="E6" s="1009"/>
      <c r="F6" s="1009"/>
      <c r="G6" s="1009"/>
      <c r="H6" s="1009"/>
      <c r="I6" s="1009"/>
      <c r="J6" s="1010"/>
      <c r="K6" s="594"/>
      <c r="L6" s="590"/>
      <c r="M6" s="590"/>
      <c r="N6" s="590"/>
      <c r="O6" s="590"/>
      <c r="P6" s="590"/>
      <c r="Q6" s="590"/>
      <c r="R6" s="590"/>
      <c r="S6" s="590"/>
      <c r="T6" s="590"/>
      <c r="U6" s="590"/>
      <c r="V6" s="590"/>
      <c r="W6" s="590"/>
      <c r="X6" s="590"/>
      <c r="Y6" s="590"/>
      <c r="Z6" s="590"/>
    </row>
    <row r="7" spans="1:26" ht="19.5" customHeight="1">
      <c r="A7" s="574"/>
      <c r="B7" s="1086" t="s">
        <v>513</v>
      </c>
      <c r="C7" s="1009"/>
      <c r="D7" s="1009"/>
      <c r="E7" s="1009"/>
      <c r="F7" s="1009"/>
      <c r="G7" s="1009"/>
      <c r="H7" s="1009"/>
      <c r="I7" s="1009"/>
      <c r="J7" s="1010"/>
      <c r="K7" s="594"/>
      <c r="L7" s="590"/>
      <c r="M7" s="590"/>
      <c r="N7" s="590"/>
      <c r="O7" s="590"/>
      <c r="P7" s="590"/>
      <c r="Q7" s="590"/>
      <c r="R7" s="590"/>
      <c r="S7" s="590"/>
      <c r="T7" s="590"/>
      <c r="U7" s="590"/>
      <c r="V7" s="590"/>
      <c r="W7" s="590"/>
      <c r="X7" s="590"/>
      <c r="Y7" s="590"/>
      <c r="Z7" s="590"/>
    </row>
    <row r="8" spans="1:26" ht="19.5" customHeight="1">
      <c r="A8" s="574"/>
      <c r="B8" s="595" t="s">
        <v>514</v>
      </c>
      <c r="C8" s="1069" t="s">
        <v>515</v>
      </c>
      <c r="D8" s="1009"/>
      <c r="E8" s="1009"/>
      <c r="F8" s="1009"/>
      <c r="G8" s="1009"/>
      <c r="H8" s="1010"/>
      <c r="I8" s="1151">
        <f>'1-ABA-DE-CARREGAMENTO'!C16</f>
        <v>0</v>
      </c>
      <c r="J8" s="1010"/>
      <c r="K8" s="596"/>
      <c r="L8" s="590"/>
      <c r="M8" s="590"/>
      <c r="N8" s="590"/>
      <c r="O8" s="590"/>
      <c r="P8" s="590"/>
      <c r="Q8" s="590"/>
      <c r="R8" s="590"/>
      <c r="S8" s="590"/>
      <c r="T8" s="590"/>
      <c r="U8" s="590"/>
      <c r="V8" s="590"/>
      <c r="W8" s="590"/>
      <c r="X8" s="590"/>
      <c r="Y8" s="590"/>
      <c r="Z8" s="590"/>
    </row>
    <row r="9" spans="1:26" ht="15" customHeight="1">
      <c r="A9" s="574"/>
      <c r="B9" s="595" t="s">
        <v>516</v>
      </c>
      <c r="C9" s="1069" t="s">
        <v>517</v>
      </c>
      <c r="D9" s="1009"/>
      <c r="E9" s="1009"/>
      <c r="F9" s="1009"/>
      <c r="G9" s="1009"/>
      <c r="H9" s="1010"/>
      <c r="I9" s="1149" t="str">
        <f>'1-ABA-DE-CARREGAMENTO'!C14</f>
        <v xml:space="preserve">JULIO-DE-CASTILHOS </v>
      </c>
      <c r="J9" s="1010"/>
      <c r="K9" s="593"/>
      <c r="L9" s="590"/>
      <c r="M9" s="590"/>
      <c r="N9" s="590"/>
      <c r="O9" s="590"/>
      <c r="P9" s="590"/>
      <c r="Q9" s="590"/>
      <c r="R9" s="590"/>
      <c r="S9" s="590"/>
      <c r="T9" s="590"/>
      <c r="U9" s="590"/>
      <c r="V9" s="590"/>
      <c r="W9" s="590"/>
      <c r="X9" s="590"/>
      <c r="Y9" s="590"/>
      <c r="Z9" s="590"/>
    </row>
    <row r="10" spans="1:26" ht="12.75" customHeight="1">
      <c r="A10" s="574"/>
      <c r="B10" s="595" t="s">
        <v>518</v>
      </c>
      <c r="C10" s="1069" t="s">
        <v>519</v>
      </c>
      <c r="D10" s="1009"/>
      <c r="E10" s="1009"/>
      <c r="F10" s="1009"/>
      <c r="G10" s="1009"/>
      <c r="H10" s="1010"/>
      <c r="I10" s="1149" t="str">
        <f>'1-ABA-DE-CARREGAMENTO'!C35</f>
        <v>RS000044/2023</v>
      </c>
      <c r="J10" s="1010"/>
      <c r="K10" s="593"/>
      <c r="L10" s="590"/>
      <c r="M10" s="590"/>
      <c r="N10" s="590"/>
      <c r="O10" s="590"/>
      <c r="P10" s="590"/>
      <c r="Q10" s="590"/>
      <c r="R10" s="590"/>
      <c r="S10" s="590"/>
      <c r="T10" s="590"/>
      <c r="U10" s="590"/>
      <c r="V10" s="590"/>
      <c r="W10" s="590"/>
      <c r="X10" s="590"/>
      <c r="Y10" s="590"/>
      <c r="Z10" s="590"/>
    </row>
    <row r="11" spans="1:26" ht="12.75" customHeight="1">
      <c r="A11" s="574"/>
      <c r="B11" s="595" t="s">
        <v>520</v>
      </c>
      <c r="C11" s="1069" t="s">
        <v>521</v>
      </c>
      <c r="D11" s="1009"/>
      <c r="E11" s="1009"/>
      <c r="F11" s="1009"/>
      <c r="G11" s="1009"/>
      <c r="H11" s="1010"/>
      <c r="I11" s="1076">
        <f>'1-ABA-DE-CARREGAMENTO'!C94</f>
        <v>30</v>
      </c>
      <c r="J11" s="1010"/>
      <c r="K11" s="593"/>
      <c r="L11" s="590"/>
      <c r="M11" s="590"/>
      <c r="N11" s="590"/>
      <c r="O11" s="590"/>
      <c r="P11" s="590"/>
      <c r="Q11" s="590"/>
      <c r="R11" s="590"/>
      <c r="S11" s="590"/>
      <c r="T11" s="590"/>
      <c r="U11" s="590"/>
      <c r="V11" s="590"/>
      <c r="W11" s="590"/>
      <c r="X11" s="590"/>
      <c r="Y11" s="590"/>
      <c r="Z11" s="590"/>
    </row>
    <row r="12" spans="1:26" ht="13.5" customHeight="1">
      <c r="A12" s="574"/>
      <c r="B12" s="1140" t="s">
        <v>522</v>
      </c>
      <c r="C12" s="1009"/>
      <c r="D12" s="1009"/>
      <c r="E12" s="1009"/>
      <c r="F12" s="1009"/>
      <c r="G12" s="1009"/>
      <c r="H12" s="1009"/>
      <c r="I12" s="1009"/>
      <c r="J12" s="1010"/>
      <c r="K12" s="592"/>
      <c r="L12" s="590"/>
      <c r="M12" s="590"/>
      <c r="N12" s="590"/>
      <c r="O12" s="590"/>
      <c r="P12" s="590"/>
      <c r="Q12" s="590"/>
      <c r="R12" s="590"/>
      <c r="S12" s="590"/>
      <c r="T12" s="590"/>
      <c r="U12" s="590"/>
      <c r="V12" s="590"/>
      <c r="W12" s="590"/>
      <c r="X12" s="590"/>
      <c r="Y12" s="590"/>
      <c r="Z12" s="590"/>
    </row>
    <row r="13" spans="1:26" ht="72" customHeight="1">
      <c r="A13" s="574"/>
      <c r="B13" s="1083" t="str">
        <f>'1-ABA-DE-CARREGAMENTO'!C11</f>
        <v xml:space="preserve"> S E R V I Ç O S     -   REFEITORIO_×_JARDINAGEM</v>
      </c>
      <c r="C13" s="1009"/>
      <c r="D13" s="1009"/>
      <c r="E13" s="1009"/>
      <c r="F13" s="1030"/>
      <c r="G13" s="1083" t="s">
        <v>523</v>
      </c>
      <c r="H13" s="1010"/>
      <c r="I13" s="1083" t="s">
        <v>524</v>
      </c>
      <c r="J13" s="1010"/>
      <c r="K13" s="592"/>
      <c r="L13" s="590"/>
      <c r="M13" s="590"/>
      <c r="N13" s="590"/>
      <c r="O13" s="590"/>
      <c r="P13" s="590"/>
      <c r="Q13" s="590"/>
      <c r="R13" s="590"/>
      <c r="S13" s="590"/>
      <c r="T13" s="590"/>
      <c r="U13" s="590"/>
      <c r="V13" s="590"/>
      <c r="W13" s="590"/>
      <c r="X13" s="590"/>
      <c r="Y13" s="590"/>
      <c r="Z13" s="590"/>
    </row>
    <row r="14" spans="1:26" ht="12.75" hidden="1" customHeight="1" outlineLevel="1">
      <c r="A14" s="574"/>
      <c r="B14" s="1141" t="s">
        <v>525</v>
      </c>
      <c r="C14" s="1009"/>
      <c r="D14" s="1009"/>
      <c r="E14" s="1009"/>
      <c r="F14" s="1010"/>
      <c r="G14" s="1142" t="s">
        <v>526</v>
      </c>
      <c r="H14" s="1010"/>
      <c r="I14" s="1143" t="s">
        <v>527</v>
      </c>
      <c r="J14" s="1010"/>
      <c r="K14" s="598"/>
      <c r="L14" s="590"/>
      <c r="M14" s="590"/>
      <c r="N14" s="590"/>
      <c r="O14" s="590"/>
      <c r="P14" s="590"/>
      <c r="Q14" s="590"/>
      <c r="R14" s="590"/>
      <c r="S14" s="590"/>
      <c r="T14" s="590"/>
      <c r="U14" s="590"/>
      <c r="V14" s="590"/>
      <c r="W14" s="590"/>
      <c r="X14" s="590"/>
      <c r="Y14" s="590"/>
      <c r="Z14" s="590"/>
    </row>
    <row r="15" spans="1:26" ht="12.75" hidden="1" customHeight="1" outlineLevel="1">
      <c r="A15" s="574"/>
      <c r="B15" s="1141" t="s">
        <v>528</v>
      </c>
      <c r="C15" s="1009"/>
      <c r="D15" s="1009"/>
      <c r="E15" s="1009"/>
      <c r="F15" s="1010"/>
      <c r="G15" s="1142" t="s">
        <v>526</v>
      </c>
      <c r="H15" s="1010"/>
      <c r="I15" s="1143" t="s">
        <v>527</v>
      </c>
      <c r="J15" s="1010"/>
      <c r="K15" s="598"/>
      <c r="L15" s="590"/>
      <c r="M15" s="590"/>
      <c r="N15" s="590"/>
      <c r="O15" s="590"/>
      <c r="P15" s="590"/>
      <c r="Q15" s="590"/>
      <c r="R15" s="590"/>
      <c r="S15" s="590"/>
      <c r="T15" s="590"/>
      <c r="U15" s="590"/>
      <c r="V15" s="590"/>
      <c r="W15" s="590"/>
      <c r="X15" s="590"/>
      <c r="Y15" s="590"/>
      <c r="Z15" s="590"/>
    </row>
    <row r="16" spans="1:26" ht="12.75" hidden="1" customHeight="1" outlineLevel="1">
      <c r="A16" s="574"/>
      <c r="B16" s="1141" t="s">
        <v>529</v>
      </c>
      <c r="C16" s="1009"/>
      <c r="D16" s="1009"/>
      <c r="E16" s="1009"/>
      <c r="F16" s="1010"/>
      <c r="G16" s="1142" t="s">
        <v>526</v>
      </c>
      <c r="H16" s="1010"/>
      <c r="I16" s="1143" t="s">
        <v>527</v>
      </c>
      <c r="J16" s="1010"/>
      <c r="K16" s="598"/>
      <c r="L16" s="590"/>
      <c r="M16" s="590"/>
      <c r="N16" s="590"/>
      <c r="O16" s="590"/>
      <c r="P16" s="590"/>
      <c r="Q16" s="590"/>
      <c r="R16" s="590"/>
      <c r="S16" s="590"/>
      <c r="T16" s="590"/>
      <c r="U16" s="590"/>
      <c r="V16" s="590"/>
      <c r="W16" s="590"/>
      <c r="X16" s="590"/>
      <c r="Y16" s="590"/>
      <c r="Z16" s="590"/>
    </row>
    <row r="17" spans="1:26" ht="12.75" customHeight="1" collapsed="1">
      <c r="A17" s="574"/>
      <c r="B17" s="1141" t="str">
        <f>B3</f>
        <v>5132-05_COZINHEIRO_prepost_hs</v>
      </c>
      <c r="C17" s="1009"/>
      <c r="D17" s="1009"/>
      <c r="E17" s="1009"/>
      <c r="F17" s="1010"/>
      <c r="G17" s="1142" t="s">
        <v>526</v>
      </c>
      <c r="H17" s="1010"/>
      <c r="I17" s="1143">
        <f>'1-ABA-DE-CARREGAMENTO'!C92</f>
        <v>1</v>
      </c>
      <c r="J17" s="1010"/>
      <c r="K17" s="598"/>
      <c r="L17" s="590"/>
      <c r="M17" s="590"/>
      <c r="N17" s="590"/>
      <c r="O17" s="590"/>
      <c r="P17" s="590"/>
      <c r="Q17" s="590"/>
      <c r="R17" s="590"/>
      <c r="S17" s="590"/>
      <c r="T17" s="590"/>
      <c r="U17" s="590"/>
      <c r="V17" s="590"/>
      <c r="W17" s="590"/>
      <c r="X17" s="590"/>
      <c r="Y17" s="590"/>
      <c r="Z17" s="590"/>
    </row>
    <row r="18" spans="1:26" ht="12.75" hidden="1" customHeight="1" outlineLevel="1">
      <c r="A18" s="574"/>
      <c r="B18" s="1141" t="s">
        <v>530</v>
      </c>
      <c r="C18" s="1009"/>
      <c r="D18" s="1009"/>
      <c r="E18" s="1009"/>
      <c r="F18" s="1010"/>
      <c r="G18" s="1142" t="s">
        <v>526</v>
      </c>
      <c r="H18" s="1010"/>
      <c r="I18" s="1143" t="s">
        <v>527</v>
      </c>
      <c r="J18" s="1010"/>
      <c r="K18" s="598"/>
      <c r="L18" s="590"/>
      <c r="M18" s="590"/>
      <c r="N18" s="590"/>
      <c r="O18" s="590"/>
      <c r="P18" s="590"/>
      <c r="Q18" s="590"/>
      <c r="R18" s="590"/>
      <c r="S18" s="590"/>
      <c r="T18" s="590"/>
      <c r="U18" s="590"/>
      <c r="V18" s="590"/>
      <c r="W18" s="590"/>
      <c r="X18" s="590"/>
      <c r="Y18" s="590"/>
      <c r="Z18" s="590"/>
    </row>
    <row r="19" spans="1:26" ht="12" hidden="1" customHeight="1" outlineLevel="1">
      <c r="A19" s="574"/>
      <c r="B19" s="1141" t="s">
        <v>531</v>
      </c>
      <c r="C19" s="1009"/>
      <c r="D19" s="1009"/>
      <c r="E19" s="1009"/>
      <c r="F19" s="1010"/>
      <c r="G19" s="1142" t="s">
        <v>526</v>
      </c>
      <c r="H19" s="1010"/>
      <c r="I19" s="1143" t="s">
        <v>527</v>
      </c>
      <c r="J19" s="1010"/>
      <c r="K19" s="598"/>
      <c r="L19" s="590"/>
      <c r="M19" s="590"/>
      <c r="N19" s="590"/>
      <c r="O19" s="590"/>
      <c r="P19" s="590"/>
      <c r="Q19" s="590"/>
      <c r="R19" s="590"/>
      <c r="S19" s="590"/>
      <c r="T19" s="590"/>
      <c r="U19" s="590"/>
      <c r="V19" s="590"/>
      <c r="W19" s="590"/>
      <c r="X19" s="590"/>
      <c r="Y19" s="590"/>
      <c r="Z19" s="590"/>
    </row>
    <row r="20" spans="1:26" ht="23.25" customHeight="1" collapsed="1">
      <c r="A20" s="574"/>
      <c r="B20" s="1153" t="s">
        <v>532</v>
      </c>
      <c r="C20" s="1009"/>
      <c r="D20" s="1009"/>
      <c r="E20" s="1009"/>
      <c r="F20" s="1009"/>
      <c r="G20" s="1009"/>
      <c r="H20" s="1010"/>
      <c r="I20" s="1152">
        <f>SUM(I14:I19)</f>
        <v>1</v>
      </c>
      <c r="J20" s="1010"/>
      <c r="K20" s="599"/>
      <c r="L20" s="590"/>
      <c r="M20" s="590"/>
      <c r="N20" s="590"/>
      <c r="O20" s="590"/>
      <c r="P20" s="590"/>
      <c r="Q20" s="590"/>
      <c r="R20" s="590"/>
      <c r="S20" s="590"/>
      <c r="T20" s="590"/>
      <c r="U20" s="590"/>
      <c r="V20" s="590"/>
      <c r="W20" s="590"/>
      <c r="X20" s="590"/>
      <c r="Y20" s="590"/>
      <c r="Z20" s="590"/>
    </row>
    <row r="21" spans="1:26" ht="12.75" customHeight="1">
      <c r="A21" s="574"/>
      <c r="B21" s="1117"/>
      <c r="C21" s="1009"/>
      <c r="D21" s="1009"/>
      <c r="E21" s="1009"/>
      <c r="F21" s="1009"/>
      <c r="G21" s="1009"/>
      <c r="H21" s="1009"/>
      <c r="I21" s="1009"/>
      <c r="J21" s="1010"/>
      <c r="K21" s="592"/>
      <c r="L21" s="590"/>
      <c r="M21" s="590"/>
      <c r="N21" s="590"/>
      <c r="O21" s="590"/>
      <c r="P21" s="590"/>
      <c r="Q21" s="590"/>
      <c r="R21" s="590"/>
      <c r="S21" s="590"/>
      <c r="T21" s="590"/>
      <c r="U21" s="590"/>
      <c r="V21" s="590"/>
      <c r="W21" s="590"/>
      <c r="X21" s="590"/>
      <c r="Y21" s="590"/>
      <c r="Z21" s="590"/>
    </row>
    <row r="22" spans="1:26" ht="22.5" customHeight="1">
      <c r="A22" s="574"/>
      <c r="B22" s="1084" t="s">
        <v>533</v>
      </c>
      <c r="C22" s="1009"/>
      <c r="D22" s="1009"/>
      <c r="E22" s="1009"/>
      <c r="F22" s="1009"/>
      <c r="G22" s="1009"/>
      <c r="H22" s="1009"/>
      <c r="I22" s="1009"/>
      <c r="J22" s="1010"/>
      <c r="K22" s="600"/>
      <c r="L22" s="590"/>
      <c r="M22" s="590"/>
      <c r="N22" s="590"/>
      <c r="O22" s="590"/>
      <c r="P22" s="590"/>
      <c r="Q22" s="590"/>
      <c r="R22" s="590"/>
      <c r="S22" s="590"/>
      <c r="T22" s="590"/>
      <c r="U22" s="590"/>
      <c r="V22" s="590"/>
      <c r="W22" s="590"/>
      <c r="X22" s="590"/>
      <c r="Y22" s="590"/>
      <c r="Z22" s="590"/>
    </row>
    <row r="23" spans="1:26" ht="12" customHeight="1">
      <c r="A23" s="574"/>
      <c r="B23" s="1122"/>
      <c r="C23" s="1009"/>
      <c r="D23" s="1009"/>
      <c r="E23" s="1009"/>
      <c r="F23" s="1009"/>
      <c r="G23" s="1009"/>
      <c r="H23" s="1009"/>
      <c r="I23" s="1009"/>
      <c r="J23" s="1010"/>
      <c r="K23" s="601"/>
      <c r="L23" s="590"/>
      <c r="M23" s="590"/>
      <c r="N23" s="590"/>
      <c r="O23" s="590"/>
      <c r="P23" s="590"/>
      <c r="Q23" s="590"/>
      <c r="R23" s="590"/>
      <c r="S23" s="590"/>
      <c r="T23" s="590"/>
      <c r="U23" s="590"/>
      <c r="V23" s="590"/>
      <c r="W23" s="590"/>
      <c r="X23" s="590"/>
      <c r="Y23" s="590"/>
      <c r="Z23" s="590"/>
    </row>
    <row r="24" spans="1:26" ht="52.5" customHeight="1">
      <c r="A24" s="574"/>
      <c r="B24" s="1154" t="s">
        <v>534</v>
      </c>
      <c r="C24" s="1009"/>
      <c r="D24" s="1009"/>
      <c r="E24" s="1009"/>
      <c r="F24" s="1009"/>
      <c r="G24" s="1009"/>
      <c r="H24" s="1009"/>
      <c r="I24" s="1009"/>
      <c r="J24" s="1010"/>
      <c r="K24" s="602"/>
      <c r="L24" s="590"/>
      <c r="M24" s="590"/>
      <c r="N24" s="590"/>
      <c r="O24" s="590"/>
      <c r="P24" s="590"/>
      <c r="Q24" s="590"/>
      <c r="R24" s="590"/>
      <c r="S24" s="590"/>
      <c r="T24" s="590"/>
      <c r="U24" s="590"/>
      <c r="V24" s="590"/>
      <c r="W24" s="590"/>
      <c r="X24" s="590"/>
      <c r="Y24" s="590"/>
      <c r="Z24" s="590"/>
    </row>
    <row r="25" spans="1:26" ht="10.5" customHeight="1">
      <c r="A25" s="574"/>
      <c r="B25" s="1123"/>
      <c r="C25" s="1009"/>
      <c r="D25" s="1009"/>
      <c r="E25" s="1009"/>
      <c r="F25" s="1009"/>
      <c r="G25" s="1009"/>
      <c r="H25" s="1009"/>
      <c r="I25" s="1009"/>
      <c r="J25" s="1010"/>
      <c r="K25" s="602"/>
      <c r="L25" s="590"/>
      <c r="M25" s="590"/>
      <c r="N25" s="590"/>
      <c r="O25" s="590"/>
      <c r="P25" s="590"/>
      <c r="Q25" s="590"/>
      <c r="R25" s="590"/>
      <c r="S25" s="590"/>
      <c r="T25" s="590"/>
      <c r="U25" s="590"/>
      <c r="V25" s="590"/>
      <c r="W25" s="590"/>
      <c r="X25" s="590"/>
      <c r="Y25" s="590"/>
      <c r="Z25" s="590"/>
    </row>
    <row r="26" spans="1:26" ht="16.5" customHeight="1">
      <c r="A26" s="592"/>
      <c r="B26" s="1086" t="s">
        <v>535</v>
      </c>
      <c r="C26" s="1009"/>
      <c r="D26" s="1009"/>
      <c r="E26" s="1009"/>
      <c r="F26" s="1009"/>
      <c r="G26" s="1009"/>
      <c r="H26" s="1009"/>
      <c r="I26" s="1009"/>
      <c r="J26" s="1010"/>
      <c r="K26" s="594"/>
      <c r="L26" s="590"/>
      <c r="M26" s="590"/>
      <c r="N26" s="590"/>
      <c r="O26" s="590"/>
      <c r="P26" s="590"/>
      <c r="Q26" s="590"/>
      <c r="R26" s="590"/>
      <c r="S26" s="590"/>
      <c r="T26" s="590"/>
      <c r="U26" s="590"/>
      <c r="V26" s="590"/>
      <c r="W26" s="590"/>
      <c r="X26" s="590"/>
      <c r="Y26" s="590"/>
      <c r="Z26" s="590"/>
    </row>
    <row r="27" spans="1:26" ht="30" customHeight="1">
      <c r="A27" s="574"/>
      <c r="B27" s="595">
        <v>1</v>
      </c>
      <c r="C27" s="1069" t="s">
        <v>536</v>
      </c>
      <c r="D27" s="1009"/>
      <c r="E27" s="1009"/>
      <c r="F27" s="1009"/>
      <c r="G27" s="1009"/>
      <c r="H27" s="1010"/>
      <c r="I27" s="1073" t="str">
        <f>'1-ABA-DE-CARREGAMENTO'!C33</f>
        <v>5132-05_COZINHEIRO_prepost_hs</v>
      </c>
      <c r="J27" s="1010"/>
      <c r="K27" s="603"/>
      <c r="L27" s="590"/>
      <c r="M27" s="590"/>
      <c r="N27" s="590"/>
      <c r="O27" s="590"/>
      <c r="P27" s="590"/>
      <c r="Q27" s="590"/>
      <c r="R27" s="590"/>
      <c r="S27" s="590"/>
      <c r="T27" s="590"/>
      <c r="U27" s="590"/>
      <c r="V27" s="590"/>
      <c r="W27" s="590"/>
      <c r="X27" s="590"/>
      <c r="Y27" s="590"/>
      <c r="Z27" s="590"/>
    </row>
    <row r="28" spans="1:26" ht="16.5" customHeight="1">
      <c r="A28" s="574"/>
      <c r="B28" s="604">
        <v>2</v>
      </c>
      <c r="C28" s="1155" t="s">
        <v>537</v>
      </c>
      <c r="D28" s="1130"/>
      <c r="E28" s="1130"/>
      <c r="F28" s="1130"/>
      <c r="G28" s="1130"/>
      <c r="H28" s="1128"/>
      <c r="I28" s="1156">
        <v>1180586</v>
      </c>
      <c r="J28" s="1010"/>
      <c r="K28" s="603"/>
      <c r="L28" s="590"/>
      <c r="M28" s="590"/>
      <c r="N28" s="590"/>
      <c r="O28" s="590"/>
      <c r="P28" s="590"/>
      <c r="Q28" s="590"/>
      <c r="R28" s="590"/>
      <c r="S28" s="590"/>
      <c r="T28" s="590"/>
      <c r="U28" s="590"/>
      <c r="V28" s="590"/>
      <c r="W28" s="590"/>
      <c r="X28" s="590"/>
      <c r="Y28" s="590"/>
      <c r="Z28" s="590"/>
    </row>
    <row r="29" spans="1:26" ht="61.5" customHeight="1">
      <c r="A29" s="574"/>
      <c r="B29" s="597">
        <v>3</v>
      </c>
      <c r="C29" s="1157" t="s">
        <v>538</v>
      </c>
      <c r="D29" s="948"/>
      <c r="E29" s="605">
        <v>220</v>
      </c>
      <c r="F29" s="606">
        <f>'1-ABA-DE-CARREGAMENTO'!C37</f>
        <v>1502.5</v>
      </c>
      <c r="G29" s="607" t="s">
        <v>539</v>
      </c>
      <c r="H29" s="608">
        <f>'1-ABA-DE-CARREGAMENTO'!C52</f>
        <v>200</v>
      </c>
      <c r="I29" s="1158">
        <f>F29/E29*H29</f>
        <v>1365.9090909090908</v>
      </c>
      <c r="J29" s="1010"/>
      <c r="K29" s="609"/>
      <c r="L29" s="590"/>
      <c r="M29" s="590"/>
      <c r="N29" s="590"/>
      <c r="O29" s="590"/>
      <c r="P29" s="590"/>
      <c r="Q29" s="590"/>
      <c r="R29" s="590"/>
      <c r="S29" s="590"/>
      <c r="T29" s="590"/>
      <c r="U29" s="590"/>
      <c r="V29" s="590"/>
      <c r="W29" s="590"/>
      <c r="X29" s="590"/>
      <c r="Y29" s="590"/>
      <c r="Z29" s="590"/>
    </row>
    <row r="30" spans="1:26" ht="16.5" customHeight="1">
      <c r="A30" s="574"/>
      <c r="B30" s="595">
        <v>4</v>
      </c>
      <c r="C30" s="1144" t="s">
        <v>540</v>
      </c>
      <c r="D30" s="1060"/>
      <c r="E30" s="1060"/>
      <c r="F30" s="1060"/>
      <c r="G30" s="1060"/>
      <c r="H30" s="1062"/>
      <c r="I30" s="1159"/>
      <c r="J30" s="1010"/>
      <c r="K30" s="596"/>
      <c r="L30" s="590"/>
      <c r="M30" s="590"/>
      <c r="N30" s="590"/>
      <c r="O30" s="590"/>
      <c r="P30" s="590"/>
      <c r="Q30" s="590"/>
      <c r="R30" s="590"/>
      <c r="S30" s="590"/>
      <c r="T30" s="590"/>
      <c r="U30" s="590"/>
      <c r="V30" s="590"/>
      <c r="W30" s="590"/>
      <c r="X30" s="590"/>
      <c r="Y30" s="590"/>
      <c r="Z30" s="590"/>
    </row>
    <row r="31" spans="1:26" ht="18.75" customHeight="1">
      <c r="A31" s="574"/>
      <c r="B31" s="595">
        <v>5</v>
      </c>
      <c r="C31" s="1069" t="s">
        <v>541</v>
      </c>
      <c r="D31" s="1009"/>
      <c r="E31" s="1009"/>
      <c r="F31" s="1009"/>
      <c r="G31" s="1009"/>
      <c r="H31" s="1010"/>
      <c r="I31" s="1145" t="str">
        <f>'1-ABA-DE-CARREGAMENTO'!C36</f>
        <v>01 de JANEIRO</v>
      </c>
      <c r="J31" s="1010"/>
      <c r="K31" s="610"/>
      <c r="L31" s="590"/>
      <c r="M31" s="590"/>
      <c r="N31" s="590"/>
      <c r="O31" s="590"/>
      <c r="P31" s="590"/>
      <c r="Q31" s="590"/>
      <c r="R31" s="590"/>
      <c r="S31" s="590"/>
      <c r="T31" s="590"/>
      <c r="U31" s="590"/>
      <c r="V31" s="590"/>
      <c r="W31" s="590"/>
      <c r="X31" s="590"/>
      <c r="Y31" s="590"/>
      <c r="Z31" s="590"/>
    </row>
    <row r="32" spans="1:26" ht="29.25" customHeight="1">
      <c r="A32" s="574"/>
      <c r="B32" s="611">
        <v>6</v>
      </c>
      <c r="C32" s="1125" t="s">
        <v>542</v>
      </c>
      <c r="D32" s="1009"/>
      <c r="E32" s="1009"/>
      <c r="F32" s="1009"/>
      <c r="G32" s="1009"/>
      <c r="H32" s="1010"/>
      <c r="I32" s="1126">
        <f>I29/H29</f>
        <v>6.8295454545454541</v>
      </c>
      <c r="J32" s="1010"/>
      <c r="K32" s="612"/>
      <c r="L32" s="590"/>
      <c r="M32" s="590"/>
      <c r="N32" s="590"/>
      <c r="O32" s="590"/>
      <c r="P32" s="590"/>
      <c r="Q32" s="590"/>
      <c r="R32" s="590"/>
      <c r="S32" s="590"/>
      <c r="T32" s="590"/>
      <c r="U32" s="590"/>
      <c r="V32" s="590"/>
      <c r="W32" s="590"/>
      <c r="X32" s="590"/>
      <c r="Y32" s="590"/>
      <c r="Z32" s="590"/>
    </row>
    <row r="33" spans="1:26" ht="39" customHeight="1">
      <c r="A33" s="574"/>
      <c r="B33" s="611">
        <v>7</v>
      </c>
      <c r="C33" s="1125" t="s">
        <v>543</v>
      </c>
      <c r="D33" s="1009"/>
      <c r="E33" s="1009"/>
      <c r="F33" s="1010"/>
      <c r="G33" s="1138"/>
      <c r="H33" s="1010"/>
      <c r="I33" s="1139">
        <f>(SUM(J47:J50)/H29)</f>
        <v>9.6979545454545448</v>
      </c>
      <c r="J33" s="1010"/>
      <c r="K33" s="612"/>
      <c r="L33" s="590"/>
      <c r="M33" s="590"/>
      <c r="N33" s="590"/>
      <c r="O33" s="590"/>
      <c r="P33" s="590"/>
      <c r="Q33" s="590"/>
      <c r="R33" s="590"/>
      <c r="S33" s="590"/>
      <c r="T33" s="590"/>
      <c r="U33" s="590"/>
      <c r="V33" s="590"/>
      <c r="W33" s="590"/>
      <c r="X33" s="590"/>
      <c r="Y33" s="590"/>
      <c r="Z33" s="590"/>
    </row>
    <row r="34" spans="1:26" ht="29.25" customHeight="1">
      <c r="A34" s="574"/>
      <c r="B34" s="611">
        <v>8</v>
      </c>
      <c r="C34" s="1125" t="s">
        <v>544</v>
      </c>
      <c r="D34" s="1009"/>
      <c r="E34" s="1009"/>
      <c r="F34" s="1010"/>
      <c r="G34" s="1138"/>
      <c r="H34" s="1010"/>
      <c r="I34" s="1126">
        <f t="shared" ref="I34:I35" si="0">I32*1.5</f>
        <v>10.244318181818182</v>
      </c>
      <c r="J34" s="1010"/>
      <c r="K34" s="612"/>
      <c r="L34" s="590"/>
      <c r="M34" s="590"/>
      <c r="N34" s="590"/>
      <c r="O34" s="590"/>
      <c r="P34" s="590"/>
      <c r="Q34" s="590"/>
      <c r="R34" s="590"/>
      <c r="S34" s="590"/>
      <c r="T34" s="590"/>
      <c r="U34" s="590"/>
      <c r="V34" s="590"/>
      <c r="W34" s="590"/>
      <c r="X34" s="590"/>
      <c r="Y34" s="590"/>
      <c r="Z34" s="590"/>
    </row>
    <row r="35" spans="1:26" ht="29.25" customHeight="1">
      <c r="A35" s="574"/>
      <c r="B35" s="611">
        <v>9</v>
      </c>
      <c r="C35" s="1125" t="s">
        <v>545</v>
      </c>
      <c r="D35" s="1009"/>
      <c r="E35" s="1009"/>
      <c r="F35" s="1010"/>
      <c r="G35" s="1138" t="s">
        <v>546</v>
      </c>
      <c r="H35" s="1010"/>
      <c r="I35" s="1139">
        <f t="shared" si="0"/>
        <v>14.546931818181818</v>
      </c>
      <c r="J35" s="1010"/>
      <c r="K35" s="613"/>
      <c r="L35" s="590"/>
      <c r="M35" s="590"/>
      <c r="N35" s="590"/>
      <c r="O35" s="590"/>
      <c r="P35" s="590"/>
      <c r="Q35" s="590"/>
      <c r="R35" s="590"/>
      <c r="S35" s="590"/>
      <c r="T35" s="590"/>
      <c r="U35" s="590"/>
      <c r="V35" s="590"/>
      <c r="W35" s="590"/>
      <c r="X35" s="590"/>
      <c r="Y35" s="590"/>
      <c r="Z35" s="590"/>
    </row>
    <row r="36" spans="1:26" ht="29.25" customHeight="1">
      <c r="A36" s="574"/>
      <c r="B36" s="611">
        <v>10</v>
      </c>
      <c r="C36" s="1125" t="s">
        <v>547</v>
      </c>
      <c r="D36" s="1009"/>
      <c r="E36" s="1009"/>
      <c r="F36" s="1009"/>
      <c r="G36" s="1009"/>
      <c r="H36" s="1010"/>
      <c r="I36" s="1139">
        <f>I33*1.2</f>
        <v>11.637545454545453</v>
      </c>
      <c r="J36" s="1010"/>
      <c r="K36" s="612"/>
      <c r="L36" s="590"/>
      <c r="M36" s="590"/>
      <c r="N36" s="590"/>
      <c r="O36" s="590"/>
      <c r="P36" s="590"/>
      <c r="Q36" s="590"/>
      <c r="R36" s="590"/>
      <c r="S36" s="590"/>
      <c r="T36" s="590"/>
      <c r="U36" s="590"/>
      <c r="V36" s="590"/>
      <c r="W36" s="590"/>
      <c r="X36" s="590"/>
      <c r="Y36" s="590"/>
      <c r="Z36" s="590"/>
    </row>
    <row r="37" spans="1:26" ht="29.25" customHeight="1">
      <c r="A37" s="574"/>
      <c r="B37" s="611">
        <v>11</v>
      </c>
      <c r="C37" s="1125" t="s">
        <v>548</v>
      </c>
      <c r="D37" s="1009"/>
      <c r="E37" s="1009"/>
      <c r="F37" s="1009"/>
      <c r="G37" s="1009"/>
      <c r="H37" s="1010"/>
      <c r="I37" s="1126">
        <f>I35*2</f>
        <v>29.093863636363636</v>
      </c>
      <c r="J37" s="1010"/>
      <c r="K37" s="612"/>
      <c r="L37" s="590"/>
      <c r="M37" s="590"/>
      <c r="N37" s="590"/>
      <c r="O37" s="590"/>
      <c r="P37" s="590"/>
      <c r="Q37" s="590"/>
      <c r="R37" s="590"/>
      <c r="S37" s="590"/>
      <c r="T37" s="590"/>
      <c r="U37" s="590"/>
      <c r="V37" s="590"/>
      <c r="W37" s="590"/>
      <c r="X37" s="590"/>
      <c r="Y37" s="590"/>
      <c r="Z37" s="590"/>
    </row>
    <row r="38" spans="1:26" ht="29.25" hidden="1" customHeight="1" outlineLevel="1">
      <c r="A38" s="574"/>
      <c r="B38" s="611">
        <v>12</v>
      </c>
      <c r="C38" s="1125" t="s">
        <v>549</v>
      </c>
      <c r="D38" s="1009"/>
      <c r="E38" s="1009"/>
      <c r="F38" s="1009"/>
      <c r="G38" s="1009"/>
      <c r="H38" s="1010"/>
      <c r="I38" s="1126">
        <f>I29*'1-ABA-DE-CARREGAMENTO'!D44</f>
        <v>0</v>
      </c>
      <c r="J38" s="1010"/>
      <c r="K38" s="612"/>
      <c r="L38" s="590"/>
      <c r="M38" s="590"/>
      <c r="N38" s="590"/>
      <c r="O38" s="590"/>
      <c r="P38" s="590"/>
      <c r="Q38" s="590"/>
      <c r="R38" s="590"/>
      <c r="S38" s="590"/>
      <c r="T38" s="590"/>
      <c r="U38" s="590"/>
      <c r="V38" s="590"/>
      <c r="W38" s="590"/>
      <c r="X38" s="590"/>
      <c r="Y38" s="590"/>
      <c r="Z38" s="590"/>
    </row>
    <row r="39" spans="1:26" ht="29.25" hidden="1" customHeight="1" outlineLevel="1">
      <c r="A39" s="574"/>
      <c r="B39" s="614">
        <v>13</v>
      </c>
      <c r="C39" s="1129" t="s">
        <v>550</v>
      </c>
      <c r="D39" s="1130"/>
      <c r="E39" s="1130"/>
      <c r="F39" s="1130"/>
      <c r="G39" s="1130"/>
      <c r="H39" s="1128"/>
      <c r="I39" s="1127">
        <f>ROUND(I32/6,2)*1.3*0</f>
        <v>0</v>
      </c>
      <c r="J39" s="1128"/>
      <c r="K39" s="612"/>
      <c r="L39" s="590"/>
      <c r="M39" s="590"/>
      <c r="N39" s="590"/>
      <c r="O39" s="590"/>
      <c r="P39" s="590"/>
      <c r="Q39" s="590"/>
      <c r="R39" s="590"/>
      <c r="S39" s="590"/>
      <c r="T39" s="590"/>
      <c r="U39" s="590"/>
      <c r="V39" s="590"/>
      <c r="W39" s="590"/>
      <c r="X39" s="590"/>
      <c r="Y39" s="590"/>
      <c r="Z39" s="590"/>
    </row>
    <row r="40" spans="1:26" ht="29.25" customHeight="1" collapsed="1">
      <c r="A40" s="574"/>
      <c r="B40" s="615">
        <v>14</v>
      </c>
      <c r="C40" s="1131" t="s">
        <v>551</v>
      </c>
      <c r="D40" s="1132"/>
      <c r="E40" s="1132"/>
      <c r="F40" s="1132"/>
      <c r="G40" s="1132"/>
      <c r="H40" s="1133"/>
      <c r="I40" s="1134">
        <f>'1-ABA-DE-CARREGAMENTO'!C93</f>
        <v>1</v>
      </c>
      <c r="J40" s="1135"/>
      <c r="K40" s="616"/>
      <c r="L40" s="590"/>
      <c r="M40" s="590"/>
      <c r="N40" s="590"/>
      <c r="O40" s="590"/>
      <c r="P40" s="590"/>
      <c r="Q40" s="590"/>
      <c r="R40" s="590"/>
      <c r="S40" s="590"/>
      <c r="T40" s="590"/>
      <c r="U40" s="590"/>
      <c r="V40" s="590"/>
      <c r="W40" s="590"/>
      <c r="X40" s="590"/>
      <c r="Y40" s="590"/>
      <c r="Z40" s="590"/>
    </row>
    <row r="41" spans="1:26" ht="26.25" customHeight="1">
      <c r="A41" s="574"/>
      <c r="B41" s="617">
        <v>15</v>
      </c>
      <c r="C41" s="1136" t="s">
        <v>552</v>
      </c>
      <c r="D41" s="1060"/>
      <c r="E41" s="1060"/>
      <c r="F41" s="1060"/>
      <c r="G41" s="1060"/>
      <c r="H41" s="1062"/>
      <c r="I41" s="1137">
        <f>'1-ABA-DE-CARREGAMENTO'!C42</f>
        <v>1320</v>
      </c>
      <c r="J41" s="1062"/>
      <c r="K41" s="618"/>
      <c r="L41" s="590"/>
      <c r="M41" s="590"/>
      <c r="N41" s="590"/>
      <c r="O41" s="590"/>
      <c r="P41" s="590"/>
      <c r="Q41" s="590"/>
      <c r="R41" s="590"/>
      <c r="S41" s="590"/>
      <c r="T41" s="590"/>
      <c r="U41" s="590"/>
      <c r="V41" s="590"/>
      <c r="W41" s="590"/>
      <c r="X41" s="590"/>
      <c r="Y41" s="590"/>
      <c r="Z41" s="590"/>
    </row>
    <row r="42" spans="1:26" ht="14.25" customHeight="1">
      <c r="A42" s="574"/>
      <c r="B42" s="1122"/>
      <c r="C42" s="1009"/>
      <c r="D42" s="1009"/>
      <c r="E42" s="1009"/>
      <c r="F42" s="1009"/>
      <c r="G42" s="1009"/>
      <c r="H42" s="1009"/>
      <c r="I42" s="1009"/>
      <c r="J42" s="1010"/>
      <c r="K42" s="601"/>
      <c r="L42" s="590"/>
      <c r="M42" s="590"/>
      <c r="N42" s="590"/>
      <c r="O42" s="590"/>
      <c r="P42" s="590"/>
      <c r="Q42" s="590"/>
      <c r="R42" s="590"/>
      <c r="S42" s="590"/>
      <c r="T42" s="590"/>
      <c r="U42" s="590"/>
      <c r="V42" s="590"/>
      <c r="W42" s="590"/>
      <c r="X42" s="590"/>
      <c r="Y42" s="590"/>
      <c r="Z42" s="590"/>
    </row>
    <row r="43" spans="1:26" ht="30.75" customHeight="1">
      <c r="A43" s="574"/>
      <c r="B43" s="1111" t="s">
        <v>553</v>
      </c>
      <c r="C43" s="1009"/>
      <c r="D43" s="1009"/>
      <c r="E43" s="1009"/>
      <c r="F43" s="1009"/>
      <c r="G43" s="1009"/>
      <c r="H43" s="1009"/>
      <c r="I43" s="1009"/>
      <c r="J43" s="1010"/>
      <c r="K43" s="619"/>
      <c r="L43" s="590"/>
      <c r="M43" s="590"/>
      <c r="N43" s="590"/>
      <c r="O43" s="590"/>
      <c r="P43" s="590"/>
      <c r="Q43" s="590"/>
      <c r="R43" s="590"/>
      <c r="S43" s="590"/>
      <c r="T43" s="590"/>
      <c r="U43" s="590"/>
      <c r="V43" s="590"/>
      <c r="W43" s="590"/>
      <c r="X43" s="590"/>
      <c r="Y43" s="590"/>
      <c r="Z43" s="590"/>
    </row>
    <row r="44" spans="1:26" ht="12" customHeight="1">
      <c r="A44" s="574"/>
      <c r="B44" s="1123"/>
      <c r="C44" s="1009"/>
      <c r="D44" s="1009"/>
      <c r="E44" s="1009"/>
      <c r="F44" s="1009"/>
      <c r="G44" s="1009"/>
      <c r="H44" s="1009"/>
      <c r="I44" s="1009"/>
      <c r="J44" s="1010"/>
      <c r="K44" s="602"/>
      <c r="L44" s="590"/>
      <c r="M44" s="590"/>
      <c r="N44" s="590"/>
      <c r="O44" s="590"/>
      <c r="P44" s="590"/>
      <c r="Q44" s="590"/>
      <c r="R44" s="590"/>
      <c r="S44" s="590"/>
      <c r="T44" s="590"/>
      <c r="U44" s="590"/>
      <c r="V44" s="590"/>
      <c r="W44" s="590"/>
      <c r="X44" s="590"/>
      <c r="Y44" s="590"/>
      <c r="Z44" s="590"/>
    </row>
    <row r="45" spans="1:26" ht="24" customHeight="1">
      <c r="A45" s="574"/>
      <c r="B45" s="1124" t="s">
        <v>554</v>
      </c>
      <c r="C45" s="1009"/>
      <c r="D45" s="1009"/>
      <c r="E45" s="1009"/>
      <c r="F45" s="1009"/>
      <c r="G45" s="1009"/>
      <c r="H45" s="1009"/>
      <c r="I45" s="1009"/>
      <c r="J45" s="1010"/>
      <c r="K45" s="620"/>
      <c r="L45" s="590"/>
      <c r="M45" s="590"/>
      <c r="N45" s="590"/>
      <c r="O45" s="590"/>
      <c r="P45" s="590"/>
      <c r="Q45" s="590"/>
      <c r="R45" s="590"/>
      <c r="S45" s="590"/>
      <c r="T45" s="590"/>
      <c r="U45" s="590"/>
      <c r="V45" s="590"/>
      <c r="W45" s="590"/>
      <c r="X45" s="590"/>
      <c r="Y45" s="590"/>
      <c r="Z45" s="590"/>
    </row>
    <row r="46" spans="1:26" ht="12" customHeight="1">
      <c r="A46" s="621"/>
      <c r="B46" s="622">
        <v>1</v>
      </c>
      <c r="C46" s="1083" t="s">
        <v>555</v>
      </c>
      <c r="D46" s="1009"/>
      <c r="E46" s="1009"/>
      <c r="F46" s="1009"/>
      <c r="G46" s="1009"/>
      <c r="H46" s="1010"/>
      <c r="I46" s="622" t="s">
        <v>556</v>
      </c>
      <c r="J46" s="622" t="s">
        <v>557</v>
      </c>
      <c r="K46" s="592"/>
      <c r="L46" s="590"/>
      <c r="M46" s="590"/>
      <c r="N46" s="590"/>
      <c r="O46" s="590"/>
      <c r="P46" s="590"/>
      <c r="Q46" s="590"/>
      <c r="R46" s="590"/>
      <c r="S46" s="590"/>
      <c r="T46" s="590"/>
      <c r="U46" s="590"/>
      <c r="V46" s="590"/>
      <c r="W46" s="590"/>
      <c r="X46" s="590"/>
      <c r="Y46" s="590"/>
      <c r="Z46" s="590"/>
    </row>
    <row r="47" spans="1:26" ht="15" customHeight="1">
      <c r="A47" s="574"/>
      <c r="B47" s="595" t="s">
        <v>514</v>
      </c>
      <c r="C47" s="1069" t="s">
        <v>558</v>
      </c>
      <c r="D47" s="1009"/>
      <c r="E47" s="1009"/>
      <c r="F47" s="1010"/>
      <c r="G47" s="623" t="s">
        <v>185</v>
      </c>
      <c r="H47" s="624">
        <f>'1-ABA-DE-CARREGAMENTO'!C52</f>
        <v>200</v>
      </c>
      <c r="I47" s="595"/>
      <c r="J47" s="625">
        <f>I29</f>
        <v>1365.9090909090908</v>
      </c>
      <c r="K47" s="626"/>
      <c r="L47" s="590"/>
      <c r="M47" s="590"/>
      <c r="N47" s="590"/>
      <c r="O47" s="590"/>
      <c r="P47" s="590"/>
      <c r="Q47" s="590"/>
      <c r="R47" s="590"/>
      <c r="S47" s="590"/>
      <c r="T47" s="590"/>
      <c r="U47" s="590"/>
      <c r="V47" s="590"/>
      <c r="W47" s="590"/>
      <c r="X47" s="590"/>
      <c r="Y47" s="590"/>
      <c r="Z47" s="590"/>
    </row>
    <row r="48" spans="1:26" ht="45" customHeight="1">
      <c r="A48" s="574"/>
      <c r="B48" s="595" t="s">
        <v>516</v>
      </c>
      <c r="C48" s="1069" t="s">
        <v>559</v>
      </c>
      <c r="D48" s="1009"/>
      <c r="E48" s="1009"/>
      <c r="F48" s="1118" t="str">
        <f>'1-ABA-DE-CARREGAMENTO'!C38</f>
        <v>ADIC. FUNÇÃO S/NORMATIVO</v>
      </c>
      <c r="G48" s="1009"/>
      <c r="H48" s="1010"/>
      <c r="I48" s="627">
        <f>'1-ABA-DE-CARREGAMENTO'!C39</f>
        <v>0.2</v>
      </c>
      <c r="J48" s="625">
        <f>J47*I48</f>
        <v>273.18181818181819</v>
      </c>
      <c r="K48" s="626"/>
      <c r="L48" s="590"/>
      <c r="M48" s="590"/>
      <c r="N48" s="590"/>
      <c r="O48" s="590"/>
      <c r="P48" s="590"/>
      <c r="Q48" s="590"/>
      <c r="R48" s="590"/>
      <c r="S48" s="590"/>
      <c r="T48" s="590"/>
      <c r="U48" s="590"/>
      <c r="V48" s="590"/>
      <c r="W48" s="590"/>
      <c r="X48" s="590"/>
      <c r="Y48" s="590"/>
      <c r="Z48" s="590"/>
    </row>
    <row r="49" spans="1:26" ht="28.5" customHeight="1">
      <c r="A49" s="574"/>
      <c r="B49" s="595" t="s">
        <v>518</v>
      </c>
      <c r="C49" s="1069" t="s">
        <v>560</v>
      </c>
      <c r="D49" s="1009"/>
      <c r="E49" s="1009"/>
      <c r="F49" s="1009"/>
      <c r="G49" s="1009"/>
      <c r="H49" s="1010"/>
      <c r="I49" s="628">
        <f>'1-ABA-DE-CARREGAMENTO'!C44</f>
        <v>0</v>
      </c>
      <c r="J49" s="625">
        <f>ROUND(J47*I49,2)</f>
        <v>0</v>
      </c>
      <c r="K49" s="626"/>
      <c r="L49" s="590"/>
      <c r="M49" s="590"/>
      <c r="N49" s="590"/>
      <c r="O49" s="590"/>
      <c r="P49" s="590"/>
      <c r="Q49" s="590"/>
      <c r="R49" s="590"/>
      <c r="S49" s="590"/>
      <c r="T49" s="590"/>
      <c r="U49" s="590"/>
      <c r="V49" s="590"/>
      <c r="W49" s="590"/>
      <c r="X49" s="590"/>
      <c r="Y49" s="590"/>
      <c r="Z49" s="590"/>
    </row>
    <row r="50" spans="1:26" ht="15.75" customHeight="1">
      <c r="A50" s="574"/>
      <c r="B50" s="595" t="s">
        <v>520</v>
      </c>
      <c r="C50" s="1069" t="s">
        <v>561</v>
      </c>
      <c r="D50" s="1009"/>
      <c r="E50" s="1009"/>
      <c r="F50" s="1009"/>
      <c r="G50" s="1118" t="str">
        <f>'1-ABA-DE-CARREGAMENTO'!C40</f>
        <v>INSALUB S/NORMATIVO</v>
      </c>
      <c r="H50" s="1010"/>
      <c r="I50" s="629">
        <f>'1-ABA-DE-CARREGAMENTO'!C41</f>
        <v>0.2</v>
      </c>
      <c r="J50" s="625">
        <f>IF(G50="INSALUB S/MIN. NACION.",I50*I41,IF(G50="INSALUB S/NORMATIVO",I50*F29,IF(G50="PERICULOSIDADE",0,IF(G50="SEM ADICIONAL DE RISCO",0))))</f>
        <v>300.5</v>
      </c>
      <c r="K50" s="626"/>
      <c r="L50" s="590"/>
      <c r="M50" s="590"/>
      <c r="N50" s="590"/>
      <c r="O50" s="590"/>
      <c r="P50" s="590"/>
      <c r="Q50" s="590"/>
      <c r="R50" s="590"/>
      <c r="S50" s="590"/>
      <c r="T50" s="590"/>
      <c r="U50" s="590"/>
      <c r="V50" s="590"/>
      <c r="W50" s="590"/>
      <c r="X50" s="590"/>
      <c r="Y50" s="590"/>
      <c r="Z50" s="590"/>
    </row>
    <row r="51" spans="1:26" ht="37.5" customHeight="1">
      <c r="A51" s="574"/>
      <c r="B51" s="595" t="s">
        <v>562</v>
      </c>
      <c r="C51" s="1119" t="s">
        <v>563</v>
      </c>
      <c r="D51" s="1009"/>
      <c r="E51" s="1010"/>
      <c r="F51" s="630" t="s">
        <v>564</v>
      </c>
      <c r="G51" s="631">
        <v>0</v>
      </c>
      <c r="H51" s="630" t="s">
        <v>565</v>
      </c>
      <c r="I51" s="632">
        <f>I36</f>
        <v>11.637545454545453</v>
      </c>
      <c r="J51" s="633">
        <f>G51*I51</f>
        <v>0</v>
      </c>
      <c r="K51" s="626"/>
      <c r="L51" s="590"/>
      <c r="M51" s="590"/>
      <c r="N51" s="590"/>
      <c r="O51" s="590"/>
      <c r="P51" s="590"/>
      <c r="Q51" s="590"/>
      <c r="R51" s="590"/>
      <c r="S51" s="590"/>
      <c r="T51" s="590"/>
      <c r="U51" s="590"/>
      <c r="V51" s="590"/>
      <c r="W51" s="590"/>
      <c r="X51" s="590"/>
      <c r="Y51" s="590"/>
      <c r="Z51" s="590"/>
    </row>
    <row r="52" spans="1:26" ht="45" hidden="1" customHeight="1" outlineLevel="1">
      <c r="A52" s="574"/>
      <c r="B52" s="595" t="s">
        <v>566</v>
      </c>
      <c r="C52" s="1108" t="s">
        <v>567</v>
      </c>
      <c r="D52" s="1009"/>
      <c r="E52" s="1009"/>
      <c r="F52" s="1009"/>
      <c r="G52" s="1009"/>
      <c r="H52" s="1009"/>
      <c r="I52" s="1010"/>
      <c r="J52" s="625">
        <f>ROUND(I38*(((12*15)+15)-((44/6)*26))*I35,2)*0+ROUND(2*4.33*I35,2)*0</f>
        <v>0</v>
      </c>
      <c r="K52" s="626"/>
      <c r="L52" s="590"/>
      <c r="M52" s="590"/>
      <c r="N52" s="590"/>
      <c r="O52" s="590"/>
      <c r="P52" s="590"/>
      <c r="Q52" s="590"/>
      <c r="R52" s="590"/>
      <c r="S52" s="590"/>
      <c r="T52" s="590"/>
      <c r="U52" s="590"/>
      <c r="V52" s="590"/>
      <c r="W52" s="590"/>
      <c r="X52" s="590"/>
      <c r="Y52" s="590"/>
      <c r="Z52" s="590"/>
    </row>
    <row r="53" spans="1:26" ht="35.25" hidden="1" customHeight="1" outlineLevel="1">
      <c r="A53" s="574"/>
      <c r="B53" s="595" t="s">
        <v>568</v>
      </c>
      <c r="C53" s="1108" t="s">
        <v>569</v>
      </c>
      <c r="D53" s="1009"/>
      <c r="E53" s="1009"/>
      <c r="F53" s="1009"/>
      <c r="G53" s="1009"/>
      <c r="H53" s="1009"/>
      <c r="I53" s="1010"/>
      <c r="J53" s="625">
        <f>ROUND(I39*I40*15,2)*0</f>
        <v>0</v>
      </c>
      <c r="K53" s="626"/>
      <c r="L53" s="590"/>
      <c r="M53" s="590"/>
      <c r="N53" s="590"/>
      <c r="O53" s="590"/>
      <c r="P53" s="590"/>
      <c r="Q53" s="590"/>
      <c r="R53" s="590"/>
      <c r="S53" s="590"/>
      <c r="T53" s="590"/>
      <c r="U53" s="590"/>
      <c r="V53" s="590"/>
      <c r="W53" s="590"/>
      <c r="X53" s="590"/>
      <c r="Y53" s="590"/>
      <c r="Z53" s="590"/>
    </row>
    <row r="54" spans="1:26" ht="29.25" customHeight="1" collapsed="1">
      <c r="A54" s="574"/>
      <c r="B54" s="595" t="s">
        <v>570</v>
      </c>
      <c r="C54" s="1120" t="s">
        <v>571</v>
      </c>
      <c r="D54" s="1060"/>
      <c r="E54" s="1060"/>
      <c r="F54" s="634" t="s">
        <v>572</v>
      </c>
      <c r="G54" s="635">
        <v>0</v>
      </c>
      <c r="H54" s="634" t="s">
        <v>573</v>
      </c>
      <c r="I54" s="636">
        <f>I35</f>
        <v>14.546931818181818</v>
      </c>
      <c r="J54" s="633">
        <f t="shared" ref="J54:J55" si="1">G54*I54</f>
        <v>0</v>
      </c>
      <c r="K54" s="626"/>
      <c r="L54" s="590"/>
      <c r="M54" s="590"/>
      <c r="N54" s="590"/>
      <c r="O54" s="590"/>
      <c r="P54" s="590"/>
      <c r="Q54" s="590"/>
      <c r="R54" s="590"/>
      <c r="S54" s="590"/>
      <c r="T54" s="590"/>
      <c r="U54" s="590"/>
      <c r="V54" s="590"/>
      <c r="W54" s="590"/>
      <c r="X54" s="590"/>
      <c r="Y54" s="590"/>
      <c r="Z54" s="590"/>
    </row>
    <row r="55" spans="1:26" ht="29.25" customHeight="1">
      <c r="A55" s="574"/>
      <c r="B55" s="595" t="s">
        <v>574</v>
      </c>
      <c r="C55" s="1121" t="s">
        <v>575</v>
      </c>
      <c r="D55" s="1023"/>
      <c r="E55" s="1023"/>
      <c r="F55" s="634" t="s">
        <v>576</v>
      </c>
      <c r="G55" s="635">
        <v>0</v>
      </c>
      <c r="H55" s="634" t="s">
        <v>577</v>
      </c>
      <c r="I55" s="636">
        <f>I37</f>
        <v>29.093863636363636</v>
      </c>
      <c r="J55" s="637">
        <f t="shared" si="1"/>
        <v>0</v>
      </c>
      <c r="K55" s="626"/>
      <c r="L55" s="590"/>
      <c r="M55" s="590"/>
      <c r="N55" s="590"/>
      <c r="O55" s="590"/>
      <c r="P55" s="590"/>
      <c r="Q55" s="590"/>
      <c r="R55" s="590"/>
      <c r="S55" s="590"/>
      <c r="T55" s="590"/>
      <c r="U55" s="590"/>
      <c r="V55" s="590"/>
      <c r="W55" s="590"/>
      <c r="X55" s="590"/>
      <c r="Y55" s="590"/>
      <c r="Z55" s="590"/>
    </row>
    <row r="56" spans="1:26" ht="36" customHeight="1">
      <c r="A56" s="574"/>
      <c r="B56" s="595" t="s">
        <v>578</v>
      </c>
      <c r="C56" s="1069" t="s">
        <v>579</v>
      </c>
      <c r="D56" s="1009"/>
      <c r="E56" s="1009"/>
      <c r="F56" s="1009"/>
      <c r="G56" s="1009"/>
      <c r="H56" s="1009"/>
      <c r="I56" s="1010"/>
      <c r="J56" s="625">
        <f>ROUND(SUM(J54:J55)*0.2,2)</f>
        <v>0</v>
      </c>
      <c r="K56" s="626"/>
      <c r="L56" s="590"/>
      <c r="M56" s="590"/>
      <c r="N56" s="590"/>
      <c r="O56" s="590"/>
      <c r="P56" s="590"/>
      <c r="Q56" s="590"/>
      <c r="R56" s="590"/>
      <c r="S56" s="590"/>
      <c r="T56" s="590"/>
      <c r="U56" s="590"/>
      <c r="V56" s="590"/>
      <c r="W56" s="590"/>
      <c r="X56" s="590"/>
      <c r="Y56" s="590"/>
      <c r="Z56" s="590"/>
    </row>
    <row r="57" spans="1:26" ht="29.25" customHeight="1">
      <c r="A57" s="574"/>
      <c r="B57" s="595" t="s">
        <v>580</v>
      </c>
      <c r="C57" s="1069" t="s">
        <v>581</v>
      </c>
      <c r="D57" s="1009"/>
      <c r="E57" s="1009"/>
      <c r="F57" s="1009"/>
      <c r="G57" s="1009"/>
      <c r="H57" s="1009"/>
      <c r="I57" s="1010"/>
      <c r="J57" s="638" t="s">
        <v>527</v>
      </c>
      <c r="K57" s="639"/>
      <c r="L57" s="590"/>
      <c r="M57" s="590"/>
      <c r="N57" s="590"/>
      <c r="O57" s="590"/>
      <c r="P57" s="590"/>
      <c r="Q57" s="590"/>
      <c r="R57" s="590"/>
      <c r="S57" s="590"/>
      <c r="T57" s="590"/>
      <c r="U57" s="590"/>
      <c r="V57" s="590"/>
      <c r="W57" s="590"/>
      <c r="X57" s="590"/>
      <c r="Y57" s="590"/>
      <c r="Z57" s="590"/>
    </row>
    <row r="58" spans="1:26" ht="35.25" customHeight="1">
      <c r="A58" s="574"/>
      <c r="B58" s="1086" t="s">
        <v>582</v>
      </c>
      <c r="C58" s="1009"/>
      <c r="D58" s="1009"/>
      <c r="E58" s="1009"/>
      <c r="F58" s="1009"/>
      <c r="G58" s="1009"/>
      <c r="H58" s="1009"/>
      <c r="I58" s="1010"/>
      <c r="J58" s="640">
        <f>SUM(J47:J57)</f>
        <v>1939.590909090909</v>
      </c>
      <c r="K58" s="626"/>
      <c r="L58" s="590"/>
      <c r="M58" s="590"/>
      <c r="N58" s="590"/>
      <c r="O58" s="590"/>
      <c r="P58" s="590"/>
      <c r="Q58" s="590"/>
      <c r="R58" s="590"/>
      <c r="S58" s="590"/>
      <c r="T58" s="590"/>
      <c r="U58" s="590"/>
      <c r="V58" s="590"/>
      <c r="W58" s="590"/>
      <c r="X58" s="590"/>
      <c r="Y58" s="590"/>
      <c r="Z58" s="590"/>
    </row>
    <row r="59" spans="1:26" ht="15.75" customHeight="1">
      <c r="A59" s="574"/>
      <c r="B59" s="641"/>
      <c r="C59" s="1116"/>
      <c r="D59" s="1009"/>
      <c r="E59" s="1009"/>
      <c r="F59" s="1009"/>
      <c r="G59" s="1009"/>
      <c r="H59" s="1009"/>
      <c r="I59" s="1010"/>
      <c r="J59" s="642"/>
      <c r="K59" s="626"/>
      <c r="L59" s="590"/>
      <c r="M59" s="590"/>
      <c r="N59" s="590"/>
      <c r="O59" s="590"/>
      <c r="P59" s="590"/>
      <c r="Q59" s="590"/>
      <c r="R59" s="590"/>
      <c r="S59" s="590"/>
      <c r="T59" s="590"/>
      <c r="U59" s="590"/>
      <c r="V59" s="590"/>
      <c r="W59" s="590"/>
      <c r="X59" s="590"/>
      <c r="Y59" s="590"/>
      <c r="Z59" s="590"/>
    </row>
    <row r="60" spans="1:26" ht="29.25" customHeight="1">
      <c r="A60" s="574"/>
      <c r="B60" s="595" t="s">
        <v>570</v>
      </c>
      <c r="C60" s="1069" t="s">
        <v>583</v>
      </c>
      <c r="D60" s="1009"/>
      <c r="E60" s="1009"/>
      <c r="F60" s="1009"/>
      <c r="G60" s="1009"/>
      <c r="H60" s="1009"/>
      <c r="I60" s="1010"/>
      <c r="J60" s="625">
        <f>ROUND(I34*15*I40*0.5,2)*0</f>
        <v>0</v>
      </c>
      <c r="K60" s="626"/>
      <c r="L60" s="590"/>
      <c r="M60" s="590"/>
      <c r="N60" s="590"/>
      <c r="O60" s="590"/>
      <c r="P60" s="590"/>
      <c r="Q60" s="590"/>
      <c r="R60" s="590"/>
      <c r="S60" s="590"/>
      <c r="T60" s="590"/>
      <c r="U60" s="590"/>
      <c r="V60" s="590"/>
      <c r="W60" s="590"/>
      <c r="X60" s="590"/>
      <c r="Y60" s="590"/>
      <c r="Z60" s="590"/>
    </row>
    <row r="61" spans="1:26" ht="41.25" customHeight="1">
      <c r="A61" s="574"/>
      <c r="B61" s="1086" t="s">
        <v>584</v>
      </c>
      <c r="C61" s="1009"/>
      <c r="D61" s="1009"/>
      <c r="E61" s="1009"/>
      <c r="F61" s="1009"/>
      <c r="G61" s="1009"/>
      <c r="H61" s="1009"/>
      <c r="I61" s="1010"/>
      <c r="J61" s="640">
        <f>J60</f>
        <v>0</v>
      </c>
      <c r="K61" s="626"/>
      <c r="L61" s="590"/>
      <c r="M61" s="590"/>
      <c r="N61" s="590"/>
      <c r="O61" s="590"/>
      <c r="P61" s="590"/>
      <c r="Q61" s="590"/>
      <c r="R61" s="590"/>
      <c r="S61" s="590"/>
      <c r="T61" s="590"/>
      <c r="U61" s="590"/>
      <c r="V61" s="590"/>
      <c r="W61" s="590"/>
      <c r="X61" s="590"/>
      <c r="Y61" s="590"/>
      <c r="Z61" s="590"/>
    </row>
    <row r="62" spans="1:26" ht="7.5" customHeight="1">
      <c r="A62" s="574"/>
      <c r="B62" s="1117"/>
      <c r="C62" s="1009"/>
      <c r="D62" s="1009"/>
      <c r="E62" s="1009"/>
      <c r="F62" s="1009"/>
      <c r="G62" s="1009"/>
      <c r="H62" s="1009"/>
      <c r="I62" s="1009"/>
      <c r="J62" s="1010"/>
      <c r="K62" s="592"/>
      <c r="L62" s="590"/>
      <c r="M62" s="590"/>
      <c r="N62" s="590"/>
      <c r="O62" s="590"/>
      <c r="P62" s="590"/>
      <c r="Q62" s="590"/>
      <c r="R62" s="590"/>
      <c r="S62" s="590"/>
      <c r="T62" s="590"/>
      <c r="U62" s="590"/>
      <c r="V62" s="590"/>
      <c r="W62" s="590"/>
      <c r="X62" s="590"/>
      <c r="Y62" s="590"/>
      <c r="Z62" s="590"/>
    </row>
    <row r="63" spans="1:26" ht="53.25" customHeight="1">
      <c r="A63" s="574"/>
      <c r="B63" s="1086" t="s">
        <v>585</v>
      </c>
      <c r="C63" s="1009"/>
      <c r="D63" s="1009"/>
      <c r="E63" s="1009"/>
      <c r="F63" s="1009"/>
      <c r="G63" s="1009"/>
      <c r="H63" s="1009"/>
      <c r="I63" s="1010"/>
      <c r="J63" s="643">
        <f>J58+J61</f>
        <v>1939.590909090909</v>
      </c>
      <c r="K63" s="644"/>
      <c r="L63" s="590"/>
      <c r="M63" s="590"/>
      <c r="N63" s="590"/>
      <c r="O63" s="590"/>
      <c r="P63" s="590"/>
      <c r="Q63" s="590"/>
      <c r="R63" s="590"/>
      <c r="S63" s="590"/>
      <c r="T63" s="590"/>
      <c r="U63" s="590"/>
      <c r="V63" s="590"/>
      <c r="W63" s="590"/>
      <c r="X63" s="590"/>
      <c r="Y63" s="590"/>
      <c r="Z63" s="590"/>
    </row>
    <row r="64" spans="1:26" ht="7.5" customHeight="1">
      <c r="A64" s="574"/>
      <c r="B64" s="1116"/>
      <c r="C64" s="1009"/>
      <c r="D64" s="1009"/>
      <c r="E64" s="1009"/>
      <c r="F64" s="1009"/>
      <c r="G64" s="1009"/>
      <c r="H64" s="1009"/>
      <c r="I64" s="1009"/>
      <c r="J64" s="1010"/>
      <c r="K64" s="645"/>
      <c r="L64" s="590"/>
      <c r="M64" s="590"/>
      <c r="N64" s="590"/>
      <c r="O64" s="590"/>
      <c r="P64" s="590"/>
      <c r="Q64" s="590"/>
      <c r="R64" s="590"/>
      <c r="S64" s="590"/>
      <c r="T64" s="590"/>
      <c r="U64" s="590"/>
      <c r="V64" s="590"/>
      <c r="W64" s="590"/>
      <c r="X64" s="590"/>
      <c r="Y64" s="590"/>
      <c r="Z64" s="590"/>
    </row>
    <row r="65" spans="1:26" ht="21" customHeight="1">
      <c r="A65" s="574"/>
      <c r="B65" s="1111" t="s">
        <v>586</v>
      </c>
      <c r="C65" s="1009"/>
      <c r="D65" s="1009"/>
      <c r="E65" s="1009"/>
      <c r="F65" s="1009"/>
      <c r="G65" s="1009"/>
      <c r="H65" s="1009"/>
      <c r="I65" s="1009"/>
      <c r="J65" s="1010"/>
      <c r="K65" s="619"/>
      <c r="L65" s="590"/>
      <c r="M65" s="590"/>
      <c r="N65" s="590"/>
      <c r="O65" s="590"/>
      <c r="P65" s="590"/>
      <c r="Q65" s="590"/>
      <c r="R65" s="590"/>
      <c r="S65" s="590"/>
      <c r="T65" s="590"/>
      <c r="U65" s="590"/>
      <c r="V65" s="590"/>
      <c r="W65" s="590"/>
      <c r="X65" s="590"/>
      <c r="Y65" s="590"/>
      <c r="Z65" s="590"/>
    </row>
    <row r="66" spans="1:26" ht="7.5" customHeight="1">
      <c r="A66" s="574"/>
      <c r="B66" s="1116"/>
      <c r="C66" s="1009"/>
      <c r="D66" s="1009"/>
      <c r="E66" s="1009"/>
      <c r="F66" s="1009"/>
      <c r="G66" s="1009"/>
      <c r="H66" s="1009"/>
      <c r="I66" s="1009"/>
      <c r="J66" s="1010"/>
      <c r="K66" s="645"/>
      <c r="L66" s="590"/>
      <c r="M66" s="590"/>
      <c r="N66" s="590"/>
      <c r="O66" s="590"/>
      <c r="P66" s="590"/>
      <c r="Q66" s="590"/>
      <c r="R66" s="590"/>
      <c r="S66" s="590"/>
      <c r="T66" s="590"/>
      <c r="U66" s="590"/>
      <c r="V66" s="590"/>
      <c r="W66" s="590"/>
      <c r="X66" s="590"/>
      <c r="Y66" s="590"/>
      <c r="Z66" s="590"/>
    </row>
    <row r="67" spans="1:26" ht="17.25" customHeight="1">
      <c r="A67" s="574"/>
      <c r="B67" s="1096" t="s">
        <v>587</v>
      </c>
      <c r="C67" s="1009"/>
      <c r="D67" s="1009"/>
      <c r="E67" s="1009"/>
      <c r="F67" s="1009"/>
      <c r="G67" s="1009"/>
      <c r="H67" s="1009"/>
      <c r="I67" s="1009"/>
      <c r="J67" s="1010"/>
      <c r="K67" s="646"/>
      <c r="L67" s="590"/>
      <c r="M67" s="590"/>
      <c r="N67" s="590"/>
      <c r="O67" s="590"/>
      <c r="P67" s="590"/>
      <c r="Q67" s="590"/>
      <c r="R67" s="590"/>
      <c r="S67" s="590"/>
      <c r="T67" s="590"/>
      <c r="U67" s="590"/>
      <c r="V67" s="590"/>
      <c r="W67" s="590"/>
      <c r="X67" s="590"/>
      <c r="Y67" s="590"/>
      <c r="Z67" s="590"/>
    </row>
    <row r="68" spans="1:26" ht="17.25" customHeight="1">
      <c r="A68" s="574"/>
      <c r="B68" s="1112" t="s">
        <v>588</v>
      </c>
      <c r="C68" s="1009"/>
      <c r="D68" s="1009"/>
      <c r="E68" s="1009"/>
      <c r="F68" s="1009"/>
      <c r="G68" s="1009"/>
      <c r="H68" s="1009"/>
      <c r="I68" s="1009"/>
      <c r="J68" s="1010"/>
      <c r="K68" s="646"/>
      <c r="L68" s="590"/>
      <c r="M68" s="590"/>
      <c r="N68" s="590"/>
      <c r="O68" s="590"/>
      <c r="P68" s="590"/>
      <c r="Q68" s="590"/>
      <c r="R68" s="590"/>
      <c r="S68" s="590"/>
      <c r="T68" s="590"/>
      <c r="U68" s="590"/>
      <c r="V68" s="590"/>
      <c r="W68" s="590"/>
      <c r="X68" s="590"/>
      <c r="Y68" s="590"/>
      <c r="Z68" s="590"/>
    </row>
    <row r="69" spans="1:26" ht="31.5" customHeight="1">
      <c r="A69" s="574"/>
      <c r="B69" s="647" t="s">
        <v>589</v>
      </c>
      <c r="C69" s="1113" t="s">
        <v>590</v>
      </c>
      <c r="D69" s="1009"/>
      <c r="E69" s="1009"/>
      <c r="F69" s="1009"/>
      <c r="G69" s="1009"/>
      <c r="H69" s="1009"/>
      <c r="I69" s="1010"/>
      <c r="J69" s="604" t="s">
        <v>591</v>
      </c>
      <c r="K69" s="487"/>
      <c r="L69" s="590"/>
      <c r="M69" s="590"/>
      <c r="N69" s="590"/>
      <c r="O69" s="590"/>
      <c r="P69" s="590"/>
      <c r="Q69" s="590"/>
      <c r="R69" s="590"/>
      <c r="S69" s="590"/>
      <c r="T69" s="590"/>
      <c r="U69" s="590"/>
      <c r="V69" s="590"/>
      <c r="W69" s="590"/>
      <c r="X69" s="590"/>
      <c r="Y69" s="590"/>
      <c r="Z69" s="590"/>
    </row>
    <row r="70" spans="1:26" ht="24" customHeight="1">
      <c r="A70" s="574"/>
      <c r="B70" s="647" t="s">
        <v>514</v>
      </c>
      <c r="C70" s="1108" t="s">
        <v>592</v>
      </c>
      <c r="D70" s="1009"/>
      <c r="E70" s="1009"/>
      <c r="F70" s="1009"/>
      <c r="G70" s="1009"/>
      <c r="H70" s="1010"/>
      <c r="I70" s="648">
        <v>8.3299999999999999E-2</v>
      </c>
      <c r="J70" s="649">
        <f>ROUND(J58*I70,2)</f>
        <v>161.57</v>
      </c>
      <c r="K70" s="650"/>
      <c r="L70" s="590"/>
      <c r="M70" s="590"/>
      <c r="N70" s="590"/>
      <c r="O70" s="590"/>
      <c r="P70" s="590"/>
      <c r="Q70" s="590"/>
      <c r="R70" s="590"/>
      <c r="S70" s="590"/>
      <c r="T70" s="590"/>
      <c r="U70" s="590"/>
      <c r="V70" s="590"/>
      <c r="W70" s="590"/>
      <c r="X70" s="590"/>
      <c r="Y70" s="590"/>
      <c r="Z70" s="590"/>
    </row>
    <row r="71" spans="1:26" ht="96.75" customHeight="1">
      <c r="A71" s="574"/>
      <c r="B71" s="647" t="s">
        <v>516</v>
      </c>
      <c r="C71" s="1114" t="s">
        <v>593</v>
      </c>
      <c r="D71" s="1009"/>
      <c r="E71" s="1009"/>
      <c r="F71" s="1009"/>
      <c r="G71" s="1009"/>
      <c r="H71" s="1010"/>
      <c r="I71" s="651">
        <v>3.0249999999999999E-2</v>
      </c>
      <c r="J71" s="649">
        <f>ROUND(J58*I71,2)</f>
        <v>58.67</v>
      </c>
      <c r="K71" s="650"/>
      <c r="L71" s="590"/>
      <c r="M71" s="590"/>
      <c r="N71" s="590"/>
      <c r="O71" s="590"/>
      <c r="P71" s="590"/>
      <c r="Q71" s="590"/>
      <c r="R71" s="590"/>
      <c r="S71" s="590"/>
      <c r="T71" s="590"/>
      <c r="U71" s="590"/>
      <c r="V71" s="590"/>
      <c r="W71" s="590"/>
      <c r="X71" s="590"/>
      <c r="Y71" s="590"/>
      <c r="Z71" s="590"/>
    </row>
    <row r="72" spans="1:26" ht="15.75" customHeight="1">
      <c r="A72" s="574"/>
      <c r="B72" s="1094" t="s">
        <v>594</v>
      </c>
      <c r="C72" s="1009"/>
      <c r="D72" s="1009"/>
      <c r="E72" s="1009"/>
      <c r="F72" s="1009"/>
      <c r="G72" s="1009"/>
      <c r="H72" s="1009"/>
      <c r="I72" s="1010"/>
      <c r="J72" s="652">
        <f>SUM(J70+J71)</f>
        <v>220.24</v>
      </c>
      <c r="K72" s="653"/>
      <c r="L72" s="590"/>
      <c r="M72" s="590"/>
      <c r="N72" s="590"/>
      <c r="O72" s="590"/>
      <c r="P72" s="590"/>
      <c r="Q72" s="590"/>
      <c r="R72" s="590"/>
      <c r="S72" s="590"/>
      <c r="T72" s="590"/>
      <c r="U72" s="590"/>
      <c r="V72" s="590"/>
      <c r="W72" s="590"/>
      <c r="X72" s="590"/>
      <c r="Y72" s="590"/>
      <c r="Z72" s="590"/>
    </row>
    <row r="73" spans="1:26" ht="12" customHeight="1">
      <c r="A73" s="574"/>
      <c r="B73" s="1095"/>
      <c r="C73" s="1009"/>
      <c r="D73" s="1009"/>
      <c r="E73" s="1009"/>
      <c r="F73" s="1009"/>
      <c r="G73" s="1009"/>
      <c r="H73" s="1009"/>
      <c r="I73" s="1009"/>
      <c r="J73" s="1010"/>
      <c r="K73" s="654"/>
      <c r="L73" s="590"/>
      <c r="M73" s="590"/>
      <c r="N73" s="590"/>
      <c r="O73" s="590"/>
      <c r="P73" s="590"/>
      <c r="Q73" s="590"/>
      <c r="R73" s="590"/>
      <c r="S73" s="590"/>
      <c r="T73" s="590"/>
      <c r="U73" s="590"/>
      <c r="V73" s="590"/>
      <c r="W73" s="590"/>
      <c r="X73" s="590"/>
      <c r="Y73" s="590"/>
      <c r="Z73" s="590"/>
    </row>
    <row r="74" spans="1:26" ht="72.75" customHeight="1">
      <c r="A74" s="574"/>
      <c r="B74" s="1111" t="s">
        <v>595</v>
      </c>
      <c r="C74" s="1009"/>
      <c r="D74" s="1009"/>
      <c r="E74" s="1009"/>
      <c r="F74" s="1009"/>
      <c r="G74" s="1009"/>
      <c r="H74" s="1009"/>
      <c r="I74" s="1009"/>
      <c r="J74" s="1010"/>
      <c r="K74" s="619"/>
      <c r="L74" s="590"/>
      <c r="M74" s="590"/>
      <c r="N74" s="590"/>
      <c r="O74" s="590"/>
      <c r="P74" s="590"/>
      <c r="Q74" s="590"/>
      <c r="R74" s="590"/>
      <c r="S74" s="590"/>
      <c r="T74" s="590"/>
      <c r="U74" s="590"/>
      <c r="V74" s="590"/>
      <c r="W74" s="590"/>
      <c r="X74" s="590"/>
      <c r="Y74" s="590"/>
      <c r="Z74" s="590"/>
    </row>
    <row r="75" spans="1:26" ht="12" customHeight="1">
      <c r="A75" s="574"/>
      <c r="B75" s="1115"/>
      <c r="C75" s="1009"/>
      <c r="D75" s="1009"/>
      <c r="E75" s="1009"/>
      <c r="F75" s="1009"/>
      <c r="G75" s="1009"/>
      <c r="H75" s="1009"/>
      <c r="I75" s="1009"/>
      <c r="J75" s="1010"/>
      <c r="K75" s="619"/>
      <c r="L75" s="590"/>
      <c r="M75" s="590"/>
      <c r="N75" s="590"/>
      <c r="O75" s="590"/>
      <c r="P75" s="590"/>
      <c r="Q75" s="590"/>
      <c r="R75" s="590"/>
      <c r="S75" s="590"/>
      <c r="T75" s="590"/>
      <c r="U75" s="590"/>
      <c r="V75" s="590"/>
      <c r="W75" s="590"/>
      <c r="X75" s="590"/>
      <c r="Y75" s="590"/>
      <c r="Z75" s="590"/>
    </row>
    <row r="76" spans="1:26" ht="35.25" customHeight="1">
      <c r="A76" s="574"/>
      <c r="B76" s="1108" t="s">
        <v>596</v>
      </c>
      <c r="C76" s="1009"/>
      <c r="D76" s="1009"/>
      <c r="E76" s="1009"/>
      <c r="F76" s="1009"/>
      <c r="G76" s="1009"/>
      <c r="H76" s="1009"/>
      <c r="I76" s="1009"/>
      <c r="J76" s="1010"/>
      <c r="K76" s="655"/>
      <c r="L76" s="590"/>
      <c r="M76" s="590"/>
      <c r="N76" s="590"/>
      <c r="O76" s="590"/>
      <c r="P76" s="590"/>
      <c r="Q76" s="590"/>
      <c r="R76" s="590"/>
      <c r="S76" s="590"/>
      <c r="T76" s="590"/>
      <c r="U76" s="590"/>
      <c r="V76" s="590"/>
      <c r="W76" s="590"/>
      <c r="X76" s="590"/>
      <c r="Y76" s="590"/>
      <c r="Z76" s="590"/>
    </row>
    <row r="77" spans="1:26" ht="34.5" customHeight="1">
      <c r="A77" s="574"/>
      <c r="B77" s="656" t="s">
        <v>597</v>
      </c>
      <c r="C77" s="1165" t="s">
        <v>598</v>
      </c>
      <c r="D77" s="1009"/>
      <c r="E77" s="1009"/>
      <c r="F77" s="1009"/>
      <c r="G77" s="1009"/>
      <c r="H77" s="1010"/>
      <c r="I77" s="657" t="s">
        <v>556</v>
      </c>
      <c r="J77" s="657" t="s">
        <v>599</v>
      </c>
      <c r="K77" s="487"/>
      <c r="L77" s="590"/>
      <c r="M77" s="590"/>
      <c r="N77" s="590"/>
      <c r="O77" s="590"/>
      <c r="P77" s="590"/>
      <c r="Q77" s="590"/>
      <c r="R77" s="590"/>
      <c r="S77" s="590"/>
      <c r="T77" s="590"/>
      <c r="U77" s="590"/>
      <c r="V77" s="590"/>
      <c r="W77" s="590"/>
      <c r="X77" s="590"/>
      <c r="Y77" s="590"/>
      <c r="Z77" s="590"/>
    </row>
    <row r="78" spans="1:26" ht="16.5" customHeight="1">
      <c r="A78" s="574"/>
      <c r="B78" s="658" t="s">
        <v>514</v>
      </c>
      <c r="C78" s="1069" t="s">
        <v>600</v>
      </c>
      <c r="D78" s="1009"/>
      <c r="E78" s="1009"/>
      <c r="F78" s="1009"/>
      <c r="G78" s="1009"/>
      <c r="H78" s="1010"/>
      <c r="I78" s="659">
        <v>0.2</v>
      </c>
      <c r="J78" s="660">
        <f>ROUND((J58+J72)*I78,2)</f>
        <v>431.97</v>
      </c>
      <c r="K78" s="653"/>
      <c r="L78" s="590"/>
      <c r="M78" s="590"/>
      <c r="N78" s="590"/>
      <c r="O78" s="590"/>
      <c r="P78" s="590"/>
      <c r="Q78" s="590"/>
      <c r="R78" s="590"/>
      <c r="S78" s="590"/>
      <c r="T78" s="590"/>
      <c r="U78" s="590"/>
      <c r="V78" s="590"/>
      <c r="W78" s="590"/>
      <c r="X78" s="590"/>
      <c r="Y78" s="590"/>
      <c r="Z78" s="590"/>
    </row>
    <row r="79" spans="1:26" ht="16.5" customHeight="1">
      <c r="A79" s="574"/>
      <c r="B79" s="658" t="s">
        <v>516</v>
      </c>
      <c r="C79" s="1069" t="s">
        <v>601</v>
      </c>
      <c r="D79" s="1009"/>
      <c r="E79" s="1009"/>
      <c r="F79" s="1009"/>
      <c r="G79" s="1009"/>
      <c r="H79" s="1010"/>
      <c r="I79" s="659">
        <v>2.5000000000000001E-2</v>
      </c>
      <c r="J79" s="660">
        <f>ROUND((J58+J72)*I79,2)</f>
        <v>54</v>
      </c>
      <c r="K79" s="653"/>
      <c r="L79" s="590"/>
      <c r="M79" s="590"/>
      <c r="N79" s="590"/>
      <c r="O79" s="590"/>
      <c r="P79" s="590"/>
      <c r="Q79" s="590"/>
      <c r="R79" s="590"/>
      <c r="S79" s="590"/>
      <c r="T79" s="590"/>
      <c r="U79" s="590"/>
      <c r="V79" s="590"/>
      <c r="W79" s="590"/>
      <c r="X79" s="590"/>
      <c r="Y79" s="590"/>
      <c r="Z79" s="590"/>
    </row>
    <row r="80" spans="1:26" ht="57.75" customHeight="1">
      <c r="A80" s="574"/>
      <c r="B80" s="658" t="s">
        <v>518</v>
      </c>
      <c r="C80" s="1069" t="s">
        <v>602</v>
      </c>
      <c r="D80" s="1010"/>
      <c r="E80" s="597" t="s">
        <v>603</v>
      </c>
      <c r="F80" s="661">
        <f>'1-ABA-DE-CARREGAMENTO'!C57</f>
        <v>0.03</v>
      </c>
      <c r="G80" s="597" t="s">
        <v>604</v>
      </c>
      <c r="H80" s="662">
        <f>'1-ABA-DE-CARREGAMENTO'!C58</f>
        <v>1</v>
      </c>
      <c r="I80" s="663">
        <f>ROUND((F80*H80),6)</f>
        <v>0.03</v>
      </c>
      <c r="J80" s="660">
        <f>ROUND((J58+J72)*I80,2)</f>
        <v>64.790000000000006</v>
      </c>
      <c r="K80" s="653"/>
      <c r="L80" s="590"/>
      <c r="M80" s="590"/>
      <c r="N80" s="590"/>
      <c r="O80" s="590"/>
      <c r="P80" s="590"/>
      <c r="Q80" s="590"/>
      <c r="R80" s="590"/>
      <c r="S80" s="590"/>
      <c r="T80" s="590"/>
      <c r="U80" s="590"/>
      <c r="V80" s="590"/>
      <c r="W80" s="590"/>
      <c r="X80" s="590"/>
      <c r="Y80" s="590"/>
      <c r="Z80" s="590"/>
    </row>
    <row r="81" spans="1:26" ht="16.5" customHeight="1">
      <c r="A81" s="574"/>
      <c r="B81" s="658" t="s">
        <v>520</v>
      </c>
      <c r="C81" s="1069" t="s">
        <v>605</v>
      </c>
      <c r="D81" s="1009"/>
      <c r="E81" s="1009"/>
      <c r="F81" s="1009"/>
      <c r="G81" s="1009"/>
      <c r="H81" s="1010"/>
      <c r="I81" s="659">
        <v>1.4999999999999999E-2</v>
      </c>
      <c r="J81" s="660">
        <f>ROUND((J58+J72)*I81,2)</f>
        <v>32.4</v>
      </c>
      <c r="K81" s="653"/>
      <c r="L81" s="590"/>
      <c r="M81" s="590"/>
      <c r="N81" s="590"/>
      <c r="O81" s="590"/>
      <c r="P81" s="590"/>
      <c r="Q81" s="590"/>
      <c r="R81" s="590"/>
      <c r="S81" s="590"/>
      <c r="T81" s="590"/>
      <c r="U81" s="590"/>
      <c r="V81" s="590"/>
      <c r="W81" s="590"/>
      <c r="X81" s="590"/>
      <c r="Y81" s="590"/>
      <c r="Z81" s="590"/>
    </row>
    <row r="82" spans="1:26" ht="16.5" customHeight="1">
      <c r="A82" s="574"/>
      <c r="B82" s="658" t="s">
        <v>562</v>
      </c>
      <c r="C82" s="1069" t="s">
        <v>606</v>
      </c>
      <c r="D82" s="1009"/>
      <c r="E82" s="1009"/>
      <c r="F82" s="1009"/>
      <c r="G82" s="1009"/>
      <c r="H82" s="1010"/>
      <c r="I82" s="659">
        <v>0.01</v>
      </c>
      <c r="J82" s="660">
        <f>ROUND((J58+J72)*I82,2)</f>
        <v>21.6</v>
      </c>
      <c r="K82" s="653"/>
      <c r="L82" s="590"/>
      <c r="M82" s="590"/>
      <c r="N82" s="590"/>
      <c r="O82" s="590"/>
      <c r="P82" s="590"/>
      <c r="Q82" s="590"/>
      <c r="R82" s="590"/>
      <c r="S82" s="590"/>
      <c r="T82" s="590"/>
      <c r="U82" s="590"/>
      <c r="V82" s="590"/>
      <c r="W82" s="590"/>
      <c r="X82" s="590"/>
      <c r="Y82" s="590"/>
      <c r="Z82" s="590"/>
    </row>
    <row r="83" spans="1:26" ht="16.5" customHeight="1">
      <c r="A83" s="574"/>
      <c r="B83" s="658" t="s">
        <v>566</v>
      </c>
      <c r="C83" s="1069" t="s">
        <v>607</v>
      </c>
      <c r="D83" s="1009"/>
      <c r="E83" s="1009"/>
      <c r="F83" s="1009"/>
      <c r="G83" s="1009"/>
      <c r="H83" s="1010"/>
      <c r="I83" s="659">
        <v>6.0000000000000001E-3</v>
      </c>
      <c r="J83" s="660">
        <f>ROUND((J58+J72)*I83,2)</f>
        <v>12.96</v>
      </c>
      <c r="K83" s="653"/>
      <c r="L83" s="590"/>
      <c r="M83" s="590"/>
      <c r="N83" s="590"/>
      <c r="O83" s="590"/>
      <c r="P83" s="590"/>
      <c r="Q83" s="590"/>
      <c r="R83" s="590"/>
      <c r="S83" s="590"/>
      <c r="T83" s="590"/>
      <c r="U83" s="590"/>
      <c r="V83" s="590"/>
      <c r="W83" s="590"/>
      <c r="X83" s="590"/>
      <c r="Y83" s="590"/>
      <c r="Z83" s="590"/>
    </row>
    <row r="84" spans="1:26" ht="16.5" customHeight="1">
      <c r="A84" s="574"/>
      <c r="B84" s="658" t="s">
        <v>568</v>
      </c>
      <c r="C84" s="1069" t="s">
        <v>608</v>
      </c>
      <c r="D84" s="1009"/>
      <c r="E84" s="1009"/>
      <c r="F84" s="1009"/>
      <c r="G84" s="1009"/>
      <c r="H84" s="1010"/>
      <c r="I84" s="659">
        <v>2E-3</v>
      </c>
      <c r="J84" s="660">
        <f>ROUND((J58+J72)*I84,2)</f>
        <v>4.32</v>
      </c>
      <c r="K84" s="653"/>
      <c r="L84" s="590"/>
      <c r="M84" s="590"/>
      <c r="N84" s="590"/>
      <c r="O84" s="590"/>
      <c r="P84" s="590"/>
      <c r="Q84" s="590"/>
      <c r="R84" s="590"/>
      <c r="S84" s="590"/>
      <c r="T84" s="590"/>
      <c r="U84" s="590"/>
      <c r="V84" s="590"/>
      <c r="W84" s="590"/>
      <c r="X84" s="590"/>
      <c r="Y84" s="590"/>
      <c r="Z84" s="590"/>
    </row>
    <row r="85" spans="1:26" ht="28.5" customHeight="1">
      <c r="A85" s="574"/>
      <c r="B85" s="658" t="s">
        <v>570</v>
      </c>
      <c r="C85" s="1069" t="s">
        <v>609</v>
      </c>
      <c r="D85" s="1009"/>
      <c r="E85" s="1009"/>
      <c r="F85" s="1009"/>
      <c r="G85" s="1009"/>
      <c r="H85" s="1010"/>
      <c r="I85" s="659">
        <v>0.08</v>
      </c>
      <c r="J85" s="660">
        <f>ROUND((J58+J72)*I85,2)</f>
        <v>172.79</v>
      </c>
      <c r="K85" s="653"/>
      <c r="L85" s="590"/>
      <c r="M85" s="590"/>
      <c r="N85" s="590"/>
      <c r="O85" s="590"/>
      <c r="P85" s="590"/>
      <c r="Q85" s="590"/>
      <c r="R85" s="590"/>
      <c r="S85" s="590"/>
      <c r="T85" s="590"/>
      <c r="U85" s="590"/>
      <c r="V85" s="590"/>
      <c r="W85" s="590"/>
      <c r="X85" s="590"/>
      <c r="Y85" s="590"/>
      <c r="Z85" s="590"/>
    </row>
    <row r="86" spans="1:26" ht="12" customHeight="1">
      <c r="A86" s="574"/>
      <c r="B86" s="1089" t="s">
        <v>594</v>
      </c>
      <c r="C86" s="1009"/>
      <c r="D86" s="1009"/>
      <c r="E86" s="1009"/>
      <c r="F86" s="1009"/>
      <c r="G86" s="1009"/>
      <c r="H86" s="1010"/>
      <c r="I86" s="664">
        <f t="shared" ref="I86:J86" si="2">SUM(I78:I85)</f>
        <v>0.36800000000000005</v>
      </c>
      <c r="J86" s="652">
        <f t="shared" si="2"/>
        <v>794.83</v>
      </c>
      <c r="K86" s="653"/>
      <c r="L86" s="590"/>
      <c r="M86" s="590"/>
      <c r="N86" s="590"/>
      <c r="O86" s="590"/>
      <c r="P86" s="590"/>
      <c r="Q86" s="590"/>
      <c r="R86" s="590"/>
      <c r="S86" s="590"/>
      <c r="T86" s="590"/>
      <c r="U86" s="590"/>
      <c r="V86" s="590"/>
      <c r="W86" s="590"/>
      <c r="X86" s="590"/>
      <c r="Y86" s="590"/>
      <c r="Z86" s="590"/>
    </row>
    <row r="87" spans="1:26" ht="12" customHeight="1">
      <c r="A87" s="574"/>
      <c r="B87" s="665"/>
      <c r="C87" s="666"/>
      <c r="D87" s="666"/>
      <c r="E87" s="666"/>
      <c r="F87" s="666"/>
      <c r="G87" s="666"/>
      <c r="H87" s="666"/>
      <c r="I87" s="667"/>
      <c r="J87" s="668"/>
      <c r="K87" s="653"/>
      <c r="L87" s="590"/>
      <c r="M87" s="590"/>
      <c r="N87" s="590"/>
      <c r="O87" s="590"/>
      <c r="P87" s="590"/>
      <c r="Q87" s="590"/>
      <c r="R87" s="590"/>
      <c r="S87" s="590"/>
      <c r="T87" s="590"/>
      <c r="U87" s="590"/>
      <c r="V87" s="590"/>
      <c r="W87" s="590"/>
      <c r="X87" s="590"/>
      <c r="Y87" s="590"/>
      <c r="Z87" s="590"/>
    </row>
    <row r="88" spans="1:26" ht="45" customHeight="1">
      <c r="A88" s="574"/>
      <c r="B88" s="1111" t="s">
        <v>610</v>
      </c>
      <c r="C88" s="1009"/>
      <c r="D88" s="1009"/>
      <c r="E88" s="1009"/>
      <c r="F88" s="1009"/>
      <c r="G88" s="1009"/>
      <c r="H88" s="1009"/>
      <c r="I88" s="1009"/>
      <c r="J88" s="1010"/>
      <c r="K88" s="619"/>
      <c r="L88" s="590"/>
      <c r="M88" s="590"/>
      <c r="N88" s="590"/>
      <c r="O88" s="590"/>
      <c r="P88" s="590"/>
      <c r="Q88" s="590"/>
      <c r="R88" s="590"/>
      <c r="S88" s="590"/>
      <c r="T88" s="590"/>
      <c r="U88" s="590"/>
      <c r="V88" s="590"/>
      <c r="W88" s="590"/>
      <c r="X88" s="590"/>
      <c r="Y88" s="590"/>
      <c r="Z88" s="590"/>
    </row>
    <row r="89" spans="1:26" ht="12" customHeight="1">
      <c r="A89" s="574"/>
      <c r="B89" s="1122"/>
      <c r="C89" s="1009"/>
      <c r="D89" s="1009"/>
      <c r="E89" s="1009"/>
      <c r="F89" s="1009"/>
      <c r="G89" s="1009"/>
      <c r="H89" s="1009"/>
      <c r="I89" s="1009"/>
      <c r="J89" s="1010"/>
      <c r="K89" s="601"/>
      <c r="L89" s="590"/>
      <c r="M89" s="590"/>
      <c r="N89" s="590"/>
      <c r="O89" s="590"/>
      <c r="P89" s="590"/>
      <c r="Q89" s="590"/>
      <c r="R89" s="590"/>
      <c r="S89" s="590"/>
      <c r="T89" s="590"/>
      <c r="U89" s="590"/>
      <c r="V89" s="590"/>
      <c r="W89" s="590"/>
      <c r="X89" s="590"/>
      <c r="Y89" s="590"/>
      <c r="Z89" s="590"/>
    </row>
    <row r="90" spans="1:26" ht="15" customHeight="1">
      <c r="A90" s="574"/>
      <c r="B90" s="1096" t="s">
        <v>611</v>
      </c>
      <c r="C90" s="1009"/>
      <c r="D90" s="1009"/>
      <c r="E90" s="1009"/>
      <c r="F90" s="1009"/>
      <c r="G90" s="1009"/>
      <c r="H90" s="1009"/>
      <c r="I90" s="1009"/>
      <c r="J90" s="1010"/>
      <c r="K90" s="646"/>
      <c r="L90" s="590"/>
      <c r="M90" s="590"/>
      <c r="N90" s="590"/>
      <c r="O90" s="590"/>
      <c r="P90" s="590"/>
      <c r="Q90" s="590"/>
      <c r="R90" s="590"/>
      <c r="S90" s="590"/>
      <c r="T90" s="590"/>
      <c r="U90" s="590"/>
      <c r="V90" s="590"/>
      <c r="W90" s="590"/>
      <c r="X90" s="590"/>
      <c r="Y90" s="590"/>
      <c r="Z90" s="590"/>
    </row>
    <row r="91" spans="1:26" ht="15" customHeight="1">
      <c r="A91" s="574"/>
      <c r="B91" s="669" t="s">
        <v>612</v>
      </c>
      <c r="C91" s="1083" t="s">
        <v>613</v>
      </c>
      <c r="D91" s="1009"/>
      <c r="E91" s="1009"/>
      <c r="F91" s="1009"/>
      <c r="G91" s="1009"/>
      <c r="H91" s="1009"/>
      <c r="I91" s="1010"/>
      <c r="J91" s="670" t="s">
        <v>591</v>
      </c>
      <c r="K91" s="592"/>
      <c r="L91" s="590"/>
      <c r="M91" s="590"/>
      <c r="N91" s="590"/>
      <c r="O91" s="590"/>
      <c r="P91" s="590"/>
      <c r="Q91" s="590"/>
      <c r="R91" s="590"/>
      <c r="S91" s="590"/>
      <c r="T91" s="590"/>
      <c r="U91" s="590"/>
      <c r="V91" s="590"/>
      <c r="W91" s="590"/>
      <c r="X91" s="590"/>
      <c r="Y91" s="590"/>
      <c r="Z91" s="590"/>
    </row>
    <row r="92" spans="1:26" ht="15" customHeight="1">
      <c r="A92" s="574"/>
      <c r="B92" s="671" t="s">
        <v>514</v>
      </c>
      <c r="C92" s="1069" t="s">
        <v>614</v>
      </c>
      <c r="D92" s="1009"/>
      <c r="E92" s="1009"/>
      <c r="F92" s="1009"/>
      <c r="G92" s="1009"/>
      <c r="H92" s="1010"/>
      <c r="I92" s="672">
        <f>J47</f>
        <v>1365.9090909090908</v>
      </c>
      <c r="J92" s="673">
        <f>IF(ROUND((I93*I94*I95)-(I92*H96),2)&lt;0,0,ROUND((I93*I94*I95)-(I92*H96),2))</f>
        <v>58.85</v>
      </c>
      <c r="K92" s="653"/>
      <c r="L92" s="590"/>
      <c r="M92" s="590"/>
      <c r="N92" s="590"/>
      <c r="O92" s="590"/>
      <c r="P92" s="590"/>
      <c r="Q92" s="590"/>
      <c r="R92" s="590"/>
      <c r="S92" s="590"/>
      <c r="T92" s="590"/>
      <c r="U92" s="590"/>
      <c r="V92" s="590"/>
      <c r="W92" s="590"/>
      <c r="X92" s="590"/>
      <c r="Y92" s="590"/>
      <c r="Z92" s="590"/>
    </row>
    <row r="93" spans="1:26" ht="28.5" customHeight="1">
      <c r="A93" s="574"/>
      <c r="B93" s="671" t="s">
        <v>516</v>
      </c>
      <c r="C93" s="1069" t="s">
        <v>615</v>
      </c>
      <c r="D93" s="1009"/>
      <c r="E93" s="1009"/>
      <c r="F93" s="1009"/>
      <c r="G93" s="1009"/>
      <c r="H93" s="1009"/>
      <c r="I93" s="674">
        <f>'1-ABA-DE-CARREGAMENTO'!C72</f>
        <v>3.2</v>
      </c>
      <c r="J93" s="675" t="s">
        <v>527</v>
      </c>
      <c r="K93" s="639"/>
      <c r="L93" s="590"/>
      <c r="M93" s="590"/>
      <c r="N93" s="590"/>
      <c r="O93" s="590"/>
      <c r="P93" s="590"/>
      <c r="Q93" s="590"/>
      <c r="R93" s="590"/>
      <c r="S93" s="590"/>
      <c r="T93" s="590"/>
      <c r="U93" s="590"/>
      <c r="V93" s="590"/>
      <c r="W93" s="590"/>
      <c r="X93" s="590"/>
      <c r="Y93" s="590"/>
      <c r="Z93" s="590"/>
    </row>
    <row r="94" spans="1:26" ht="17.25" customHeight="1">
      <c r="A94" s="574"/>
      <c r="B94" s="671" t="s">
        <v>518</v>
      </c>
      <c r="C94" s="1069" t="s">
        <v>616</v>
      </c>
      <c r="D94" s="1009"/>
      <c r="E94" s="1009"/>
      <c r="F94" s="1009"/>
      <c r="G94" s="1009"/>
      <c r="H94" s="1010"/>
      <c r="I94" s="676">
        <f>'1-ABA-DE-CARREGAMENTO'!C73</f>
        <v>2</v>
      </c>
      <c r="J94" s="675" t="s">
        <v>527</v>
      </c>
      <c r="K94" s="639"/>
      <c r="L94" s="590"/>
      <c r="M94" s="590"/>
      <c r="N94" s="590"/>
      <c r="O94" s="590"/>
      <c r="P94" s="590"/>
      <c r="Q94" s="590"/>
      <c r="R94" s="590"/>
      <c r="S94" s="590"/>
      <c r="T94" s="590"/>
      <c r="U94" s="590"/>
      <c r="V94" s="590"/>
      <c r="W94" s="590"/>
      <c r="X94" s="590"/>
      <c r="Y94" s="590"/>
      <c r="Z94" s="590"/>
    </row>
    <row r="95" spans="1:26" ht="19.5" customHeight="1">
      <c r="A95" s="574"/>
      <c r="B95" s="671" t="s">
        <v>520</v>
      </c>
      <c r="C95" s="1125" t="s">
        <v>617</v>
      </c>
      <c r="D95" s="1009"/>
      <c r="E95" s="1009"/>
      <c r="F95" s="1009"/>
      <c r="G95" s="1009"/>
      <c r="H95" s="1010"/>
      <c r="I95" s="676">
        <f>'1-ABA-DE-CARREGAMENTO'!C74</f>
        <v>22</v>
      </c>
      <c r="J95" s="675" t="s">
        <v>527</v>
      </c>
      <c r="K95" s="639"/>
      <c r="L95" s="590"/>
      <c r="M95" s="590"/>
      <c r="N95" s="590"/>
      <c r="O95" s="590"/>
      <c r="P95" s="590"/>
      <c r="Q95" s="590"/>
      <c r="R95" s="590"/>
      <c r="S95" s="590"/>
      <c r="T95" s="590"/>
      <c r="U95" s="590"/>
      <c r="V95" s="590"/>
      <c r="W95" s="590"/>
      <c r="X95" s="590"/>
      <c r="Y95" s="590"/>
      <c r="Z95" s="590"/>
    </row>
    <row r="96" spans="1:26" ht="29.25" customHeight="1">
      <c r="A96" s="574"/>
      <c r="B96" s="671" t="s">
        <v>562</v>
      </c>
      <c r="C96" s="1125" t="s">
        <v>618</v>
      </c>
      <c r="D96" s="1009"/>
      <c r="E96" s="1009"/>
      <c r="F96" s="1009"/>
      <c r="G96" s="1009"/>
      <c r="H96" s="677">
        <v>0.06</v>
      </c>
      <c r="I96" s="678">
        <f>H96*I92</f>
        <v>81.954545454545439</v>
      </c>
      <c r="J96" s="679" t="s">
        <v>527</v>
      </c>
      <c r="K96" s="639"/>
      <c r="L96" s="590"/>
      <c r="M96" s="590"/>
      <c r="N96" s="590"/>
      <c r="O96" s="590"/>
      <c r="P96" s="590"/>
      <c r="Q96" s="590"/>
      <c r="R96" s="590"/>
      <c r="S96" s="590"/>
      <c r="T96" s="590"/>
      <c r="U96" s="590"/>
      <c r="V96" s="590"/>
      <c r="W96" s="590"/>
      <c r="X96" s="590"/>
      <c r="Y96" s="590"/>
      <c r="Z96" s="590"/>
    </row>
    <row r="97" spans="1:26" ht="15" customHeight="1">
      <c r="A97" s="574"/>
      <c r="B97" s="671" t="s">
        <v>566</v>
      </c>
      <c r="C97" s="1069" t="s">
        <v>619</v>
      </c>
      <c r="D97" s="1009"/>
      <c r="E97" s="1009"/>
      <c r="F97" s="1009"/>
      <c r="G97" s="1009"/>
      <c r="H97" s="1009"/>
      <c r="I97" s="1009"/>
      <c r="J97" s="673">
        <f>ROUND(I98*I99,2)-ROUND((I98*I99)*I100,2)</f>
        <v>392.04</v>
      </c>
      <c r="K97" s="653"/>
      <c r="L97" s="590"/>
      <c r="M97" s="590"/>
      <c r="N97" s="590"/>
      <c r="O97" s="590"/>
      <c r="P97" s="590"/>
      <c r="Q97" s="590"/>
      <c r="R97" s="590"/>
      <c r="S97" s="590"/>
      <c r="T97" s="590"/>
      <c r="U97" s="590"/>
      <c r="V97" s="590"/>
      <c r="W97" s="590"/>
      <c r="X97" s="590"/>
      <c r="Y97" s="590"/>
      <c r="Z97" s="590"/>
    </row>
    <row r="98" spans="1:26" ht="15" customHeight="1">
      <c r="A98" s="574"/>
      <c r="B98" s="671" t="s">
        <v>568</v>
      </c>
      <c r="C98" s="1069" t="s">
        <v>620</v>
      </c>
      <c r="D98" s="1009"/>
      <c r="E98" s="1009"/>
      <c r="F98" s="1009"/>
      <c r="G98" s="1009"/>
      <c r="H98" s="1009"/>
      <c r="I98" s="680">
        <f>IF('1-ABA-DE-CARREGAMENTO'!C60&gt;0,'1-ABA-DE-CARREGAMENTO'!C60,'1-ABA-DE-CARREGAMENTO'!C64)</f>
        <v>22</v>
      </c>
      <c r="J98" s="681"/>
      <c r="K98" s="639"/>
      <c r="L98" s="590"/>
      <c r="M98" s="590"/>
      <c r="N98" s="590"/>
      <c r="O98" s="590"/>
      <c r="P98" s="590"/>
      <c r="Q98" s="590"/>
      <c r="R98" s="590"/>
      <c r="S98" s="590"/>
      <c r="T98" s="590"/>
      <c r="U98" s="590"/>
      <c r="V98" s="590"/>
      <c r="W98" s="590"/>
      <c r="X98" s="590"/>
      <c r="Y98" s="590"/>
      <c r="Z98" s="590"/>
    </row>
    <row r="99" spans="1:26" ht="15" customHeight="1">
      <c r="A99" s="574"/>
      <c r="B99" s="671" t="s">
        <v>570</v>
      </c>
      <c r="C99" s="1069" t="s">
        <v>621</v>
      </c>
      <c r="D99" s="1009"/>
      <c r="E99" s="1009"/>
      <c r="F99" s="1009"/>
      <c r="G99" s="1009"/>
      <c r="H99" s="1009"/>
      <c r="I99" s="682">
        <f>'1-ABA-DE-CARREGAMENTO'!C62</f>
        <v>22</v>
      </c>
      <c r="J99" s="681"/>
      <c r="K99" s="639"/>
      <c r="L99" s="590"/>
      <c r="M99" s="590"/>
      <c r="N99" s="590"/>
      <c r="O99" s="590"/>
      <c r="P99" s="590"/>
      <c r="Q99" s="590"/>
      <c r="R99" s="590"/>
      <c r="S99" s="590"/>
      <c r="T99" s="590"/>
      <c r="U99" s="590"/>
      <c r="V99" s="590"/>
      <c r="W99" s="590"/>
      <c r="X99" s="590"/>
      <c r="Y99" s="590"/>
      <c r="Z99" s="590"/>
    </row>
    <row r="100" spans="1:26" ht="24.75" customHeight="1">
      <c r="A100" s="574"/>
      <c r="B100" s="671" t="s">
        <v>574</v>
      </c>
      <c r="C100" s="1125" t="s">
        <v>622</v>
      </c>
      <c r="D100" s="1009"/>
      <c r="E100" s="1009"/>
      <c r="F100" s="1009"/>
      <c r="G100" s="1009"/>
      <c r="H100" s="1010"/>
      <c r="I100" s="683">
        <f>'1-ABA-DE-CARREGAMENTO'!C61</f>
        <v>0.19</v>
      </c>
      <c r="J100" s="684"/>
      <c r="K100" s="639"/>
      <c r="L100" s="590"/>
      <c r="M100" s="590"/>
      <c r="N100" s="590"/>
      <c r="O100" s="590"/>
      <c r="P100" s="590"/>
      <c r="Q100" s="590"/>
      <c r="R100" s="590"/>
      <c r="S100" s="590"/>
      <c r="T100" s="590"/>
      <c r="U100" s="590"/>
      <c r="V100" s="590"/>
      <c r="W100" s="590"/>
      <c r="X100" s="590"/>
      <c r="Y100" s="590"/>
      <c r="Z100" s="590"/>
    </row>
    <row r="101" spans="1:26" ht="18.75" customHeight="1" outlineLevel="1">
      <c r="A101" s="574"/>
      <c r="B101" s="671" t="s">
        <v>578</v>
      </c>
      <c r="C101" s="1069" t="s">
        <v>623</v>
      </c>
      <c r="D101" s="1009"/>
      <c r="E101" s="1009"/>
      <c r="F101" s="1009"/>
      <c r="G101" s="1009"/>
      <c r="H101" s="1009"/>
      <c r="I101" s="1009"/>
      <c r="J101" s="685">
        <f>'1-ABA-DE-CARREGAMENTO'!C79/12</f>
        <v>0</v>
      </c>
      <c r="K101" s="653"/>
      <c r="L101" s="590"/>
      <c r="M101" s="590"/>
      <c r="N101" s="590"/>
      <c r="O101" s="590"/>
      <c r="P101" s="590"/>
      <c r="Q101" s="590"/>
      <c r="R101" s="590"/>
      <c r="S101" s="590"/>
      <c r="T101" s="590"/>
      <c r="U101" s="590"/>
      <c r="V101" s="590"/>
      <c r="W101" s="590"/>
      <c r="X101" s="590"/>
      <c r="Y101" s="590"/>
      <c r="Z101" s="590"/>
    </row>
    <row r="102" spans="1:26" ht="33" customHeight="1" outlineLevel="1">
      <c r="A102" s="574"/>
      <c r="B102" s="671" t="s">
        <v>580</v>
      </c>
      <c r="C102" s="1069" t="s">
        <v>624</v>
      </c>
      <c r="D102" s="1009"/>
      <c r="E102" s="1009"/>
      <c r="F102" s="1009"/>
      <c r="G102" s="1009"/>
      <c r="H102" s="1009"/>
      <c r="I102" s="1009"/>
      <c r="J102" s="660">
        <f>'1-ABA-DE-CARREGAMENTO'!C77</f>
        <v>0</v>
      </c>
      <c r="K102" s="653"/>
      <c r="L102" s="590"/>
      <c r="M102" s="590"/>
      <c r="N102" s="590"/>
      <c r="O102" s="590"/>
      <c r="P102" s="590"/>
      <c r="Q102" s="590"/>
      <c r="R102" s="590"/>
      <c r="S102" s="590"/>
      <c r="T102" s="590"/>
      <c r="U102" s="590"/>
      <c r="V102" s="590"/>
      <c r="W102" s="590"/>
      <c r="X102" s="590"/>
      <c r="Y102" s="590"/>
      <c r="Z102" s="590"/>
    </row>
    <row r="103" spans="1:26" ht="33" customHeight="1" outlineLevel="1">
      <c r="A103" s="574"/>
      <c r="B103" s="671" t="s">
        <v>625</v>
      </c>
      <c r="C103" s="1069" t="s">
        <v>626</v>
      </c>
      <c r="D103" s="1009"/>
      <c r="E103" s="1009"/>
      <c r="F103" s="1009"/>
      <c r="G103" s="1009"/>
      <c r="H103" s="1009"/>
      <c r="I103" s="1010"/>
      <c r="J103" s="660">
        <f>'1-ABA-DE-CARREGAMENTO'!C78</f>
        <v>0</v>
      </c>
      <c r="K103" s="653"/>
      <c r="L103" s="590"/>
      <c r="M103" s="590"/>
      <c r="N103" s="590"/>
      <c r="O103" s="590"/>
      <c r="P103" s="590"/>
      <c r="Q103" s="590"/>
      <c r="R103" s="590"/>
      <c r="S103" s="590"/>
      <c r="T103" s="590"/>
      <c r="U103" s="590"/>
      <c r="V103" s="590"/>
      <c r="W103" s="590"/>
      <c r="X103" s="590"/>
      <c r="Y103" s="590"/>
      <c r="Z103" s="590"/>
    </row>
    <row r="104" spans="1:26" ht="16.5" customHeight="1" outlineLevel="1">
      <c r="A104" s="574"/>
      <c r="B104" s="671" t="s">
        <v>627</v>
      </c>
      <c r="C104" s="1069" t="s">
        <v>628</v>
      </c>
      <c r="D104" s="1009"/>
      <c r="E104" s="1009"/>
      <c r="F104" s="1009"/>
      <c r="G104" s="1009"/>
      <c r="H104" s="1009"/>
      <c r="I104" s="1010"/>
      <c r="J104" s="660">
        <f>'1-ABA-DE-CARREGAMENTO'!C76</f>
        <v>18.5</v>
      </c>
      <c r="K104" s="653"/>
      <c r="L104" s="590"/>
      <c r="M104" s="590"/>
      <c r="N104" s="590"/>
      <c r="O104" s="590"/>
      <c r="P104" s="590"/>
      <c r="Q104" s="590"/>
      <c r="R104" s="590"/>
      <c r="S104" s="590"/>
      <c r="T104" s="590"/>
      <c r="U104" s="590"/>
      <c r="V104" s="590"/>
      <c r="W104" s="590"/>
      <c r="X104" s="590"/>
      <c r="Y104" s="590"/>
      <c r="Z104" s="590"/>
    </row>
    <row r="105" spans="1:26" ht="17.25" customHeight="1" outlineLevel="1">
      <c r="A105" s="574"/>
      <c r="B105" s="671" t="s">
        <v>129</v>
      </c>
      <c r="C105" s="1109" t="s">
        <v>629</v>
      </c>
      <c r="D105" s="1009"/>
      <c r="E105" s="1009"/>
      <c r="F105" s="1009"/>
      <c r="G105" s="1009"/>
      <c r="H105" s="1009"/>
      <c r="I105" s="1009"/>
      <c r="J105" s="686"/>
      <c r="K105" s="644"/>
      <c r="L105" s="590"/>
      <c r="M105" s="590"/>
      <c r="N105" s="590"/>
      <c r="O105" s="590"/>
      <c r="P105" s="590"/>
      <c r="Q105" s="590"/>
      <c r="R105" s="590"/>
      <c r="S105" s="590"/>
      <c r="T105" s="590"/>
      <c r="U105" s="590"/>
      <c r="V105" s="590"/>
      <c r="W105" s="590"/>
      <c r="X105" s="590"/>
      <c r="Y105" s="590"/>
      <c r="Z105" s="590"/>
    </row>
    <row r="106" spans="1:26" ht="23.25" customHeight="1">
      <c r="A106" s="574"/>
      <c r="B106" s="669"/>
      <c r="C106" s="1089" t="s">
        <v>594</v>
      </c>
      <c r="D106" s="1009"/>
      <c r="E106" s="1009"/>
      <c r="F106" s="1009"/>
      <c r="G106" s="1009"/>
      <c r="H106" s="1009"/>
      <c r="I106" s="1030"/>
      <c r="J106" s="652">
        <f>SUM(J92:J105)</f>
        <v>469.39000000000004</v>
      </c>
      <c r="K106" s="653"/>
      <c r="L106" s="590"/>
      <c r="M106" s="590"/>
      <c r="N106" s="590"/>
      <c r="O106" s="590"/>
      <c r="P106" s="590"/>
      <c r="Q106" s="590"/>
      <c r="R106" s="590"/>
      <c r="S106" s="590"/>
      <c r="T106" s="590"/>
      <c r="U106" s="590"/>
      <c r="V106" s="590"/>
      <c r="W106" s="590"/>
      <c r="X106" s="590"/>
      <c r="Y106" s="590"/>
      <c r="Z106" s="590"/>
    </row>
    <row r="107" spans="1:26" ht="10.5" customHeight="1">
      <c r="A107" s="574"/>
      <c r="B107" s="1122"/>
      <c r="C107" s="1009"/>
      <c r="D107" s="1009"/>
      <c r="E107" s="1009"/>
      <c r="F107" s="1009"/>
      <c r="G107" s="1009"/>
      <c r="H107" s="1009"/>
      <c r="I107" s="1009"/>
      <c r="J107" s="1010"/>
      <c r="K107" s="601"/>
      <c r="L107" s="590"/>
      <c r="M107" s="590"/>
      <c r="N107" s="590"/>
      <c r="O107" s="590"/>
      <c r="P107" s="590"/>
      <c r="Q107" s="590"/>
      <c r="R107" s="590"/>
      <c r="S107" s="590"/>
      <c r="T107" s="590"/>
      <c r="U107" s="590"/>
      <c r="V107" s="590"/>
      <c r="W107" s="590"/>
      <c r="X107" s="590"/>
      <c r="Y107" s="590"/>
      <c r="Z107" s="590"/>
    </row>
    <row r="108" spans="1:26" ht="34.5" customHeight="1">
      <c r="A108" s="574"/>
      <c r="B108" s="1111" t="s">
        <v>630</v>
      </c>
      <c r="C108" s="1009"/>
      <c r="D108" s="1009"/>
      <c r="E108" s="1009"/>
      <c r="F108" s="1009"/>
      <c r="G108" s="1009"/>
      <c r="H108" s="1009"/>
      <c r="I108" s="1009"/>
      <c r="J108" s="1010"/>
      <c r="K108" s="619"/>
      <c r="L108" s="590"/>
      <c r="M108" s="590"/>
      <c r="N108" s="590"/>
      <c r="O108" s="590"/>
      <c r="P108" s="590"/>
      <c r="Q108" s="590"/>
      <c r="R108" s="590"/>
      <c r="S108" s="590"/>
      <c r="T108" s="590"/>
      <c r="U108" s="590"/>
      <c r="V108" s="590"/>
      <c r="W108" s="590"/>
      <c r="X108" s="590"/>
      <c r="Y108" s="590"/>
      <c r="Z108" s="590"/>
    </row>
    <row r="109" spans="1:26" ht="6" customHeight="1">
      <c r="A109" s="574"/>
      <c r="B109" s="1117"/>
      <c r="C109" s="1009"/>
      <c r="D109" s="1009"/>
      <c r="E109" s="1009"/>
      <c r="F109" s="1009"/>
      <c r="G109" s="1009"/>
      <c r="H109" s="1009"/>
      <c r="I109" s="1009"/>
      <c r="J109" s="1010"/>
      <c r="K109" s="592"/>
      <c r="L109" s="590"/>
      <c r="M109" s="590"/>
      <c r="N109" s="590"/>
      <c r="O109" s="590"/>
      <c r="P109" s="590"/>
      <c r="Q109" s="590"/>
      <c r="R109" s="590"/>
      <c r="S109" s="590"/>
      <c r="T109" s="590"/>
      <c r="U109" s="590"/>
      <c r="V109" s="590"/>
      <c r="W109" s="590"/>
      <c r="X109" s="590"/>
      <c r="Y109" s="590"/>
      <c r="Z109" s="590"/>
    </row>
    <row r="110" spans="1:26" ht="19.5" customHeight="1">
      <c r="A110" s="574"/>
      <c r="B110" s="1108" t="s">
        <v>631</v>
      </c>
      <c r="C110" s="1009"/>
      <c r="D110" s="1009"/>
      <c r="E110" s="1009"/>
      <c r="F110" s="1009"/>
      <c r="G110" s="1009"/>
      <c r="H110" s="1009"/>
      <c r="I110" s="1009"/>
      <c r="J110" s="1010"/>
      <c r="K110" s="655"/>
      <c r="L110" s="590"/>
      <c r="M110" s="590"/>
      <c r="N110" s="590"/>
      <c r="O110" s="590"/>
      <c r="P110" s="590"/>
      <c r="Q110" s="590"/>
      <c r="R110" s="590"/>
      <c r="S110" s="590"/>
      <c r="T110" s="590"/>
      <c r="U110" s="590"/>
      <c r="V110" s="590"/>
      <c r="W110" s="590"/>
      <c r="X110" s="590"/>
      <c r="Y110" s="590"/>
      <c r="Z110" s="590"/>
    </row>
    <row r="111" spans="1:26" ht="19.5" customHeight="1">
      <c r="A111" s="574"/>
      <c r="B111" s="657">
        <v>2</v>
      </c>
      <c r="C111" s="1165" t="s">
        <v>632</v>
      </c>
      <c r="D111" s="1009"/>
      <c r="E111" s="1009"/>
      <c r="F111" s="1009"/>
      <c r="G111" s="1009"/>
      <c r="H111" s="1009"/>
      <c r="I111" s="1010"/>
      <c r="J111" s="657" t="s">
        <v>591</v>
      </c>
      <c r="K111" s="487"/>
      <c r="L111" s="590"/>
      <c r="M111" s="590"/>
      <c r="N111" s="590"/>
      <c r="O111" s="590"/>
      <c r="P111" s="590"/>
      <c r="Q111" s="590"/>
      <c r="R111" s="590"/>
      <c r="S111" s="590"/>
      <c r="T111" s="590"/>
      <c r="U111" s="590"/>
      <c r="V111" s="590"/>
      <c r="W111" s="590"/>
      <c r="X111" s="590"/>
      <c r="Y111" s="590"/>
      <c r="Z111" s="590"/>
    </row>
    <row r="112" spans="1:26" ht="19.5" customHeight="1">
      <c r="A112" s="574"/>
      <c r="B112" s="604" t="s">
        <v>589</v>
      </c>
      <c r="C112" s="1108" t="s">
        <v>633</v>
      </c>
      <c r="D112" s="1009"/>
      <c r="E112" s="1009"/>
      <c r="F112" s="1009"/>
      <c r="G112" s="1009"/>
      <c r="H112" s="1009"/>
      <c r="I112" s="1010"/>
      <c r="J112" s="687">
        <f>J72</f>
        <v>220.24</v>
      </c>
      <c r="K112" s="688"/>
      <c r="L112" s="590"/>
      <c r="M112" s="590"/>
      <c r="N112" s="590"/>
      <c r="O112" s="590"/>
      <c r="P112" s="590"/>
      <c r="Q112" s="590"/>
      <c r="R112" s="590"/>
      <c r="S112" s="590"/>
      <c r="T112" s="590"/>
      <c r="U112" s="590"/>
      <c r="V112" s="590"/>
      <c r="W112" s="590"/>
      <c r="X112" s="590"/>
      <c r="Y112" s="590"/>
      <c r="Z112" s="590"/>
    </row>
    <row r="113" spans="1:26" ht="19.5" customHeight="1">
      <c r="A113" s="574"/>
      <c r="B113" s="604" t="s">
        <v>597</v>
      </c>
      <c r="C113" s="1108" t="s">
        <v>598</v>
      </c>
      <c r="D113" s="1009"/>
      <c r="E113" s="1009"/>
      <c r="F113" s="1009"/>
      <c r="G113" s="1009"/>
      <c r="H113" s="1009"/>
      <c r="I113" s="1010"/>
      <c r="J113" s="687">
        <f>J86</f>
        <v>794.83</v>
      </c>
      <c r="K113" s="688"/>
      <c r="L113" s="590"/>
      <c r="M113" s="590"/>
      <c r="N113" s="590"/>
      <c r="O113" s="590"/>
      <c r="P113" s="590"/>
      <c r="Q113" s="590"/>
      <c r="R113" s="590"/>
      <c r="S113" s="590"/>
      <c r="T113" s="590"/>
      <c r="U113" s="590"/>
      <c r="V113" s="590"/>
      <c r="W113" s="590"/>
      <c r="X113" s="590"/>
      <c r="Y113" s="590"/>
      <c r="Z113" s="590"/>
    </row>
    <row r="114" spans="1:26" ht="19.5" customHeight="1">
      <c r="A114" s="574"/>
      <c r="B114" s="604" t="s">
        <v>612</v>
      </c>
      <c r="C114" s="1108" t="s">
        <v>613</v>
      </c>
      <c r="D114" s="1009"/>
      <c r="E114" s="1009"/>
      <c r="F114" s="1009"/>
      <c r="G114" s="1009"/>
      <c r="H114" s="1009"/>
      <c r="I114" s="1010"/>
      <c r="J114" s="687">
        <f>J106</f>
        <v>469.39000000000004</v>
      </c>
      <c r="K114" s="688"/>
      <c r="L114" s="590"/>
      <c r="M114" s="590"/>
      <c r="N114" s="590"/>
      <c r="O114" s="590"/>
      <c r="P114" s="590"/>
      <c r="Q114" s="590"/>
      <c r="R114" s="590"/>
      <c r="S114" s="590"/>
      <c r="T114" s="590"/>
      <c r="U114" s="590"/>
      <c r="V114" s="590"/>
      <c r="W114" s="590"/>
      <c r="X114" s="590"/>
      <c r="Y114" s="590"/>
      <c r="Z114" s="590"/>
    </row>
    <row r="115" spans="1:26" ht="14.25" customHeight="1">
      <c r="A115" s="574"/>
      <c r="B115" s="1160" t="s">
        <v>594</v>
      </c>
      <c r="C115" s="1009"/>
      <c r="D115" s="1009"/>
      <c r="E115" s="1009"/>
      <c r="F115" s="1009"/>
      <c r="G115" s="1009"/>
      <c r="H115" s="1009"/>
      <c r="I115" s="1010"/>
      <c r="J115" s="689">
        <f>SUM(J112+J113+J114)</f>
        <v>1484.46</v>
      </c>
      <c r="K115" s="688"/>
      <c r="L115" s="590"/>
      <c r="M115" s="590"/>
      <c r="N115" s="590"/>
      <c r="O115" s="590"/>
      <c r="P115" s="590"/>
      <c r="Q115" s="590"/>
      <c r="R115" s="590"/>
      <c r="S115" s="590"/>
      <c r="T115" s="590"/>
      <c r="U115" s="590"/>
      <c r="V115" s="590"/>
      <c r="W115" s="590"/>
      <c r="X115" s="590"/>
      <c r="Y115" s="590"/>
      <c r="Z115" s="590"/>
    </row>
    <row r="116" spans="1:26" ht="14.25" customHeight="1">
      <c r="A116" s="574"/>
      <c r="B116" s="1161"/>
      <c r="C116" s="1009"/>
      <c r="D116" s="1009"/>
      <c r="E116" s="1009"/>
      <c r="F116" s="1009"/>
      <c r="G116" s="1009"/>
      <c r="H116" s="1009"/>
      <c r="I116" s="1009"/>
      <c r="J116" s="1010"/>
      <c r="K116" s="690"/>
      <c r="L116" s="590"/>
      <c r="M116" s="590"/>
      <c r="N116" s="590"/>
      <c r="O116" s="590"/>
      <c r="P116" s="590"/>
      <c r="Q116" s="590"/>
      <c r="R116" s="590"/>
      <c r="S116" s="590"/>
      <c r="T116" s="590"/>
      <c r="U116" s="590"/>
      <c r="V116" s="590"/>
      <c r="W116" s="590"/>
      <c r="X116" s="590"/>
      <c r="Y116" s="590"/>
      <c r="Z116" s="590"/>
    </row>
    <row r="117" spans="1:26" ht="18.75" customHeight="1">
      <c r="A117" s="574"/>
      <c r="B117" s="1109" t="s">
        <v>634</v>
      </c>
      <c r="C117" s="1009"/>
      <c r="D117" s="1009"/>
      <c r="E117" s="1009"/>
      <c r="F117" s="1009"/>
      <c r="G117" s="1009"/>
      <c r="H117" s="1009"/>
      <c r="I117" s="1009"/>
      <c r="J117" s="1010"/>
      <c r="K117" s="691"/>
      <c r="L117" s="590"/>
      <c r="M117" s="590"/>
      <c r="N117" s="590"/>
      <c r="O117" s="590"/>
      <c r="P117" s="590"/>
      <c r="Q117" s="590"/>
      <c r="R117" s="590"/>
      <c r="S117" s="590"/>
      <c r="T117" s="590"/>
      <c r="U117" s="590"/>
      <c r="V117" s="590"/>
      <c r="W117" s="590"/>
      <c r="X117" s="590"/>
      <c r="Y117" s="590"/>
      <c r="Z117" s="590"/>
    </row>
    <row r="118" spans="1:26" ht="15.75" customHeight="1">
      <c r="A118" s="574"/>
      <c r="B118" s="669">
        <v>3</v>
      </c>
      <c r="C118" s="1162" t="s">
        <v>635</v>
      </c>
      <c r="D118" s="1009"/>
      <c r="E118" s="1009"/>
      <c r="F118" s="1009"/>
      <c r="G118" s="1009"/>
      <c r="H118" s="1009"/>
      <c r="I118" s="1010"/>
      <c r="J118" s="669" t="s">
        <v>591</v>
      </c>
      <c r="K118" s="601"/>
      <c r="L118" s="590"/>
      <c r="M118" s="590"/>
      <c r="N118" s="590"/>
      <c r="O118" s="590"/>
      <c r="P118" s="590"/>
      <c r="Q118" s="590"/>
      <c r="R118" s="590"/>
      <c r="S118" s="590"/>
      <c r="T118" s="590"/>
      <c r="U118" s="590"/>
      <c r="V118" s="590"/>
      <c r="W118" s="590"/>
      <c r="X118" s="590"/>
      <c r="Y118" s="590"/>
      <c r="Z118" s="590"/>
    </row>
    <row r="119" spans="1:26" ht="46.5" customHeight="1">
      <c r="A119" s="574"/>
      <c r="B119" s="671" t="s">
        <v>514</v>
      </c>
      <c r="C119" s="1069" t="s">
        <v>636</v>
      </c>
      <c r="D119" s="1009"/>
      <c r="E119" s="1009"/>
      <c r="F119" s="1009"/>
      <c r="G119" s="1009"/>
      <c r="H119" s="1009"/>
      <c r="I119" s="1010"/>
      <c r="J119" s="660">
        <f>ROUND((($J$58/12)+($J$70/12)+(J58/12/12)+($J$71/12))*(30/30)*0.05,2)</f>
        <v>9.67</v>
      </c>
      <c r="K119" s="653"/>
      <c r="L119" s="590"/>
      <c r="M119" s="590"/>
      <c r="N119" s="590"/>
      <c r="O119" s="590"/>
      <c r="P119" s="590"/>
      <c r="Q119" s="590"/>
      <c r="R119" s="590"/>
      <c r="S119" s="590"/>
      <c r="T119" s="590"/>
      <c r="U119" s="590"/>
      <c r="V119" s="590"/>
      <c r="W119" s="590"/>
      <c r="X119" s="590"/>
      <c r="Y119" s="590"/>
      <c r="Z119" s="590"/>
    </row>
    <row r="120" spans="1:26" ht="20.25" customHeight="1">
      <c r="A120" s="574"/>
      <c r="B120" s="671" t="s">
        <v>516</v>
      </c>
      <c r="C120" s="1109" t="s">
        <v>637</v>
      </c>
      <c r="D120" s="1009"/>
      <c r="E120" s="1009"/>
      <c r="F120" s="1009"/>
      <c r="G120" s="1009"/>
      <c r="H120" s="1009"/>
      <c r="I120" s="1010"/>
      <c r="J120" s="660">
        <f>ROUND($I$85*J119,2)</f>
        <v>0.77</v>
      </c>
      <c r="K120" s="653"/>
      <c r="L120" s="590"/>
      <c r="M120" s="590"/>
      <c r="N120" s="590"/>
      <c r="O120" s="590"/>
      <c r="P120" s="590"/>
      <c r="Q120" s="590"/>
      <c r="R120" s="590"/>
      <c r="S120" s="590"/>
      <c r="T120" s="590"/>
      <c r="U120" s="590"/>
      <c r="V120" s="590"/>
      <c r="W120" s="590"/>
      <c r="X120" s="590"/>
      <c r="Y120" s="590"/>
      <c r="Z120" s="590"/>
    </row>
    <row r="121" spans="1:26" ht="93.75" customHeight="1">
      <c r="A121" s="574"/>
      <c r="B121" s="671" t="s">
        <v>518</v>
      </c>
      <c r="C121" s="1110" t="s">
        <v>638</v>
      </c>
      <c r="D121" s="1009"/>
      <c r="E121" s="1009"/>
      <c r="F121" s="1009"/>
      <c r="G121" s="1009"/>
      <c r="H121" s="1009"/>
      <c r="I121" s="1010"/>
      <c r="J121" s="660">
        <f>ROUND(((7/30)/$I$11)*$J$58*1,2)</f>
        <v>15.09</v>
      </c>
      <c r="K121" s="653"/>
      <c r="L121" s="590"/>
      <c r="M121" s="590"/>
      <c r="N121" s="590"/>
      <c r="O121" s="590"/>
      <c r="P121" s="590"/>
      <c r="Q121" s="590"/>
      <c r="R121" s="590"/>
      <c r="S121" s="590"/>
      <c r="T121" s="590"/>
      <c r="U121" s="590"/>
      <c r="V121" s="590"/>
      <c r="W121" s="590"/>
      <c r="X121" s="590"/>
      <c r="Y121" s="590"/>
      <c r="Z121" s="590"/>
    </row>
    <row r="122" spans="1:26" ht="17.25" customHeight="1">
      <c r="A122" s="574"/>
      <c r="B122" s="671" t="s">
        <v>520</v>
      </c>
      <c r="C122" s="1109" t="s">
        <v>639</v>
      </c>
      <c r="D122" s="1009"/>
      <c r="E122" s="1009"/>
      <c r="F122" s="1009"/>
      <c r="G122" s="1009"/>
      <c r="H122" s="1009"/>
      <c r="I122" s="1010"/>
      <c r="J122" s="660">
        <f>ROUND($I$86*J121,2)</f>
        <v>5.55</v>
      </c>
      <c r="K122" s="653"/>
      <c r="L122" s="590"/>
      <c r="M122" s="590"/>
      <c r="N122" s="590"/>
      <c r="O122" s="590"/>
      <c r="P122" s="590"/>
      <c r="Q122" s="590"/>
      <c r="R122" s="590"/>
      <c r="S122" s="590"/>
      <c r="T122" s="590"/>
      <c r="U122" s="590"/>
      <c r="V122" s="590"/>
      <c r="W122" s="590"/>
      <c r="X122" s="590"/>
      <c r="Y122" s="590"/>
      <c r="Z122" s="590"/>
    </row>
    <row r="123" spans="1:26" ht="36.75" customHeight="1">
      <c r="A123" s="574"/>
      <c r="B123" s="671" t="s">
        <v>562</v>
      </c>
      <c r="C123" s="1069" t="s">
        <v>640</v>
      </c>
      <c r="D123" s="1009"/>
      <c r="E123" s="1009"/>
      <c r="F123" s="1009"/>
      <c r="G123" s="1009"/>
      <c r="H123" s="1010"/>
      <c r="I123" s="692">
        <v>0.04</v>
      </c>
      <c r="J123" s="660">
        <f>ROUND(J58*I123,2)</f>
        <v>77.58</v>
      </c>
      <c r="K123" s="613"/>
      <c r="L123" s="590"/>
      <c r="M123" s="590"/>
      <c r="N123" s="590"/>
      <c r="O123" s="590"/>
      <c r="P123" s="590"/>
      <c r="Q123" s="590"/>
      <c r="R123" s="590"/>
      <c r="S123" s="590"/>
      <c r="T123" s="590"/>
      <c r="U123" s="590"/>
      <c r="V123" s="590"/>
      <c r="W123" s="590"/>
      <c r="X123" s="590"/>
      <c r="Y123" s="590"/>
      <c r="Z123" s="590"/>
    </row>
    <row r="124" spans="1:26" ht="19.5" customHeight="1">
      <c r="A124" s="574"/>
      <c r="B124" s="1089" t="s">
        <v>641</v>
      </c>
      <c r="C124" s="1009"/>
      <c r="D124" s="1009"/>
      <c r="E124" s="1009"/>
      <c r="F124" s="1009"/>
      <c r="G124" s="1009"/>
      <c r="H124" s="1009"/>
      <c r="I124" s="1010"/>
      <c r="J124" s="652">
        <f>SUM(J119:J123)</f>
        <v>108.66</v>
      </c>
      <c r="K124" s="653"/>
      <c r="L124" s="590"/>
      <c r="M124" s="590"/>
      <c r="N124" s="590"/>
      <c r="O124" s="590"/>
      <c r="P124" s="590"/>
      <c r="Q124" s="590"/>
      <c r="R124" s="590"/>
      <c r="S124" s="590"/>
      <c r="T124" s="590"/>
      <c r="U124" s="590"/>
      <c r="V124" s="590"/>
      <c r="W124" s="590"/>
      <c r="X124" s="590"/>
      <c r="Y124" s="590"/>
      <c r="Z124" s="590"/>
    </row>
    <row r="125" spans="1:26" ht="9.75" customHeight="1">
      <c r="A125" s="574"/>
      <c r="B125" s="1085"/>
      <c r="C125" s="1009"/>
      <c r="D125" s="1009"/>
      <c r="E125" s="1009"/>
      <c r="F125" s="1009"/>
      <c r="G125" s="1009"/>
      <c r="H125" s="1009"/>
      <c r="I125" s="1009"/>
      <c r="J125" s="1010"/>
      <c r="K125" s="693"/>
      <c r="L125" s="590"/>
      <c r="M125" s="590"/>
      <c r="N125" s="590"/>
      <c r="O125" s="590"/>
      <c r="P125" s="590"/>
      <c r="Q125" s="590"/>
      <c r="R125" s="590"/>
      <c r="S125" s="590"/>
      <c r="T125" s="590"/>
      <c r="U125" s="590"/>
      <c r="V125" s="590"/>
      <c r="W125" s="590"/>
      <c r="X125" s="590"/>
      <c r="Y125" s="590"/>
      <c r="Z125" s="590"/>
    </row>
    <row r="126" spans="1:26" ht="17.25" customHeight="1">
      <c r="A126" s="574"/>
      <c r="B126" s="1069" t="s">
        <v>642</v>
      </c>
      <c r="C126" s="1009"/>
      <c r="D126" s="1009"/>
      <c r="E126" s="1009"/>
      <c r="F126" s="1009"/>
      <c r="G126" s="1009"/>
      <c r="H126" s="1009"/>
      <c r="I126" s="1009"/>
      <c r="J126" s="1010"/>
      <c r="K126" s="594"/>
      <c r="L126" s="590"/>
      <c r="M126" s="590"/>
      <c r="N126" s="590"/>
      <c r="O126" s="590"/>
      <c r="P126" s="590"/>
      <c r="Q126" s="590"/>
      <c r="R126" s="590"/>
      <c r="S126" s="590"/>
      <c r="T126" s="590"/>
      <c r="U126" s="590"/>
      <c r="V126" s="590"/>
      <c r="W126" s="590"/>
      <c r="X126" s="590"/>
      <c r="Y126" s="590"/>
      <c r="Z126" s="590"/>
    </row>
    <row r="127" spans="1:26" ht="29.25" customHeight="1">
      <c r="A127" s="574"/>
      <c r="B127" s="1111" t="s">
        <v>643</v>
      </c>
      <c r="C127" s="1009"/>
      <c r="D127" s="1009"/>
      <c r="E127" s="1009"/>
      <c r="F127" s="1009"/>
      <c r="G127" s="1009"/>
      <c r="H127" s="1009"/>
      <c r="I127" s="1009"/>
      <c r="J127" s="1010"/>
      <c r="K127" s="619"/>
      <c r="L127" s="590"/>
      <c r="M127" s="590"/>
      <c r="N127" s="590"/>
      <c r="O127" s="590"/>
      <c r="P127" s="590"/>
      <c r="Q127" s="590"/>
      <c r="R127" s="590"/>
      <c r="S127" s="590"/>
      <c r="T127" s="590"/>
      <c r="U127" s="590"/>
      <c r="V127" s="590"/>
      <c r="W127" s="590"/>
      <c r="X127" s="590"/>
      <c r="Y127" s="590"/>
      <c r="Z127" s="590"/>
    </row>
    <row r="128" spans="1:26" ht="57.75" customHeight="1">
      <c r="A128" s="574"/>
      <c r="B128" s="1108" t="s">
        <v>644</v>
      </c>
      <c r="C128" s="1009"/>
      <c r="D128" s="1009"/>
      <c r="E128" s="1009"/>
      <c r="F128" s="1009"/>
      <c r="G128" s="1009"/>
      <c r="H128" s="1009"/>
      <c r="I128" s="1009"/>
      <c r="J128" s="1010"/>
      <c r="K128" s="655"/>
      <c r="L128" s="590"/>
      <c r="M128" s="590"/>
      <c r="N128" s="590"/>
      <c r="O128" s="590"/>
      <c r="P128" s="590"/>
      <c r="Q128" s="590"/>
      <c r="R128" s="590"/>
      <c r="S128" s="590"/>
      <c r="T128" s="590"/>
      <c r="U128" s="590"/>
      <c r="V128" s="590"/>
      <c r="W128" s="590"/>
      <c r="X128" s="590"/>
      <c r="Y128" s="590"/>
      <c r="Z128" s="590"/>
    </row>
    <row r="129" spans="1:26" ht="36" customHeight="1">
      <c r="A129" s="574"/>
      <c r="B129" s="694" t="s">
        <v>645</v>
      </c>
      <c r="C129" s="695">
        <f>J58</f>
        <v>1939.590909090909</v>
      </c>
      <c r="D129" s="696" t="s">
        <v>646</v>
      </c>
      <c r="E129" s="694" t="s">
        <v>647</v>
      </c>
      <c r="F129" s="695">
        <f>J115-J92-J97</f>
        <v>1033.5700000000002</v>
      </c>
      <c r="G129" s="696" t="s">
        <v>646</v>
      </c>
      <c r="H129" s="694" t="s">
        <v>648</v>
      </c>
      <c r="I129" s="695">
        <f>J124</f>
        <v>108.66</v>
      </c>
      <c r="J129" s="686">
        <f>C129+F129+I129</f>
        <v>3081.820909090909</v>
      </c>
      <c r="K129" s="644"/>
      <c r="L129" s="590"/>
      <c r="M129" s="590"/>
      <c r="N129" s="590"/>
      <c r="O129" s="590"/>
      <c r="P129" s="590"/>
      <c r="Q129" s="590"/>
      <c r="R129" s="590"/>
      <c r="S129" s="590"/>
      <c r="T129" s="590"/>
      <c r="U129" s="590"/>
      <c r="V129" s="590"/>
      <c r="W129" s="590"/>
      <c r="X129" s="590"/>
      <c r="Y129" s="590"/>
      <c r="Z129" s="590"/>
    </row>
    <row r="130" spans="1:26" ht="15.75" customHeight="1">
      <c r="A130" s="574"/>
      <c r="B130" s="1163"/>
      <c r="C130" s="1009"/>
      <c r="D130" s="1009"/>
      <c r="E130" s="1009"/>
      <c r="F130" s="1009"/>
      <c r="G130" s="1009"/>
      <c r="H130" s="1009"/>
      <c r="I130" s="1009"/>
      <c r="J130" s="1010"/>
      <c r="K130" s="697"/>
      <c r="L130" s="590"/>
      <c r="M130" s="590"/>
      <c r="N130" s="590"/>
      <c r="O130" s="590"/>
      <c r="P130" s="590"/>
      <c r="Q130" s="590"/>
      <c r="R130" s="590"/>
      <c r="S130" s="590"/>
      <c r="T130" s="590"/>
      <c r="U130" s="590"/>
      <c r="V130" s="590"/>
      <c r="W130" s="590"/>
      <c r="X130" s="590"/>
      <c r="Y130" s="590"/>
      <c r="Z130" s="590"/>
    </row>
    <row r="131" spans="1:26" ht="15.75" customHeight="1">
      <c r="A131" s="574"/>
      <c r="B131" s="1069" t="s">
        <v>649</v>
      </c>
      <c r="C131" s="1009"/>
      <c r="D131" s="1009"/>
      <c r="E131" s="1009"/>
      <c r="F131" s="1009"/>
      <c r="G131" s="1009"/>
      <c r="H131" s="1009"/>
      <c r="I131" s="1009"/>
      <c r="J131" s="1010"/>
      <c r="K131" s="698"/>
      <c r="L131" s="590"/>
      <c r="M131" s="590"/>
      <c r="N131" s="590"/>
      <c r="O131" s="590"/>
      <c r="P131" s="590"/>
      <c r="Q131" s="590"/>
      <c r="R131" s="590"/>
      <c r="S131" s="590"/>
      <c r="T131" s="590"/>
      <c r="U131" s="590"/>
      <c r="V131" s="590"/>
      <c r="W131" s="590"/>
      <c r="X131" s="590"/>
      <c r="Y131" s="590"/>
      <c r="Z131" s="590"/>
    </row>
    <row r="132" spans="1:26" ht="17.25" customHeight="1">
      <c r="A132" s="574"/>
      <c r="B132" s="699" t="s">
        <v>650</v>
      </c>
      <c r="C132" s="1162" t="s">
        <v>651</v>
      </c>
      <c r="D132" s="1009"/>
      <c r="E132" s="1009"/>
      <c r="F132" s="1009"/>
      <c r="G132" s="1009"/>
      <c r="H132" s="1009"/>
      <c r="I132" s="1010"/>
      <c r="J132" s="699" t="s">
        <v>591</v>
      </c>
      <c r="K132" s="700"/>
      <c r="L132" s="590"/>
      <c r="M132" s="590"/>
      <c r="N132" s="590"/>
      <c r="O132" s="590"/>
      <c r="P132" s="590"/>
      <c r="Q132" s="590"/>
      <c r="R132" s="590"/>
      <c r="S132" s="590"/>
      <c r="T132" s="590"/>
      <c r="U132" s="590"/>
      <c r="V132" s="590"/>
      <c r="W132" s="590"/>
      <c r="X132" s="590"/>
      <c r="Y132" s="590"/>
      <c r="Z132" s="590"/>
    </row>
    <row r="133" spans="1:26" ht="54.75" customHeight="1">
      <c r="A133" s="574"/>
      <c r="B133" s="671" t="s">
        <v>514</v>
      </c>
      <c r="C133" s="1108" t="s">
        <v>652</v>
      </c>
      <c r="D133" s="1009"/>
      <c r="E133" s="1009"/>
      <c r="F133" s="1009"/>
      <c r="G133" s="1009"/>
      <c r="H133" s="701">
        <v>9.0749999999999997E-2</v>
      </c>
      <c r="I133" s="702">
        <f>I86</f>
        <v>0.36800000000000005</v>
      </c>
      <c r="J133" s="660">
        <f>ROUND(H133*J58,2)*(1+I133)</f>
        <v>240.79536000000004</v>
      </c>
      <c r="K133" s="653"/>
      <c r="L133" s="590"/>
      <c r="M133" s="590"/>
      <c r="N133" s="590"/>
      <c r="O133" s="590"/>
      <c r="P133" s="590"/>
      <c r="Q133" s="590"/>
      <c r="R133" s="590"/>
      <c r="S133" s="590"/>
      <c r="T133" s="590"/>
      <c r="U133" s="590"/>
      <c r="V133" s="590"/>
      <c r="W133" s="590"/>
      <c r="X133" s="590"/>
      <c r="Y133" s="590"/>
      <c r="Z133" s="590"/>
    </row>
    <row r="134" spans="1:26" ht="21.75" customHeight="1">
      <c r="A134" s="574"/>
      <c r="B134" s="671" t="s">
        <v>516</v>
      </c>
      <c r="C134" s="1069" t="s">
        <v>653</v>
      </c>
      <c r="D134" s="1009"/>
      <c r="E134" s="1009"/>
      <c r="F134" s="1009"/>
      <c r="G134" s="1009"/>
      <c r="H134" s="1009"/>
      <c r="I134" s="1010"/>
      <c r="J134" s="660">
        <f>ROUND((1/30)/12*(J129),2)</f>
        <v>8.56</v>
      </c>
      <c r="K134" s="653"/>
      <c r="L134" s="590"/>
      <c r="M134" s="590"/>
      <c r="N134" s="590"/>
      <c r="O134" s="590"/>
      <c r="P134" s="590"/>
      <c r="Q134" s="590"/>
      <c r="R134" s="590"/>
      <c r="S134" s="590"/>
      <c r="T134" s="590"/>
      <c r="U134" s="590"/>
      <c r="V134" s="590"/>
      <c r="W134" s="590"/>
      <c r="X134" s="590"/>
      <c r="Y134" s="590"/>
      <c r="Z134" s="590"/>
    </row>
    <row r="135" spans="1:26" ht="32.25" customHeight="1">
      <c r="A135" s="574"/>
      <c r="B135" s="671" t="s">
        <v>518</v>
      </c>
      <c r="C135" s="1069" t="s">
        <v>654</v>
      </c>
      <c r="D135" s="1009"/>
      <c r="E135" s="1009"/>
      <c r="F135" s="1009"/>
      <c r="G135" s="1009"/>
      <c r="H135" s="1009"/>
      <c r="I135" s="1010"/>
      <c r="J135" s="660">
        <f>ROUND((5/30)/12*0.015*(J129),2)</f>
        <v>0.64</v>
      </c>
      <c r="K135" s="653"/>
      <c r="L135" s="590"/>
      <c r="M135" s="590"/>
      <c r="N135" s="590"/>
      <c r="O135" s="590"/>
      <c r="P135" s="590"/>
      <c r="Q135" s="590"/>
      <c r="R135" s="590"/>
      <c r="S135" s="590"/>
      <c r="T135" s="590"/>
      <c r="U135" s="590"/>
      <c r="V135" s="590"/>
      <c r="W135" s="590"/>
      <c r="X135" s="590"/>
      <c r="Y135" s="590"/>
      <c r="Z135" s="590"/>
    </row>
    <row r="136" spans="1:26" ht="32.25" customHeight="1">
      <c r="A136" s="574"/>
      <c r="B136" s="671" t="s">
        <v>520</v>
      </c>
      <c r="C136" s="1069" t="s">
        <v>655</v>
      </c>
      <c r="D136" s="1009"/>
      <c r="E136" s="1009"/>
      <c r="F136" s="1009"/>
      <c r="G136" s="1009"/>
      <c r="H136" s="1009"/>
      <c r="I136" s="1010"/>
      <c r="J136" s="660">
        <f>ROUND(((15/30)/12)*0.0078*(J129),2)</f>
        <v>1</v>
      </c>
      <c r="K136" s="653"/>
      <c r="L136" s="590"/>
      <c r="M136" s="590"/>
      <c r="N136" s="590"/>
      <c r="O136" s="590"/>
      <c r="P136" s="590"/>
      <c r="Q136" s="590"/>
      <c r="R136" s="590"/>
      <c r="S136" s="590"/>
      <c r="T136" s="590"/>
      <c r="U136" s="590"/>
      <c r="V136" s="590"/>
      <c r="W136" s="590"/>
      <c r="X136" s="590"/>
      <c r="Y136" s="590"/>
      <c r="Z136" s="590"/>
    </row>
    <row r="137" spans="1:26" ht="32.25" customHeight="1">
      <c r="A137" s="574"/>
      <c r="B137" s="703" t="s">
        <v>562</v>
      </c>
      <c r="C137" s="1164" t="s">
        <v>656</v>
      </c>
      <c r="D137" s="1009"/>
      <c r="E137" s="1009"/>
      <c r="F137" s="1009"/>
      <c r="G137" s="1009"/>
      <c r="H137" s="1009"/>
      <c r="I137" s="1010"/>
      <c r="J137" s="704">
        <f>ROUND(((((C129+C129/3)+(I86)*(C129+C129/3))*(4/12))/12)*0.02,2) + ((J106 -J92-J97+ J124)*4/12)*0.02</f>
        <v>2.817733333333333</v>
      </c>
      <c r="K137" s="653"/>
      <c r="L137" s="590"/>
      <c r="M137" s="590"/>
      <c r="N137" s="590"/>
      <c r="O137" s="590"/>
      <c r="P137" s="590"/>
      <c r="Q137" s="590"/>
      <c r="R137" s="590"/>
      <c r="S137" s="590"/>
      <c r="T137" s="590"/>
      <c r="U137" s="590"/>
      <c r="V137" s="590"/>
      <c r="W137" s="590"/>
      <c r="X137" s="590"/>
      <c r="Y137" s="590"/>
      <c r="Z137" s="590"/>
    </row>
    <row r="138" spans="1:26" ht="63.75" customHeight="1">
      <c r="A138" s="574"/>
      <c r="B138" s="671" t="s">
        <v>566</v>
      </c>
      <c r="C138" s="1069" t="s">
        <v>657</v>
      </c>
      <c r="D138" s="1009"/>
      <c r="E138" s="1009"/>
      <c r="F138" s="1009"/>
      <c r="G138" s="1009"/>
      <c r="H138" s="1009"/>
      <c r="I138" s="1010"/>
      <c r="J138" s="660">
        <f>ROUND(((3/30)/12)*(J129),2)</f>
        <v>25.68</v>
      </c>
      <c r="K138" s="653"/>
      <c r="L138" s="590"/>
      <c r="M138" s="590"/>
      <c r="N138" s="590"/>
      <c r="O138" s="590"/>
      <c r="P138" s="590"/>
      <c r="Q138" s="590"/>
      <c r="R138" s="590"/>
      <c r="S138" s="590"/>
      <c r="T138" s="590"/>
      <c r="U138" s="590"/>
      <c r="V138" s="590"/>
      <c r="W138" s="590"/>
      <c r="X138" s="590"/>
      <c r="Y138" s="590"/>
      <c r="Z138" s="590"/>
    </row>
    <row r="139" spans="1:26" ht="19.5" customHeight="1">
      <c r="A139" s="574"/>
      <c r="B139" s="1089" t="s">
        <v>594</v>
      </c>
      <c r="C139" s="1009"/>
      <c r="D139" s="1009"/>
      <c r="E139" s="1009"/>
      <c r="F139" s="1009"/>
      <c r="G139" s="1009"/>
      <c r="H139" s="1009"/>
      <c r="I139" s="1010"/>
      <c r="J139" s="652">
        <f>SUM(J133:J138)</f>
        <v>279.49309333333338</v>
      </c>
      <c r="K139" s="653"/>
      <c r="L139" s="590"/>
      <c r="M139" s="590"/>
      <c r="N139" s="590"/>
      <c r="O139" s="590"/>
      <c r="P139" s="590"/>
      <c r="Q139" s="590"/>
      <c r="R139" s="590"/>
      <c r="S139" s="590"/>
      <c r="T139" s="590"/>
      <c r="U139" s="590"/>
      <c r="V139" s="590"/>
      <c r="W139" s="590"/>
      <c r="X139" s="590"/>
      <c r="Y139" s="590"/>
      <c r="Z139" s="590"/>
    </row>
    <row r="140" spans="1:26" ht="9" customHeight="1">
      <c r="A140" s="574"/>
      <c r="B140" s="1085"/>
      <c r="C140" s="1009"/>
      <c r="D140" s="1009"/>
      <c r="E140" s="1009"/>
      <c r="F140" s="1009"/>
      <c r="G140" s="1009"/>
      <c r="H140" s="1009"/>
      <c r="I140" s="1009"/>
      <c r="J140" s="1010"/>
      <c r="K140" s="693"/>
      <c r="L140" s="590"/>
      <c r="M140" s="590"/>
      <c r="N140" s="590"/>
      <c r="O140" s="590"/>
      <c r="P140" s="590"/>
      <c r="Q140" s="590"/>
      <c r="R140" s="590"/>
      <c r="S140" s="590"/>
      <c r="T140" s="590"/>
      <c r="U140" s="590"/>
      <c r="V140" s="590"/>
      <c r="W140" s="590"/>
      <c r="X140" s="590"/>
      <c r="Y140" s="590"/>
      <c r="Z140" s="590"/>
    </row>
    <row r="141" spans="1:26" ht="19.5" customHeight="1">
      <c r="A141" s="574"/>
      <c r="B141" s="1096" t="s">
        <v>658</v>
      </c>
      <c r="C141" s="1009"/>
      <c r="D141" s="1009"/>
      <c r="E141" s="1009"/>
      <c r="F141" s="1009"/>
      <c r="G141" s="1009"/>
      <c r="H141" s="1009"/>
      <c r="I141" s="1009"/>
      <c r="J141" s="1010"/>
      <c r="K141" s="646"/>
      <c r="L141" s="590"/>
      <c r="M141" s="590"/>
      <c r="N141" s="590"/>
      <c r="O141" s="590"/>
      <c r="P141" s="590"/>
      <c r="Q141" s="590"/>
      <c r="R141" s="590"/>
      <c r="S141" s="590"/>
      <c r="T141" s="590"/>
      <c r="U141" s="590"/>
      <c r="V141" s="590"/>
      <c r="W141" s="590"/>
      <c r="X141" s="590"/>
      <c r="Y141" s="590"/>
      <c r="Z141" s="590"/>
    </row>
    <row r="142" spans="1:26" ht="19.5" customHeight="1">
      <c r="A142" s="574"/>
      <c r="B142" s="705" t="s">
        <v>659</v>
      </c>
      <c r="C142" s="1097" t="s">
        <v>660</v>
      </c>
      <c r="D142" s="1009"/>
      <c r="E142" s="1009"/>
      <c r="F142" s="1009"/>
      <c r="G142" s="1009"/>
      <c r="H142" s="1009"/>
      <c r="I142" s="1010"/>
      <c r="J142" s="706" t="s">
        <v>591</v>
      </c>
      <c r="K142" s="707"/>
      <c r="L142" s="590"/>
      <c r="M142" s="590"/>
      <c r="N142" s="590"/>
      <c r="O142" s="590"/>
      <c r="P142" s="590"/>
      <c r="Q142" s="590"/>
      <c r="R142" s="590"/>
      <c r="S142" s="590"/>
      <c r="T142" s="590"/>
      <c r="U142" s="590"/>
      <c r="V142" s="590"/>
      <c r="W142" s="590"/>
      <c r="X142" s="590"/>
      <c r="Y142" s="590"/>
      <c r="Z142" s="590"/>
    </row>
    <row r="143" spans="1:26" ht="19.5" customHeight="1">
      <c r="A143" s="574"/>
      <c r="B143" s="647" t="s">
        <v>514</v>
      </c>
      <c r="C143" s="1096" t="s">
        <v>661</v>
      </c>
      <c r="D143" s="1009"/>
      <c r="E143" s="1009"/>
      <c r="F143" s="1009"/>
      <c r="G143" s="1009"/>
      <c r="H143" s="1009"/>
      <c r="I143" s="1010"/>
      <c r="J143" s="708">
        <v>0</v>
      </c>
      <c r="K143" s="709"/>
      <c r="L143" s="590"/>
      <c r="M143" s="590"/>
      <c r="N143" s="590"/>
      <c r="O143" s="590"/>
      <c r="P143" s="590"/>
      <c r="Q143" s="590"/>
      <c r="R143" s="590"/>
      <c r="S143" s="590"/>
      <c r="T143" s="590"/>
      <c r="U143" s="590"/>
      <c r="V143" s="590"/>
      <c r="W143" s="590"/>
      <c r="X143" s="590"/>
      <c r="Y143" s="590"/>
      <c r="Z143" s="590"/>
    </row>
    <row r="144" spans="1:26" ht="19.5" customHeight="1">
      <c r="A144" s="574"/>
      <c r="B144" s="1094" t="s">
        <v>594</v>
      </c>
      <c r="C144" s="1009"/>
      <c r="D144" s="1009"/>
      <c r="E144" s="1009"/>
      <c r="F144" s="1009"/>
      <c r="G144" s="1009"/>
      <c r="H144" s="1009"/>
      <c r="I144" s="1010"/>
      <c r="J144" s="710">
        <v>0</v>
      </c>
      <c r="K144" s="709"/>
      <c r="L144" s="590"/>
      <c r="M144" s="590"/>
      <c r="N144" s="590"/>
      <c r="O144" s="590"/>
      <c r="P144" s="590"/>
      <c r="Q144" s="590"/>
      <c r="R144" s="590"/>
      <c r="S144" s="590"/>
      <c r="T144" s="590"/>
      <c r="U144" s="590"/>
      <c r="V144" s="590"/>
      <c r="W144" s="590"/>
      <c r="X144" s="590"/>
      <c r="Y144" s="590"/>
      <c r="Z144" s="590"/>
    </row>
    <row r="145" spans="1:26" ht="9" customHeight="1">
      <c r="A145" s="574"/>
      <c r="B145" s="1095"/>
      <c r="C145" s="1009"/>
      <c r="D145" s="1009"/>
      <c r="E145" s="1009"/>
      <c r="F145" s="1009"/>
      <c r="G145" s="1009"/>
      <c r="H145" s="1009"/>
      <c r="I145" s="1009"/>
      <c r="J145" s="1010"/>
      <c r="K145" s="654"/>
      <c r="L145" s="590"/>
      <c r="M145" s="590"/>
      <c r="N145" s="590"/>
      <c r="O145" s="590"/>
      <c r="P145" s="590"/>
      <c r="Q145" s="590"/>
      <c r="R145" s="590"/>
      <c r="S145" s="590"/>
      <c r="T145" s="590"/>
      <c r="U145" s="590"/>
      <c r="V145" s="590"/>
      <c r="W145" s="590"/>
      <c r="X145" s="590"/>
      <c r="Y145" s="590"/>
      <c r="Z145" s="590"/>
    </row>
    <row r="146" spans="1:26" ht="19.5" customHeight="1">
      <c r="A146" s="574"/>
      <c r="B146" s="1096" t="s">
        <v>662</v>
      </c>
      <c r="C146" s="1009"/>
      <c r="D146" s="1009"/>
      <c r="E146" s="1009"/>
      <c r="F146" s="1009"/>
      <c r="G146" s="1009"/>
      <c r="H146" s="1009"/>
      <c r="I146" s="1009"/>
      <c r="J146" s="1010"/>
      <c r="K146" s="646"/>
      <c r="L146" s="590"/>
      <c r="M146" s="590"/>
      <c r="N146" s="590"/>
      <c r="O146" s="590"/>
      <c r="P146" s="590"/>
      <c r="Q146" s="590"/>
      <c r="R146" s="590"/>
      <c r="S146" s="590"/>
      <c r="T146" s="590"/>
      <c r="U146" s="590"/>
      <c r="V146" s="590"/>
      <c r="W146" s="590"/>
      <c r="X146" s="590"/>
      <c r="Y146" s="590"/>
      <c r="Z146" s="590"/>
    </row>
    <row r="147" spans="1:26" ht="19.5" customHeight="1">
      <c r="A147" s="574"/>
      <c r="B147" s="657">
        <v>4</v>
      </c>
      <c r="C147" s="1097" t="s">
        <v>663</v>
      </c>
      <c r="D147" s="1009"/>
      <c r="E147" s="1009"/>
      <c r="F147" s="1009"/>
      <c r="G147" s="1009"/>
      <c r="H147" s="1009"/>
      <c r="I147" s="1010"/>
      <c r="J147" s="706" t="s">
        <v>591</v>
      </c>
      <c r="K147" s="707"/>
      <c r="L147" s="590"/>
      <c r="M147" s="590"/>
      <c r="N147" s="590"/>
      <c r="O147" s="590"/>
      <c r="P147" s="590"/>
      <c r="Q147" s="590"/>
      <c r="R147" s="590"/>
      <c r="S147" s="590"/>
      <c r="T147" s="590"/>
      <c r="U147" s="590"/>
      <c r="V147" s="590"/>
      <c r="W147" s="590"/>
      <c r="X147" s="590"/>
      <c r="Y147" s="590"/>
      <c r="Z147" s="590"/>
    </row>
    <row r="148" spans="1:26" ht="28.5" customHeight="1">
      <c r="A148" s="574"/>
      <c r="B148" s="604" t="s">
        <v>650</v>
      </c>
      <c r="C148" s="1096" t="s">
        <v>651</v>
      </c>
      <c r="D148" s="1009"/>
      <c r="E148" s="1009"/>
      <c r="F148" s="1009"/>
      <c r="G148" s="1009"/>
      <c r="H148" s="1009"/>
      <c r="I148" s="1010"/>
      <c r="J148" s="708">
        <f>J139</f>
        <v>279.49309333333338</v>
      </c>
      <c r="K148" s="709"/>
      <c r="L148" s="590"/>
      <c r="M148" s="590"/>
      <c r="N148" s="590"/>
      <c r="O148" s="590"/>
      <c r="P148" s="590"/>
      <c r="Q148" s="590"/>
      <c r="R148" s="590"/>
      <c r="S148" s="590"/>
      <c r="T148" s="590"/>
      <c r="U148" s="590"/>
      <c r="V148" s="590"/>
      <c r="W148" s="590"/>
      <c r="X148" s="590"/>
      <c r="Y148" s="590"/>
      <c r="Z148" s="590"/>
    </row>
    <row r="149" spans="1:26" ht="24" customHeight="1">
      <c r="A149" s="574"/>
      <c r="B149" s="604" t="s">
        <v>664</v>
      </c>
      <c r="C149" s="1096" t="s">
        <v>660</v>
      </c>
      <c r="D149" s="1009"/>
      <c r="E149" s="1009"/>
      <c r="F149" s="1009"/>
      <c r="G149" s="1009"/>
      <c r="H149" s="1009"/>
      <c r="I149" s="1010"/>
      <c r="J149" s="708">
        <f>J144</f>
        <v>0</v>
      </c>
      <c r="K149" s="709"/>
      <c r="L149" s="590"/>
      <c r="M149" s="590"/>
      <c r="N149" s="590"/>
      <c r="O149" s="590"/>
      <c r="P149" s="590"/>
      <c r="Q149" s="590"/>
      <c r="R149" s="590"/>
      <c r="S149" s="590"/>
      <c r="T149" s="590"/>
      <c r="U149" s="590"/>
      <c r="V149" s="590"/>
      <c r="W149" s="590"/>
      <c r="X149" s="590"/>
      <c r="Y149" s="590"/>
      <c r="Z149" s="590"/>
    </row>
    <row r="150" spans="1:26" ht="24" customHeight="1">
      <c r="A150" s="574"/>
      <c r="B150" s="1160" t="s">
        <v>594</v>
      </c>
      <c r="C150" s="1009"/>
      <c r="D150" s="1009"/>
      <c r="E150" s="1009"/>
      <c r="F150" s="1009"/>
      <c r="G150" s="1009"/>
      <c r="H150" s="1009"/>
      <c r="I150" s="1010"/>
      <c r="J150" s="710">
        <f>SUM(J148+J149)</f>
        <v>279.49309333333338</v>
      </c>
      <c r="K150" s="709"/>
      <c r="L150" s="590"/>
      <c r="M150" s="590"/>
      <c r="N150" s="590"/>
      <c r="O150" s="590"/>
      <c r="P150" s="590"/>
      <c r="Q150" s="590"/>
      <c r="R150" s="590"/>
      <c r="S150" s="590"/>
      <c r="T150" s="590"/>
      <c r="U150" s="590"/>
      <c r="V150" s="590"/>
      <c r="W150" s="590"/>
      <c r="X150" s="590"/>
      <c r="Y150" s="590"/>
      <c r="Z150" s="590"/>
    </row>
    <row r="151" spans="1:26" ht="9" customHeight="1">
      <c r="A151" s="574"/>
      <c r="B151" s="1095"/>
      <c r="C151" s="1009"/>
      <c r="D151" s="1009"/>
      <c r="E151" s="1009"/>
      <c r="F151" s="1009"/>
      <c r="G151" s="1009"/>
      <c r="H151" s="1009"/>
      <c r="I151" s="1009"/>
      <c r="J151" s="1010"/>
      <c r="K151" s="654"/>
      <c r="L151" s="590"/>
      <c r="M151" s="590"/>
      <c r="N151" s="590"/>
      <c r="O151" s="590"/>
      <c r="P151" s="590"/>
      <c r="Q151" s="590"/>
      <c r="R151" s="590"/>
      <c r="S151" s="590"/>
      <c r="T151" s="590"/>
      <c r="U151" s="590"/>
      <c r="V151" s="590"/>
      <c r="W151" s="590"/>
      <c r="X151" s="590"/>
      <c r="Y151" s="590"/>
      <c r="Z151" s="590"/>
    </row>
    <row r="152" spans="1:26" ht="15.75" customHeight="1">
      <c r="A152" s="574"/>
      <c r="B152" s="1069" t="s">
        <v>665</v>
      </c>
      <c r="C152" s="1009"/>
      <c r="D152" s="1009"/>
      <c r="E152" s="1009"/>
      <c r="F152" s="1009"/>
      <c r="G152" s="1009"/>
      <c r="H152" s="1009"/>
      <c r="I152" s="1009"/>
      <c r="J152" s="1010"/>
      <c r="K152" s="594"/>
      <c r="L152" s="590"/>
      <c r="M152" s="590"/>
      <c r="N152" s="590"/>
      <c r="O152" s="590"/>
      <c r="P152" s="590"/>
      <c r="Q152" s="590"/>
      <c r="R152" s="590"/>
      <c r="S152" s="590"/>
      <c r="T152" s="590"/>
      <c r="U152" s="590"/>
      <c r="V152" s="590"/>
      <c r="W152" s="590"/>
      <c r="X152" s="590"/>
      <c r="Y152" s="590"/>
      <c r="Z152" s="590"/>
    </row>
    <row r="153" spans="1:26" ht="15.75" customHeight="1">
      <c r="A153" s="574"/>
      <c r="B153" s="669">
        <v>3</v>
      </c>
      <c r="C153" s="1083" t="s">
        <v>666</v>
      </c>
      <c r="D153" s="1009"/>
      <c r="E153" s="1009"/>
      <c r="F153" s="1009"/>
      <c r="G153" s="1009"/>
      <c r="H153" s="1009"/>
      <c r="I153" s="1010"/>
      <c r="J153" s="669" t="s">
        <v>591</v>
      </c>
      <c r="K153" s="601"/>
      <c r="L153" s="590"/>
      <c r="M153" s="590"/>
      <c r="N153" s="590"/>
      <c r="O153" s="590"/>
      <c r="P153" s="590"/>
      <c r="Q153" s="590"/>
      <c r="R153" s="590"/>
      <c r="S153" s="590"/>
      <c r="T153" s="590"/>
      <c r="U153" s="590"/>
      <c r="V153" s="590"/>
      <c r="W153" s="590"/>
      <c r="X153" s="590"/>
      <c r="Y153" s="590"/>
      <c r="Z153" s="590"/>
    </row>
    <row r="154" spans="1:26" ht="18" customHeight="1">
      <c r="A154" s="574"/>
      <c r="B154" s="671" t="s">
        <v>514</v>
      </c>
      <c r="C154" s="1069" t="s">
        <v>667</v>
      </c>
      <c r="D154" s="1009"/>
      <c r="E154" s="1009"/>
      <c r="F154" s="1009"/>
      <c r="G154" s="1009"/>
      <c r="H154" s="1009"/>
      <c r="I154" s="1010"/>
      <c r="J154" s="711">
        <f>'Uniformes - EPIs_TODOS'!E85</f>
        <v>116.70902777777776</v>
      </c>
      <c r="K154" s="653"/>
      <c r="L154" s="590"/>
      <c r="M154" s="590"/>
      <c r="N154" s="590"/>
      <c r="O154" s="590"/>
      <c r="P154" s="590"/>
      <c r="Q154" s="590"/>
      <c r="R154" s="590"/>
      <c r="S154" s="590"/>
      <c r="T154" s="590"/>
      <c r="U154" s="590"/>
      <c r="V154" s="590"/>
      <c r="W154" s="590"/>
      <c r="X154" s="590"/>
      <c r="Y154" s="590"/>
      <c r="Z154" s="590"/>
    </row>
    <row r="155" spans="1:26" ht="18" customHeight="1">
      <c r="A155" s="574"/>
      <c r="B155" s="671" t="s">
        <v>516</v>
      </c>
      <c r="C155" s="1069" t="s">
        <v>666</v>
      </c>
      <c r="D155" s="1009"/>
      <c r="E155" s="1009"/>
      <c r="F155" s="1009"/>
      <c r="G155" s="1009"/>
      <c r="H155" s="1009"/>
      <c r="I155" s="1010"/>
      <c r="J155" s="686">
        <f>'Uniformes - EPIs_TODOS'!E69</f>
        <v>174.59983333333329</v>
      </c>
      <c r="K155" s="644"/>
      <c r="L155" s="590"/>
      <c r="M155" s="590"/>
      <c r="N155" s="590"/>
      <c r="O155" s="590"/>
      <c r="P155" s="590"/>
      <c r="Q155" s="590"/>
      <c r="R155" s="590"/>
      <c r="S155" s="590"/>
      <c r="T155" s="590"/>
      <c r="U155" s="590"/>
      <c r="V155" s="590"/>
      <c r="W155" s="590"/>
      <c r="X155" s="590"/>
      <c r="Y155" s="590"/>
      <c r="Z155" s="590"/>
    </row>
    <row r="156" spans="1:26" ht="18" customHeight="1">
      <c r="A156" s="574"/>
      <c r="B156" s="671" t="s">
        <v>518</v>
      </c>
      <c r="C156" s="1069" t="s">
        <v>668</v>
      </c>
      <c r="D156" s="1009"/>
      <c r="E156" s="1009"/>
      <c r="F156" s="1009"/>
      <c r="G156" s="1009"/>
      <c r="H156" s="1009"/>
      <c r="I156" s="1010"/>
      <c r="J156" s="686" t="s">
        <v>669</v>
      </c>
      <c r="K156" s="644"/>
      <c r="L156" s="590"/>
      <c r="M156" s="590"/>
      <c r="N156" s="590"/>
      <c r="O156" s="590"/>
      <c r="P156" s="590"/>
      <c r="Q156" s="590"/>
      <c r="R156" s="590"/>
      <c r="S156" s="590"/>
      <c r="T156" s="590"/>
      <c r="U156" s="590"/>
      <c r="V156" s="590"/>
      <c r="W156" s="590"/>
      <c r="X156" s="590"/>
      <c r="Y156" s="590"/>
      <c r="Z156" s="590"/>
    </row>
    <row r="157" spans="1:26" ht="19.5" customHeight="1">
      <c r="A157" s="574"/>
      <c r="B157" s="1089" t="s">
        <v>670</v>
      </c>
      <c r="C157" s="1009"/>
      <c r="D157" s="1009"/>
      <c r="E157" s="1009"/>
      <c r="F157" s="1009"/>
      <c r="G157" s="1009"/>
      <c r="H157" s="1009"/>
      <c r="I157" s="1010"/>
      <c r="J157" s="643">
        <f>ROUND(SUM(J154:J156),2)</f>
        <v>291.31</v>
      </c>
      <c r="K157" s="644"/>
      <c r="L157" s="590"/>
      <c r="M157" s="590"/>
      <c r="N157" s="590"/>
      <c r="O157" s="590"/>
      <c r="P157" s="590"/>
      <c r="Q157" s="590"/>
      <c r="R157" s="590"/>
      <c r="S157" s="590"/>
      <c r="T157" s="590"/>
      <c r="U157" s="590"/>
      <c r="V157" s="590"/>
      <c r="W157" s="590"/>
      <c r="X157" s="590"/>
      <c r="Y157" s="590"/>
      <c r="Z157" s="590"/>
    </row>
    <row r="158" spans="1:26" ht="9" customHeight="1">
      <c r="A158" s="574"/>
      <c r="B158" s="1122"/>
      <c r="C158" s="1009"/>
      <c r="D158" s="1009"/>
      <c r="E158" s="1009"/>
      <c r="F158" s="1009"/>
      <c r="G158" s="1009"/>
      <c r="H158" s="1009"/>
      <c r="I158" s="1009"/>
      <c r="J158" s="1010"/>
      <c r="K158" s="601"/>
      <c r="L158" s="590"/>
      <c r="M158" s="590"/>
      <c r="N158" s="590"/>
      <c r="O158" s="590"/>
      <c r="P158" s="590"/>
      <c r="Q158" s="590"/>
      <c r="R158" s="590"/>
      <c r="S158" s="590"/>
      <c r="T158" s="590"/>
      <c r="U158" s="590"/>
      <c r="V158" s="590"/>
      <c r="W158" s="590"/>
      <c r="X158" s="590"/>
      <c r="Y158" s="590"/>
      <c r="Z158" s="590"/>
    </row>
    <row r="159" spans="1:26" ht="27.75" customHeight="1">
      <c r="A159" s="574"/>
      <c r="B159" s="1166" t="s">
        <v>671</v>
      </c>
      <c r="C159" s="1009"/>
      <c r="D159" s="1009"/>
      <c r="E159" s="1009"/>
      <c r="F159" s="1009"/>
      <c r="G159" s="1009"/>
      <c r="H159" s="1009"/>
      <c r="I159" s="1009"/>
      <c r="J159" s="1010"/>
      <c r="K159" s="712"/>
      <c r="L159" s="590"/>
      <c r="M159" s="590"/>
      <c r="N159" s="590"/>
      <c r="O159" s="590"/>
      <c r="P159" s="590"/>
      <c r="Q159" s="590"/>
      <c r="R159" s="590"/>
      <c r="S159" s="590"/>
      <c r="T159" s="590"/>
      <c r="U159" s="590"/>
      <c r="V159" s="590"/>
      <c r="W159" s="590"/>
      <c r="X159" s="590"/>
      <c r="Y159" s="590"/>
      <c r="Z159" s="590"/>
    </row>
    <row r="160" spans="1:26" ht="9" customHeight="1">
      <c r="A160" s="574"/>
      <c r="B160" s="713"/>
      <c r="C160" s="714"/>
      <c r="D160" s="714"/>
      <c r="E160" s="714"/>
      <c r="F160" s="714"/>
      <c r="G160" s="714"/>
      <c r="H160" s="714"/>
      <c r="I160" s="714"/>
      <c r="J160" s="715"/>
      <c r="K160" s="329"/>
      <c r="L160" s="590"/>
      <c r="M160" s="590"/>
      <c r="N160" s="590"/>
      <c r="O160" s="590"/>
      <c r="P160" s="590"/>
      <c r="Q160" s="590"/>
      <c r="R160" s="590"/>
      <c r="S160" s="590"/>
      <c r="T160" s="590"/>
      <c r="U160" s="590"/>
      <c r="V160" s="590"/>
      <c r="W160" s="590"/>
      <c r="X160" s="590"/>
      <c r="Y160" s="590"/>
      <c r="Z160" s="590"/>
    </row>
    <row r="161" spans="1:26" ht="24" customHeight="1">
      <c r="A161" s="574"/>
      <c r="B161" s="1109" t="s">
        <v>672</v>
      </c>
      <c r="C161" s="1009"/>
      <c r="D161" s="1009"/>
      <c r="E161" s="1009"/>
      <c r="F161" s="1009"/>
      <c r="G161" s="1009"/>
      <c r="H161" s="1009"/>
      <c r="I161" s="1009"/>
      <c r="J161" s="1010"/>
      <c r="K161" s="691"/>
      <c r="L161" s="590"/>
      <c r="M161" s="590"/>
      <c r="N161" s="590"/>
      <c r="O161" s="590"/>
      <c r="P161" s="590"/>
      <c r="Q161" s="590"/>
      <c r="R161" s="590"/>
      <c r="S161" s="590"/>
      <c r="T161" s="590"/>
      <c r="U161" s="590"/>
      <c r="V161" s="590"/>
      <c r="W161" s="590"/>
      <c r="X161" s="590"/>
      <c r="Y161" s="590"/>
      <c r="Z161" s="590"/>
    </row>
    <row r="162" spans="1:26" ht="27.75" customHeight="1">
      <c r="A162" s="574"/>
      <c r="B162" s="669">
        <v>6</v>
      </c>
      <c r="C162" s="1162" t="s">
        <v>673</v>
      </c>
      <c r="D162" s="1009"/>
      <c r="E162" s="1009"/>
      <c r="F162" s="1009"/>
      <c r="G162" s="1009"/>
      <c r="H162" s="1010"/>
      <c r="I162" s="670" t="s">
        <v>556</v>
      </c>
      <c r="J162" s="716" t="s">
        <v>599</v>
      </c>
      <c r="K162" s="717"/>
      <c r="L162" s="590"/>
      <c r="M162" s="590"/>
      <c r="N162" s="590"/>
      <c r="O162" s="590"/>
      <c r="P162" s="590"/>
      <c r="Q162" s="590"/>
      <c r="R162" s="590"/>
      <c r="S162" s="590"/>
      <c r="T162" s="590"/>
      <c r="U162" s="590"/>
      <c r="V162" s="590"/>
      <c r="W162" s="590"/>
      <c r="X162" s="590"/>
      <c r="Y162" s="590"/>
      <c r="Z162" s="590"/>
    </row>
    <row r="163" spans="1:26" ht="54.75" customHeight="1">
      <c r="A163" s="574"/>
      <c r="B163" s="1125" t="s">
        <v>674</v>
      </c>
      <c r="C163" s="1009"/>
      <c r="D163" s="1009"/>
      <c r="E163" s="1009"/>
      <c r="F163" s="1009"/>
      <c r="G163" s="1009"/>
      <c r="H163" s="1010"/>
      <c r="I163" s="718" t="s">
        <v>527</v>
      </c>
      <c r="J163" s="719">
        <f>SUM(J63+J115+J124+J150+J157)</f>
        <v>4103.5140024242428</v>
      </c>
      <c r="K163" s="720"/>
      <c r="L163" s="590"/>
      <c r="M163" s="590"/>
      <c r="N163" s="590"/>
      <c r="O163" s="590"/>
      <c r="P163" s="590"/>
      <c r="Q163" s="590"/>
      <c r="R163" s="590"/>
      <c r="S163" s="590"/>
      <c r="T163" s="590"/>
      <c r="U163" s="590"/>
      <c r="V163" s="590"/>
      <c r="W163" s="590"/>
      <c r="X163" s="590"/>
      <c r="Y163" s="590"/>
      <c r="Z163" s="590"/>
    </row>
    <row r="164" spans="1:26" ht="25.5" customHeight="1">
      <c r="A164" s="574"/>
      <c r="B164" s="671" t="s">
        <v>514</v>
      </c>
      <c r="C164" s="1109" t="s">
        <v>675</v>
      </c>
      <c r="D164" s="1009"/>
      <c r="E164" s="1009"/>
      <c r="F164" s="1009"/>
      <c r="G164" s="1009"/>
      <c r="H164" s="1010"/>
      <c r="I164" s="659">
        <f>'1-ABA-DE-CARREGAMENTO'!C85</f>
        <v>0.06</v>
      </c>
      <c r="J164" s="660">
        <f>ROUND(I164*J163,2)</f>
        <v>246.21</v>
      </c>
      <c r="K164" s="653"/>
      <c r="L164" s="590"/>
      <c r="M164" s="590"/>
      <c r="N164" s="590"/>
      <c r="O164" s="590"/>
      <c r="P164" s="590"/>
      <c r="Q164" s="590"/>
      <c r="R164" s="590"/>
      <c r="S164" s="590"/>
      <c r="T164" s="590"/>
      <c r="U164" s="590"/>
      <c r="V164" s="590"/>
      <c r="W164" s="590"/>
      <c r="X164" s="590"/>
      <c r="Y164" s="590"/>
      <c r="Z164" s="590"/>
    </row>
    <row r="165" spans="1:26" ht="52.5" customHeight="1">
      <c r="A165" s="574"/>
      <c r="B165" s="1125" t="s">
        <v>676</v>
      </c>
      <c r="C165" s="1009"/>
      <c r="D165" s="1009"/>
      <c r="E165" s="1009"/>
      <c r="F165" s="1009"/>
      <c r="G165" s="1009"/>
      <c r="H165" s="1010"/>
      <c r="I165" s="721" t="s">
        <v>527</v>
      </c>
      <c r="J165" s="719">
        <f>SUM(J63+J115+J124+J150+J157+J164)</f>
        <v>4349.7240024242428</v>
      </c>
      <c r="K165" s="720"/>
      <c r="L165" s="590"/>
      <c r="M165" s="590"/>
      <c r="N165" s="590"/>
      <c r="O165" s="590"/>
      <c r="P165" s="590"/>
      <c r="Q165" s="590"/>
      <c r="R165" s="590"/>
      <c r="S165" s="590"/>
      <c r="T165" s="590"/>
      <c r="U165" s="590"/>
      <c r="V165" s="590"/>
      <c r="W165" s="590"/>
      <c r="X165" s="590"/>
      <c r="Y165" s="590"/>
      <c r="Z165" s="590"/>
    </row>
    <row r="166" spans="1:26" ht="19.5" customHeight="1">
      <c r="A166" s="574"/>
      <c r="B166" s="671" t="s">
        <v>516</v>
      </c>
      <c r="C166" s="1109" t="s">
        <v>312</v>
      </c>
      <c r="D166" s="1009"/>
      <c r="E166" s="1009"/>
      <c r="F166" s="1009"/>
      <c r="G166" s="1009"/>
      <c r="H166" s="1010"/>
      <c r="I166" s="659">
        <f>'1-ABA-DE-CARREGAMENTO'!C86</f>
        <v>0.06</v>
      </c>
      <c r="J166" s="660">
        <f>ROUND(I166*J165,2)</f>
        <v>260.98</v>
      </c>
      <c r="K166" s="653"/>
      <c r="L166" s="590"/>
      <c r="M166" s="590"/>
      <c r="N166" s="590"/>
      <c r="O166" s="590"/>
      <c r="P166" s="590"/>
      <c r="Q166" s="590"/>
      <c r="R166" s="590"/>
      <c r="S166" s="590"/>
      <c r="T166" s="590"/>
      <c r="U166" s="590"/>
      <c r="V166" s="590"/>
      <c r="W166" s="590"/>
      <c r="X166" s="590"/>
      <c r="Y166" s="590"/>
      <c r="Z166" s="590"/>
    </row>
    <row r="167" spans="1:26" ht="49.5" customHeight="1">
      <c r="A167" s="574"/>
      <c r="B167" s="1125" t="s">
        <v>677</v>
      </c>
      <c r="C167" s="1009"/>
      <c r="D167" s="1009"/>
      <c r="E167" s="1009"/>
      <c r="F167" s="1009"/>
      <c r="G167" s="1009"/>
      <c r="H167" s="1010"/>
      <c r="I167" s="721" t="s">
        <v>527</v>
      </c>
      <c r="J167" s="719">
        <f>SUM(J163+J164+J166)</f>
        <v>4610.7040024242433</v>
      </c>
      <c r="K167" s="720"/>
      <c r="L167" s="590"/>
      <c r="M167" s="590"/>
      <c r="N167" s="590"/>
      <c r="O167" s="590"/>
      <c r="P167" s="590"/>
      <c r="Q167" s="590"/>
      <c r="R167" s="590"/>
      <c r="S167" s="590"/>
      <c r="T167" s="590"/>
      <c r="U167" s="590"/>
      <c r="V167" s="590"/>
      <c r="W167" s="590"/>
      <c r="X167" s="590"/>
      <c r="Y167" s="590"/>
      <c r="Z167" s="590"/>
    </row>
    <row r="168" spans="1:26" ht="18.75" customHeight="1">
      <c r="A168" s="574"/>
      <c r="B168" s="671" t="s">
        <v>518</v>
      </c>
      <c r="C168" s="1109" t="s">
        <v>678</v>
      </c>
      <c r="D168" s="1009"/>
      <c r="E168" s="1009"/>
      <c r="F168" s="1009"/>
      <c r="G168" s="1009"/>
      <c r="H168" s="1010"/>
      <c r="I168" s="628" t="s">
        <v>527</v>
      </c>
      <c r="J168" s="638" t="s">
        <v>527</v>
      </c>
      <c r="K168" s="639"/>
      <c r="L168" s="590"/>
      <c r="M168" s="590"/>
      <c r="N168" s="590"/>
      <c r="O168" s="590"/>
      <c r="P168" s="590"/>
      <c r="Q168" s="590"/>
      <c r="R168" s="590"/>
      <c r="S168" s="590"/>
      <c r="T168" s="590"/>
      <c r="U168" s="590"/>
      <c r="V168" s="590"/>
      <c r="W168" s="590"/>
      <c r="X168" s="590"/>
      <c r="Y168" s="590"/>
      <c r="Z168" s="590"/>
    </row>
    <row r="169" spans="1:26" ht="30" customHeight="1">
      <c r="A169" s="574"/>
      <c r="B169" s="671"/>
      <c r="C169" s="1109" t="s">
        <v>679</v>
      </c>
      <c r="D169" s="1009"/>
      <c r="E169" s="1009"/>
      <c r="F169" s="1009"/>
      <c r="G169" s="1009"/>
      <c r="H169" s="1010"/>
      <c r="I169" s="628" t="s">
        <v>527</v>
      </c>
      <c r="J169" s="638" t="s">
        <v>527</v>
      </c>
      <c r="K169" s="639"/>
      <c r="L169" s="590"/>
      <c r="M169" s="590"/>
      <c r="N169" s="590"/>
      <c r="O169" s="590"/>
      <c r="P169" s="590"/>
      <c r="Q169" s="590"/>
      <c r="R169" s="590"/>
      <c r="S169" s="590"/>
      <c r="T169" s="590"/>
      <c r="U169" s="590"/>
      <c r="V169" s="590"/>
      <c r="W169" s="590"/>
      <c r="X169" s="590"/>
      <c r="Y169" s="590"/>
      <c r="Z169" s="590"/>
    </row>
    <row r="170" spans="1:26" ht="23.25" customHeight="1">
      <c r="A170" s="574"/>
      <c r="B170" s="671"/>
      <c r="C170" s="1099" t="s">
        <v>680</v>
      </c>
      <c r="D170" s="1009"/>
      <c r="E170" s="1009"/>
      <c r="F170" s="1009"/>
      <c r="G170" s="1009"/>
      <c r="H170" s="1010"/>
      <c r="I170" s="627">
        <f>'1-ABA-DE-CARREGAMENTO'!E28</f>
        <v>1.6500000000000001E-2</v>
      </c>
      <c r="J170" s="722">
        <f t="shared" ref="J170:J171" si="3">ROUND(($J$167/(1-$I$179))*I170,2)</f>
        <v>87.7</v>
      </c>
      <c r="K170" s="723"/>
      <c r="L170" s="590"/>
      <c r="M170" s="590"/>
      <c r="N170" s="590"/>
      <c r="O170" s="590"/>
      <c r="P170" s="590"/>
      <c r="Q170" s="590"/>
      <c r="R170" s="590"/>
      <c r="S170" s="590"/>
      <c r="T170" s="590"/>
      <c r="U170" s="590"/>
      <c r="V170" s="590"/>
      <c r="W170" s="590"/>
      <c r="X170" s="590"/>
      <c r="Y170" s="590"/>
      <c r="Z170" s="590"/>
    </row>
    <row r="171" spans="1:26" ht="23.25" customHeight="1">
      <c r="A171" s="574"/>
      <c r="B171" s="671"/>
      <c r="C171" s="1099" t="s">
        <v>681</v>
      </c>
      <c r="D171" s="1009"/>
      <c r="E171" s="1009"/>
      <c r="F171" s="1009"/>
      <c r="G171" s="1009"/>
      <c r="H171" s="1010"/>
      <c r="I171" s="627">
        <f>'1-ABA-DE-CARREGAMENTO'!F28</f>
        <v>7.5999999999999998E-2</v>
      </c>
      <c r="J171" s="722">
        <f t="shared" si="3"/>
        <v>403.93</v>
      </c>
      <c r="K171" s="723"/>
      <c r="L171" s="590"/>
      <c r="M171" s="590"/>
      <c r="N171" s="590"/>
      <c r="O171" s="590"/>
      <c r="P171" s="590"/>
      <c r="Q171" s="590"/>
      <c r="R171" s="590"/>
      <c r="S171" s="590"/>
      <c r="T171" s="590"/>
      <c r="U171" s="590"/>
      <c r="V171" s="590"/>
      <c r="W171" s="590"/>
      <c r="X171" s="590"/>
      <c r="Y171" s="590"/>
      <c r="Z171" s="590"/>
    </row>
    <row r="172" spans="1:26" ht="29.25" customHeight="1">
      <c r="A172" s="574"/>
      <c r="B172" s="671"/>
      <c r="C172" s="1069" t="s">
        <v>682</v>
      </c>
      <c r="D172" s="1009"/>
      <c r="E172" s="1009"/>
      <c r="F172" s="1009"/>
      <c r="G172" s="1009"/>
      <c r="H172" s="1010"/>
      <c r="I172" s="627" t="s">
        <v>527</v>
      </c>
      <c r="J172" s="638" t="s">
        <v>527</v>
      </c>
      <c r="K172" s="639"/>
      <c r="L172" s="590"/>
      <c r="M172" s="590"/>
      <c r="N172" s="590"/>
      <c r="O172" s="590"/>
      <c r="P172" s="590"/>
      <c r="Q172" s="590"/>
      <c r="R172" s="590"/>
      <c r="S172" s="590"/>
      <c r="T172" s="590"/>
      <c r="U172" s="590"/>
      <c r="V172" s="590"/>
      <c r="W172" s="590"/>
      <c r="X172" s="590"/>
      <c r="Y172" s="590"/>
      <c r="Z172" s="590"/>
    </row>
    <row r="173" spans="1:26" ht="29.25" customHeight="1">
      <c r="A173" s="574"/>
      <c r="B173" s="671"/>
      <c r="C173" s="1069" t="s">
        <v>683</v>
      </c>
      <c r="D173" s="1009"/>
      <c r="E173" s="1009"/>
      <c r="F173" s="1009"/>
      <c r="G173" s="1009"/>
      <c r="H173" s="1010"/>
      <c r="I173" s="627" t="s">
        <v>527</v>
      </c>
      <c r="J173" s="638" t="s">
        <v>527</v>
      </c>
      <c r="K173" s="639"/>
      <c r="L173" s="590"/>
      <c r="M173" s="590"/>
      <c r="N173" s="590"/>
      <c r="O173" s="590"/>
      <c r="P173" s="590"/>
      <c r="Q173" s="590"/>
      <c r="R173" s="590"/>
      <c r="S173" s="590"/>
      <c r="T173" s="590"/>
      <c r="U173" s="590"/>
      <c r="V173" s="590"/>
      <c r="W173" s="590"/>
      <c r="X173" s="590"/>
      <c r="Y173" s="590"/>
      <c r="Z173" s="590"/>
    </row>
    <row r="174" spans="1:26" ht="15.75" customHeight="1">
      <c r="A174" s="574"/>
      <c r="B174" s="671"/>
      <c r="C174" s="1069" t="s">
        <v>684</v>
      </c>
      <c r="D174" s="1009"/>
      <c r="E174" s="1009"/>
      <c r="F174" s="1009"/>
      <c r="G174" s="1009"/>
      <c r="H174" s="1009"/>
      <c r="I174" s="724" t="s">
        <v>527</v>
      </c>
      <c r="J174" s="725" t="s">
        <v>527</v>
      </c>
      <c r="K174" s="726"/>
      <c r="L174" s="590"/>
      <c r="M174" s="590"/>
      <c r="N174" s="590"/>
      <c r="O174" s="590"/>
      <c r="P174" s="590"/>
      <c r="Q174" s="590"/>
      <c r="R174" s="590"/>
      <c r="S174" s="590"/>
      <c r="T174" s="590"/>
      <c r="U174" s="590"/>
      <c r="V174" s="590"/>
      <c r="W174" s="590"/>
      <c r="X174" s="590"/>
      <c r="Y174" s="590"/>
      <c r="Z174" s="590"/>
    </row>
    <row r="175" spans="1:26" ht="15.75" customHeight="1">
      <c r="A175" s="574"/>
      <c r="B175" s="671"/>
      <c r="C175" s="1069" t="s">
        <v>685</v>
      </c>
      <c r="D175" s="1009"/>
      <c r="E175" s="1009"/>
      <c r="F175" s="1009"/>
      <c r="G175" s="1009"/>
      <c r="H175" s="1009"/>
      <c r="I175" s="724" t="s">
        <v>527</v>
      </c>
      <c r="J175" s="725" t="s">
        <v>527</v>
      </c>
      <c r="K175" s="726"/>
      <c r="L175" s="590"/>
      <c r="M175" s="590"/>
      <c r="N175" s="590"/>
      <c r="O175" s="590"/>
      <c r="P175" s="590"/>
      <c r="Q175" s="590"/>
      <c r="R175" s="590"/>
      <c r="S175" s="590"/>
      <c r="T175" s="590"/>
      <c r="U175" s="590"/>
      <c r="V175" s="590"/>
      <c r="W175" s="590"/>
      <c r="X175" s="590"/>
      <c r="Y175" s="590"/>
      <c r="Z175" s="590"/>
    </row>
    <row r="176" spans="1:26" ht="15.75" customHeight="1">
      <c r="A176" s="574"/>
      <c r="B176" s="671"/>
      <c r="C176" s="1069" t="s">
        <v>686</v>
      </c>
      <c r="D176" s="1009"/>
      <c r="E176" s="1009"/>
      <c r="F176" s="1009"/>
      <c r="G176" s="1009"/>
      <c r="H176" s="1010"/>
      <c r="I176" s="727">
        <f>'1-ABA-DE-CARREGAMENTO'!D87</f>
        <v>0.04</v>
      </c>
      <c r="J176" s="722">
        <f>ROUND(($J$167/(1-$I$179))*I176,2)</f>
        <v>212.6</v>
      </c>
      <c r="K176" s="723"/>
      <c r="L176" s="590"/>
      <c r="M176" s="590"/>
      <c r="N176" s="590"/>
      <c r="O176" s="590"/>
      <c r="P176" s="590"/>
      <c r="Q176" s="590"/>
      <c r="R176" s="590"/>
      <c r="S176" s="590"/>
      <c r="T176" s="590"/>
      <c r="U176" s="590"/>
      <c r="V176" s="590"/>
      <c r="W176" s="590"/>
      <c r="X176" s="590"/>
      <c r="Y176" s="590"/>
      <c r="Z176" s="590"/>
    </row>
    <row r="177" spans="1:26" ht="15.75" customHeight="1">
      <c r="A177" s="574"/>
      <c r="B177" s="1089" t="s">
        <v>641</v>
      </c>
      <c r="C177" s="1009"/>
      <c r="D177" s="1009"/>
      <c r="E177" s="1009"/>
      <c r="F177" s="1009"/>
      <c r="G177" s="1009"/>
      <c r="H177" s="1009"/>
      <c r="I177" s="1010"/>
      <c r="J177" s="652">
        <f>SUM(J164+J166+J170+J171+J176)</f>
        <v>1211.42</v>
      </c>
      <c r="K177" s="653"/>
      <c r="L177" s="590"/>
      <c r="M177" s="590"/>
      <c r="N177" s="590"/>
      <c r="O177" s="590"/>
      <c r="P177" s="590"/>
      <c r="Q177" s="590"/>
      <c r="R177" s="590"/>
      <c r="S177" s="590"/>
      <c r="T177" s="590"/>
      <c r="U177" s="590"/>
      <c r="V177" s="590"/>
      <c r="W177" s="590"/>
      <c r="X177" s="590"/>
      <c r="Y177" s="590"/>
      <c r="Z177" s="590"/>
    </row>
    <row r="178" spans="1:26" ht="11.25" customHeight="1">
      <c r="A178" s="574"/>
      <c r="B178" s="1085"/>
      <c r="C178" s="1009"/>
      <c r="D178" s="1009"/>
      <c r="E178" s="1009"/>
      <c r="F178" s="1009"/>
      <c r="G178" s="1009"/>
      <c r="H178" s="1009"/>
      <c r="I178" s="1009"/>
      <c r="J178" s="1010"/>
      <c r="K178" s="693"/>
      <c r="L178" s="590"/>
      <c r="M178" s="590"/>
      <c r="N178" s="590"/>
      <c r="O178" s="590"/>
      <c r="P178" s="590"/>
      <c r="Q178" s="590"/>
      <c r="R178" s="590"/>
      <c r="S178" s="590"/>
      <c r="T178" s="590"/>
      <c r="U178" s="590"/>
      <c r="V178" s="590"/>
      <c r="W178" s="590"/>
      <c r="X178" s="590"/>
      <c r="Y178" s="590"/>
      <c r="Z178" s="590"/>
    </row>
    <row r="179" spans="1:26" ht="15.75" customHeight="1">
      <c r="A179" s="574"/>
      <c r="B179" s="1100" t="s">
        <v>687</v>
      </c>
      <c r="C179" s="1009"/>
      <c r="D179" s="1009"/>
      <c r="E179" s="1009"/>
      <c r="F179" s="1009"/>
      <c r="G179" s="1009"/>
      <c r="H179" s="1010"/>
      <c r="I179" s="728">
        <f t="shared" ref="I179:J179" si="4">SUM(I170:I176)</f>
        <v>0.13250000000000001</v>
      </c>
      <c r="J179" s="719">
        <f t="shared" si="4"/>
        <v>704.23</v>
      </c>
      <c r="K179" s="720"/>
      <c r="L179" s="590"/>
      <c r="M179" s="590"/>
      <c r="N179" s="590"/>
      <c r="O179" s="590"/>
      <c r="P179" s="590"/>
      <c r="Q179" s="590"/>
      <c r="R179" s="590"/>
      <c r="S179" s="590"/>
      <c r="T179" s="590"/>
      <c r="U179" s="590"/>
      <c r="V179" s="590"/>
      <c r="W179" s="590"/>
      <c r="X179" s="590"/>
      <c r="Y179" s="590"/>
      <c r="Z179" s="590"/>
    </row>
    <row r="180" spans="1:26" ht="15.75" customHeight="1">
      <c r="A180" s="574"/>
      <c r="B180" s="1101" t="s">
        <v>688</v>
      </c>
      <c r="C180" s="1023"/>
      <c r="D180" s="1104" t="s">
        <v>689</v>
      </c>
      <c r="E180" s="1023"/>
      <c r="F180" s="1023"/>
      <c r="G180" s="1023"/>
      <c r="H180" s="1023"/>
      <c r="I180" s="1023"/>
      <c r="J180" s="1040"/>
      <c r="K180" s="729"/>
      <c r="L180" s="590"/>
      <c r="M180" s="590"/>
      <c r="N180" s="590"/>
      <c r="O180" s="590"/>
      <c r="P180" s="590"/>
      <c r="Q180" s="590"/>
      <c r="R180" s="590"/>
      <c r="S180" s="590"/>
      <c r="T180" s="590"/>
      <c r="U180" s="590"/>
      <c r="V180" s="590"/>
      <c r="W180" s="590"/>
      <c r="X180" s="590"/>
      <c r="Y180" s="590"/>
      <c r="Z180" s="590"/>
    </row>
    <row r="181" spans="1:26" ht="15.75" customHeight="1">
      <c r="A181" s="574"/>
      <c r="B181" s="1102"/>
      <c r="C181" s="1023"/>
      <c r="D181" s="1105" t="s">
        <v>690</v>
      </c>
      <c r="E181" s="1023"/>
      <c r="F181" s="1023"/>
      <c r="G181" s="1023"/>
      <c r="H181" s="1023"/>
      <c r="I181" s="1023"/>
      <c r="J181" s="1040"/>
      <c r="K181" s="730"/>
      <c r="L181" s="590"/>
      <c r="M181" s="590"/>
      <c r="N181" s="590"/>
      <c r="O181" s="590"/>
      <c r="P181" s="590"/>
      <c r="Q181" s="590"/>
      <c r="R181" s="590"/>
      <c r="S181" s="590"/>
      <c r="T181" s="590"/>
      <c r="U181" s="590"/>
      <c r="V181" s="590"/>
      <c r="W181" s="590"/>
      <c r="X181" s="590"/>
      <c r="Y181" s="590"/>
      <c r="Z181" s="590"/>
    </row>
    <row r="182" spans="1:26" ht="15.75" customHeight="1">
      <c r="A182" s="574"/>
      <c r="B182" s="1103"/>
      <c r="C182" s="1060"/>
      <c r="D182" s="1106" t="s">
        <v>691</v>
      </c>
      <c r="E182" s="1060"/>
      <c r="F182" s="1060"/>
      <c r="G182" s="1060"/>
      <c r="H182" s="1060"/>
      <c r="I182" s="1060"/>
      <c r="J182" s="1062"/>
      <c r="K182" s="729"/>
      <c r="L182" s="590"/>
      <c r="M182" s="590"/>
      <c r="N182" s="590"/>
      <c r="O182" s="590"/>
      <c r="P182" s="590"/>
      <c r="Q182" s="590"/>
      <c r="R182" s="590"/>
      <c r="S182" s="590"/>
      <c r="T182" s="590"/>
      <c r="U182" s="590"/>
      <c r="V182" s="590"/>
      <c r="W182" s="590"/>
      <c r="X182" s="590"/>
      <c r="Y182" s="590"/>
      <c r="Z182" s="590"/>
    </row>
    <row r="183" spans="1:26" ht="10.5" customHeight="1">
      <c r="A183" s="574"/>
      <c r="B183" s="1107"/>
      <c r="C183" s="1009"/>
      <c r="D183" s="1009"/>
      <c r="E183" s="1009"/>
      <c r="F183" s="1009"/>
      <c r="G183" s="1009"/>
      <c r="H183" s="1009"/>
      <c r="I183" s="1009"/>
      <c r="J183" s="1010"/>
      <c r="K183" s="731"/>
      <c r="L183" s="590"/>
      <c r="M183" s="590"/>
      <c r="N183" s="590"/>
      <c r="O183" s="590"/>
      <c r="P183" s="590"/>
      <c r="Q183" s="590"/>
      <c r="R183" s="590"/>
      <c r="S183" s="590"/>
      <c r="T183" s="590"/>
      <c r="U183" s="590"/>
      <c r="V183" s="590"/>
      <c r="W183" s="590"/>
      <c r="X183" s="590"/>
      <c r="Y183" s="590"/>
      <c r="Z183" s="590"/>
    </row>
    <row r="184" spans="1:26" ht="30" customHeight="1">
      <c r="A184" s="574"/>
      <c r="B184" s="1084" t="s">
        <v>692</v>
      </c>
      <c r="C184" s="1009"/>
      <c r="D184" s="1009"/>
      <c r="E184" s="1009"/>
      <c r="F184" s="1009"/>
      <c r="G184" s="1009"/>
      <c r="H184" s="1009"/>
      <c r="I184" s="1009"/>
      <c r="J184" s="1010"/>
      <c r="K184" s="600"/>
      <c r="L184" s="590"/>
      <c r="M184" s="590"/>
      <c r="N184" s="590"/>
      <c r="O184" s="590"/>
      <c r="P184" s="590"/>
      <c r="Q184" s="590"/>
      <c r="R184" s="590"/>
      <c r="S184" s="590"/>
      <c r="T184" s="590"/>
      <c r="U184" s="590"/>
      <c r="V184" s="590"/>
      <c r="W184" s="590"/>
      <c r="X184" s="590"/>
      <c r="Y184" s="590"/>
      <c r="Z184" s="590"/>
    </row>
    <row r="185" spans="1:26" ht="9.75" customHeight="1">
      <c r="A185" s="574"/>
      <c r="B185" s="1085"/>
      <c r="C185" s="1009"/>
      <c r="D185" s="1009"/>
      <c r="E185" s="1009"/>
      <c r="F185" s="1009"/>
      <c r="G185" s="1009"/>
      <c r="H185" s="1009"/>
      <c r="I185" s="1009"/>
      <c r="J185" s="1010"/>
      <c r="K185" s="693"/>
      <c r="L185" s="590"/>
      <c r="M185" s="590"/>
      <c r="N185" s="590"/>
      <c r="O185" s="590"/>
      <c r="P185" s="590"/>
      <c r="Q185" s="590"/>
      <c r="R185" s="590"/>
      <c r="S185" s="590"/>
      <c r="T185" s="590"/>
      <c r="U185" s="590"/>
      <c r="V185" s="590"/>
      <c r="W185" s="590"/>
      <c r="X185" s="590"/>
      <c r="Y185" s="590"/>
      <c r="Z185" s="590"/>
    </row>
    <row r="186" spans="1:26" ht="15.75" customHeight="1">
      <c r="A186" s="574"/>
      <c r="B186" s="1069" t="s">
        <v>693</v>
      </c>
      <c r="C186" s="1009"/>
      <c r="D186" s="1009"/>
      <c r="E186" s="1009"/>
      <c r="F186" s="1009"/>
      <c r="G186" s="1009"/>
      <c r="H186" s="1009"/>
      <c r="I186" s="1009"/>
      <c r="J186" s="1010"/>
      <c r="K186" s="594"/>
      <c r="L186" s="590"/>
      <c r="M186" s="590"/>
      <c r="N186" s="590"/>
      <c r="O186" s="590"/>
      <c r="P186" s="590"/>
      <c r="Q186" s="590"/>
      <c r="R186" s="590"/>
      <c r="S186" s="590"/>
      <c r="T186" s="590"/>
      <c r="U186" s="590"/>
      <c r="V186" s="590"/>
      <c r="W186" s="590"/>
      <c r="X186" s="590"/>
      <c r="Y186" s="590"/>
      <c r="Z186" s="590"/>
    </row>
    <row r="187" spans="1:26" ht="15.75" customHeight="1">
      <c r="A187" s="574"/>
      <c r="B187" s="1086" t="s">
        <v>694</v>
      </c>
      <c r="C187" s="1009"/>
      <c r="D187" s="1009"/>
      <c r="E187" s="1009"/>
      <c r="F187" s="1009"/>
      <c r="G187" s="1009"/>
      <c r="H187" s="1009"/>
      <c r="I187" s="1010"/>
      <c r="J187" s="670" t="s">
        <v>591</v>
      </c>
      <c r="K187" s="592"/>
      <c r="L187" s="590"/>
      <c r="M187" s="590"/>
      <c r="N187" s="590"/>
      <c r="O187" s="590"/>
      <c r="P187" s="590"/>
      <c r="Q187" s="590"/>
      <c r="R187" s="590"/>
      <c r="S187" s="590"/>
      <c r="T187" s="590"/>
      <c r="U187" s="590"/>
      <c r="V187" s="590"/>
      <c r="W187" s="590"/>
      <c r="X187" s="590"/>
      <c r="Y187" s="590"/>
      <c r="Z187" s="590"/>
    </row>
    <row r="188" spans="1:26" ht="15.75" customHeight="1">
      <c r="A188" s="574"/>
      <c r="B188" s="732" t="s">
        <v>514</v>
      </c>
      <c r="C188" s="1078" t="s">
        <v>695</v>
      </c>
      <c r="D188" s="1009"/>
      <c r="E188" s="1009"/>
      <c r="F188" s="1009"/>
      <c r="G188" s="1009"/>
      <c r="H188" s="1009"/>
      <c r="I188" s="1009"/>
      <c r="J188" s="686">
        <f>J63</f>
        <v>1939.590909090909</v>
      </c>
      <c r="K188" s="644"/>
      <c r="L188" s="590"/>
      <c r="M188" s="590"/>
      <c r="N188" s="590"/>
      <c r="O188" s="590"/>
      <c r="P188" s="590"/>
      <c r="Q188" s="590"/>
      <c r="R188" s="590"/>
      <c r="S188" s="590"/>
      <c r="T188" s="590"/>
      <c r="U188" s="590"/>
      <c r="V188" s="590"/>
      <c r="W188" s="590"/>
      <c r="X188" s="590"/>
      <c r="Y188" s="590"/>
      <c r="Z188" s="590"/>
    </row>
    <row r="189" spans="1:26" ht="15.75" customHeight="1">
      <c r="A189" s="574"/>
      <c r="B189" s="732" t="s">
        <v>516</v>
      </c>
      <c r="C189" s="1078" t="s">
        <v>696</v>
      </c>
      <c r="D189" s="1009"/>
      <c r="E189" s="1009"/>
      <c r="F189" s="1009"/>
      <c r="G189" s="1009"/>
      <c r="H189" s="1009"/>
      <c r="I189" s="1009"/>
      <c r="J189" s="686">
        <f>J115</f>
        <v>1484.46</v>
      </c>
      <c r="K189" s="644"/>
      <c r="L189" s="590"/>
      <c r="M189" s="590"/>
      <c r="N189" s="590"/>
      <c r="O189" s="590"/>
      <c r="P189" s="590"/>
      <c r="Q189" s="590"/>
      <c r="R189" s="590"/>
      <c r="S189" s="590"/>
      <c r="T189" s="590"/>
      <c r="U189" s="590"/>
      <c r="V189" s="590"/>
      <c r="W189" s="590"/>
      <c r="X189" s="590"/>
      <c r="Y189" s="590"/>
      <c r="Z189" s="590"/>
    </row>
    <row r="190" spans="1:26" ht="15.75" customHeight="1">
      <c r="A190" s="574"/>
      <c r="B190" s="732" t="s">
        <v>518</v>
      </c>
      <c r="C190" s="1078" t="s">
        <v>697</v>
      </c>
      <c r="D190" s="1009"/>
      <c r="E190" s="1009"/>
      <c r="F190" s="1009"/>
      <c r="G190" s="1009"/>
      <c r="H190" s="1009"/>
      <c r="I190" s="1009"/>
      <c r="J190" s="686">
        <f>J124</f>
        <v>108.66</v>
      </c>
      <c r="K190" s="644"/>
      <c r="L190" s="590"/>
      <c r="M190" s="590"/>
      <c r="N190" s="590"/>
      <c r="O190" s="590"/>
      <c r="P190" s="590"/>
      <c r="Q190" s="590"/>
      <c r="R190" s="590"/>
      <c r="S190" s="590"/>
      <c r="T190" s="590"/>
      <c r="U190" s="590"/>
      <c r="V190" s="590"/>
      <c r="W190" s="590"/>
      <c r="X190" s="590"/>
      <c r="Y190" s="590"/>
      <c r="Z190" s="590"/>
    </row>
    <row r="191" spans="1:26" ht="15.75" customHeight="1">
      <c r="A191" s="574"/>
      <c r="B191" s="732" t="s">
        <v>520</v>
      </c>
      <c r="C191" s="1078" t="s">
        <v>698</v>
      </c>
      <c r="D191" s="1009"/>
      <c r="E191" s="1009"/>
      <c r="F191" s="1009"/>
      <c r="G191" s="1009"/>
      <c r="H191" s="1009"/>
      <c r="I191" s="1009"/>
      <c r="J191" s="686">
        <f>J150</f>
        <v>279.49309333333338</v>
      </c>
      <c r="K191" s="644"/>
      <c r="L191" s="590"/>
      <c r="M191" s="590"/>
      <c r="N191" s="590"/>
      <c r="O191" s="590"/>
      <c r="P191" s="590"/>
      <c r="Q191" s="590"/>
      <c r="R191" s="590"/>
      <c r="S191" s="590"/>
      <c r="T191" s="590"/>
      <c r="U191" s="590"/>
      <c r="V191" s="590"/>
      <c r="W191" s="590"/>
      <c r="X191" s="590"/>
      <c r="Y191" s="590"/>
      <c r="Z191" s="590"/>
    </row>
    <row r="192" spans="1:26" ht="15.75" customHeight="1">
      <c r="A192" s="574"/>
      <c r="B192" s="732" t="s">
        <v>562</v>
      </c>
      <c r="C192" s="1078" t="s">
        <v>699</v>
      </c>
      <c r="D192" s="1009"/>
      <c r="E192" s="1009"/>
      <c r="F192" s="1009"/>
      <c r="G192" s="1009"/>
      <c r="H192" s="1009"/>
      <c r="I192" s="1009"/>
      <c r="J192" s="686">
        <f>J157</f>
        <v>291.31</v>
      </c>
      <c r="K192" s="644"/>
      <c r="L192" s="590"/>
      <c r="M192" s="590"/>
      <c r="N192" s="590"/>
      <c r="O192" s="590"/>
      <c r="P192" s="590"/>
      <c r="Q192" s="590"/>
      <c r="R192" s="590"/>
      <c r="S192" s="590"/>
      <c r="T192" s="590"/>
      <c r="U192" s="590"/>
      <c r="V192" s="590"/>
      <c r="W192" s="590"/>
      <c r="X192" s="590"/>
      <c r="Y192" s="590"/>
      <c r="Z192" s="590"/>
    </row>
    <row r="193" spans="1:26" ht="15.75" customHeight="1">
      <c r="A193" s="574"/>
      <c r="B193" s="1077" t="s">
        <v>700</v>
      </c>
      <c r="C193" s="1009"/>
      <c r="D193" s="1009"/>
      <c r="E193" s="1009"/>
      <c r="F193" s="1009"/>
      <c r="G193" s="1009"/>
      <c r="H193" s="1009"/>
      <c r="I193" s="1030"/>
      <c r="J193" s="643">
        <f>ROUND(SUM(J188:J192),2)</f>
        <v>4103.51</v>
      </c>
      <c r="K193" s="644"/>
      <c r="L193" s="590"/>
      <c r="M193" s="590"/>
      <c r="N193" s="590"/>
      <c r="O193" s="590"/>
      <c r="P193" s="590"/>
      <c r="Q193" s="590"/>
      <c r="R193" s="590"/>
      <c r="S193" s="590"/>
      <c r="T193" s="590"/>
      <c r="U193" s="590"/>
      <c r="V193" s="590"/>
      <c r="W193" s="590"/>
      <c r="X193" s="590"/>
      <c r="Y193" s="590"/>
      <c r="Z193" s="590"/>
    </row>
    <row r="194" spans="1:26" ht="15.75" customHeight="1">
      <c r="A194" s="574"/>
      <c r="B194" s="733" t="s">
        <v>566</v>
      </c>
      <c r="C194" s="1078" t="s">
        <v>672</v>
      </c>
      <c r="D194" s="1009"/>
      <c r="E194" s="1009"/>
      <c r="F194" s="1009"/>
      <c r="G194" s="1009"/>
      <c r="H194" s="1009"/>
      <c r="I194" s="1009"/>
      <c r="J194" s="686">
        <f>J177</f>
        <v>1211.42</v>
      </c>
      <c r="K194" s="644"/>
      <c r="L194" s="590"/>
      <c r="M194" s="590"/>
      <c r="N194" s="590"/>
      <c r="O194" s="590"/>
      <c r="P194" s="590"/>
      <c r="Q194" s="590"/>
      <c r="R194" s="590"/>
      <c r="S194" s="590"/>
      <c r="T194" s="590"/>
      <c r="U194" s="590"/>
      <c r="V194" s="590"/>
      <c r="W194" s="590"/>
      <c r="X194" s="590"/>
      <c r="Y194" s="590"/>
      <c r="Z194" s="590"/>
    </row>
    <row r="195" spans="1:26" ht="15.75" customHeight="1">
      <c r="A195" s="574"/>
      <c r="B195" s="1077" t="s">
        <v>701</v>
      </c>
      <c r="C195" s="1009"/>
      <c r="D195" s="1009"/>
      <c r="E195" s="1009"/>
      <c r="F195" s="1009"/>
      <c r="G195" s="1009"/>
      <c r="H195" s="1009"/>
      <c r="I195" s="1030"/>
      <c r="J195" s="734">
        <f>J193+J194</f>
        <v>5314.93</v>
      </c>
      <c r="K195" s="644"/>
      <c r="L195" s="590"/>
      <c r="M195" s="590"/>
      <c r="N195" s="590"/>
      <c r="O195" s="590"/>
      <c r="P195" s="590"/>
      <c r="Q195" s="590"/>
      <c r="R195" s="590"/>
      <c r="S195" s="590"/>
      <c r="T195" s="590"/>
      <c r="U195" s="590"/>
      <c r="V195" s="590"/>
      <c r="W195" s="590"/>
      <c r="X195" s="590"/>
      <c r="Y195" s="590"/>
      <c r="Z195" s="590"/>
    </row>
    <row r="196" spans="1:26" ht="42" customHeight="1">
      <c r="A196" s="574"/>
      <c r="B196" s="1079" t="s">
        <v>702</v>
      </c>
      <c r="C196" s="1009"/>
      <c r="D196" s="1009"/>
      <c r="E196" s="1009"/>
      <c r="F196" s="1009"/>
      <c r="G196" s="1009"/>
      <c r="H196" s="1009"/>
      <c r="I196" s="1009"/>
      <c r="J196" s="1010"/>
      <c r="K196" s="735"/>
      <c r="L196" s="590"/>
      <c r="M196" s="590"/>
      <c r="N196" s="590"/>
      <c r="O196" s="590"/>
      <c r="P196" s="590"/>
      <c r="Q196" s="590"/>
      <c r="R196" s="590"/>
      <c r="S196" s="590"/>
      <c r="T196" s="590"/>
      <c r="U196" s="590"/>
      <c r="V196" s="590"/>
      <c r="W196" s="590"/>
      <c r="X196" s="590"/>
      <c r="Y196" s="590"/>
      <c r="Z196" s="590"/>
    </row>
    <row r="197" spans="1:26" ht="12" customHeight="1">
      <c r="A197" s="574"/>
      <c r="B197" s="1080"/>
      <c r="C197" s="1009"/>
      <c r="D197" s="1009"/>
      <c r="E197" s="1009"/>
      <c r="F197" s="1009"/>
      <c r="G197" s="1009"/>
      <c r="H197" s="1009"/>
      <c r="I197" s="1009"/>
      <c r="J197" s="1010"/>
      <c r="K197" s="736"/>
      <c r="L197" s="590"/>
      <c r="M197" s="590"/>
      <c r="N197" s="590"/>
      <c r="O197" s="590"/>
      <c r="P197" s="590"/>
      <c r="Q197" s="590"/>
      <c r="R197" s="590"/>
      <c r="S197" s="590"/>
      <c r="T197" s="590"/>
      <c r="U197" s="590"/>
      <c r="V197" s="590"/>
      <c r="W197" s="590"/>
      <c r="X197" s="590"/>
      <c r="Y197" s="590"/>
      <c r="Z197" s="590"/>
    </row>
    <row r="198" spans="1:26" ht="15.75" customHeight="1">
      <c r="A198" s="574"/>
      <c r="B198" s="737"/>
      <c r="C198" s="594"/>
      <c r="D198" s="594"/>
      <c r="E198" s="594"/>
      <c r="F198" s="594"/>
      <c r="G198" s="594"/>
      <c r="H198" s="594"/>
      <c r="I198" s="738"/>
      <c r="J198" s="739"/>
      <c r="K198" s="738"/>
      <c r="L198" s="590"/>
      <c r="M198" s="590"/>
      <c r="N198" s="590"/>
      <c r="O198" s="590"/>
      <c r="P198" s="590"/>
      <c r="Q198" s="590"/>
      <c r="R198" s="590"/>
      <c r="S198" s="590"/>
      <c r="T198" s="590"/>
      <c r="U198" s="590"/>
      <c r="V198" s="590"/>
      <c r="W198" s="590"/>
      <c r="X198" s="590"/>
      <c r="Y198" s="590"/>
      <c r="Z198" s="590"/>
    </row>
    <row r="199" spans="1:26" ht="20.25" customHeight="1">
      <c r="A199" s="574"/>
      <c r="B199" s="1082" t="s">
        <v>703</v>
      </c>
      <c r="C199" s="1023"/>
      <c r="D199" s="1023"/>
      <c r="E199" s="1023"/>
      <c r="F199" s="1023"/>
      <c r="G199" s="1023"/>
      <c r="H199" s="1023"/>
      <c r="I199" s="1023"/>
      <c r="J199" s="1040"/>
      <c r="K199" s="594"/>
      <c r="L199" s="590"/>
      <c r="M199" s="590"/>
      <c r="N199" s="590"/>
      <c r="O199" s="590"/>
      <c r="P199" s="590"/>
      <c r="Q199" s="590"/>
      <c r="R199" s="590"/>
      <c r="S199" s="590"/>
      <c r="T199" s="590"/>
      <c r="U199" s="590"/>
      <c r="V199" s="590"/>
      <c r="W199" s="590"/>
      <c r="X199" s="590"/>
      <c r="Y199" s="590"/>
      <c r="Z199" s="590"/>
    </row>
    <row r="200" spans="1:26" ht="52.5" customHeight="1">
      <c r="A200" s="574"/>
      <c r="B200" s="1083" t="s">
        <v>704</v>
      </c>
      <c r="C200" s="1009"/>
      <c r="D200" s="1009"/>
      <c r="E200" s="1010"/>
      <c r="F200" s="740" t="s">
        <v>705</v>
      </c>
      <c r="G200" s="741" t="s">
        <v>706</v>
      </c>
      <c r="H200" s="670" t="s">
        <v>707</v>
      </c>
      <c r="I200" s="1083" t="s">
        <v>708</v>
      </c>
      <c r="J200" s="1010"/>
      <c r="K200" s="592"/>
      <c r="L200" s="590"/>
      <c r="M200" s="590"/>
      <c r="N200" s="590"/>
      <c r="O200" s="590"/>
      <c r="P200" s="590"/>
      <c r="Q200" s="590"/>
      <c r="R200" s="590"/>
      <c r="S200" s="590"/>
      <c r="T200" s="590"/>
      <c r="U200" s="590"/>
      <c r="V200" s="590"/>
      <c r="W200" s="590"/>
      <c r="X200" s="590"/>
      <c r="Y200" s="590"/>
      <c r="Z200" s="590"/>
    </row>
    <row r="201" spans="1:26" ht="33.75" hidden="1" customHeight="1" outlineLevel="1">
      <c r="A201" s="574"/>
      <c r="B201" s="1069" t="s">
        <v>709</v>
      </c>
      <c r="C201" s="1009"/>
      <c r="D201" s="1009"/>
      <c r="E201" s="1010"/>
      <c r="F201" s="1081">
        <v>0</v>
      </c>
      <c r="G201" s="1010"/>
      <c r="H201" s="742">
        <f t="shared" ref="H201:H202" si="5">E201*F201</f>
        <v>0</v>
      </c>
      <c r="I201" s="1081">
        <f t="shared" ref="I201:I202" si="6">F201*H201</f>
        <v>0</v>
      </c>
      <c r="J201" s="1010"/>
      <c r="K201" s="717"/>
      <c r="L201" s="590"/>
      <c r="M201" s="590"/>
      <c r="N201" s="590"/>
      <c r="O201" s="590"/>
      <c r="P201" s="590"/>
      <c r="Q201" s="590"/>
      <c r="R201" s="590"/>
      <c r="S201" s="590"/>
      <c r="T201" s="590"/>
      <c r="U201" s="590"/>
      <c r="V201" s="590"/>
      <c r="W201" s="590"/>
      <c r="X201" s="590"/>
      <c r="Y201" s="590"/>
      <c r="Z201" s="590"/>
    </row>
    <row r="202" spans="1:26" ht="33.75" hidden="1" customHeight="1" outlineLevel="1">
      <c r="A202" s="574"/>
      <c r="B202" s="1069" t="s">
        <v>710</v>
      </c>
      <c r="C202" s="1009"/>
      <c r="D202" s="1009"/>
      <c r="E202" s="1010"/>
      <c r="F202" s="1081">
        <v>0</v>
      </c>
      <c r="G202" s="1010"/>
      <c r="H202" s="742">
        <f t="shared" si="5"/>
        <v>0</v>
      </c>
      <c r="I202" s="1081">
        <f t="shared" si="6"/>
        <v>0</v>
      </c>
      <c r="J202" s="1010"/>
      <c r="K202" s="717"/>
      <c r="L202" s="590"/>
      <c r="M202" s="590"/>
      <c r="N202" s="590"/>
      <c r="O202" s="590"/>
      <c r="P202" s="590"/>
      <c r="Q202" s="590"/>
      <c r="R202" s="590"/>
      <c r="S202" s="590"/>
      <c r="T202" s="590"/>
      <c r="U202" s="590"/>
      <c r="V202" s="590"/>
      <c r="W202" s="590"/>
      <c r="X202" s="590"/>
      <c r="Y202" s="590"/>
      <c r="Z202" s="590"/>
    </row>
    <row r="203" spans="1:26" ht="39" customHeight="1" collapsed="1">
      <c r="A203" s="574"/>
      <c r="B203" s="1098" t="str">
        <f>B3</f>
        <v>5132-05_COZINHEIRO_prepost_hs</v>
      </c>
      <c r="C203" s="1009"/>
      <c r="D203" s="1009"/>
      <c r="E203" s="1010"/>
      <c r="F203" s="743">
        <f>J195</f>
        <v>5314.93</v>
      </c>
      <c r="G203" s="742">
        <f>I40</f>
        <v>1</v>
      </c>
      <c r="H203" s="742">
        <f>I17</f>
        <v>1</v>
      </c>
      <c r="I203" s="1087">
        <f>F203*G203</f>
        <v>5314.93</v>
      </c>
      <c r="J203" s="1010"/>
      <c r="K203" s="717"/>
      <c r="L203" s="590"/>
      <c r="M203" s="590"/>
      <c r="N203" s="590"/>
      <c r="O203" s="590"/>
      <c r="P203" s="590"/>
      <c r="Q203" s="590"/>
      <c r="R203" s="590"/>
      <c r="S203" s="590"/>
      <c r="T203" s="590"/>
      <c r="U203" s="590"/>
      <c r="V203" s="590"/>
      <c r="W203" s="590"/>
      <c r="X203" s="590"/>
      <c r="Y203" s="590"/>
      <c r="Z203" s="590"/>
    </row>
    <row r="204" spans="1:26" ht="38.25" hidden="1" customHeight="1" outlineLevel="1">
      <c r="A204" s="574"/>
      <c r="B204" s="1069" t="s">
        <v>711</v>
      </c>
      <c r="C204" s="1009"/>
      <c r="D204" s="1009"/>
      <c r="E204" s="1010"/>
      <c r="F204" s="1087">
        <v>0</v>
      </c>
      <c r="G204" s="1010"/>
      <c r="H204" s="742">
        <f t="shared" ref="H204:I204" si="7">E204*G204</f>
        <v>0</v>
      </c>
      <c r="I204" s="1081">
        <f t="shared" si="7"/>
        <v>0</v>
      </c>
      <c r="J204" s="1010"/>
      <c r="K204" s="717"/>
      <c r="L204" s="590"/>
      <c r="M204" s="590"/>
      <c r="N204" s="590"/>
      <c r="O204" s="590"/>
      <c r="P204" s="590"/>
      <c r="Q204" s="590"/>
      <c r="R204" s="590"/>
      <c r="S204" s="590"/>
      <c r="T204" s="590"/>
      <c r="U204" s="590"/>
      <c r="V204" s="590"/>
      <c r="W204" s="590"/>
      <c r="X204" s="590"/>
      <c r="Y204" s="590"/>
      <c r="Z204" s="590"/>
    </row>
    <row r="205" spans="1:26" ht="39" hidden="1" customHeight="1" outlineLevel="1">
      <c r="A205" s="574"/>
      <c r="B205" s="1069" t="s">
        <v>712</v>
      </c>
      <c r="C205" s="1009"/>
      <c r="D205" s="1009"/>
      <c r="E205" s="1010"/>
      <c r="F205" s="1087">
        <v>0</v>
      </c>
      <c r="G205" s="1010"/>
      <c r="H205" s="742">
        <f t="shared" ref="H205:I205" si="8">E205*G205</f>
        <v>0</v>
      </c>
      <c r="I205" s="1081">
        <f t="shared" si="8"/>
        <v>0</v>
      </c>
      <c r="J205" s="1010"/>
      <c r="K205" s="717"/>
      <c r="L205" s="590"/>
      <c r="M205" s="590"/>
      <c r="N205" s="590"/>
      <c r="O205" s="590"/>
      <c r="P205" s="590"/>
      <c r="Q205" s="590"/>
      <c r="R205" s="590"/>
      <c r="S205" s="590"/>
      <c r="T205" s="590"/>
      <c r="U205" s="590"/>
      <c r="V205" s="590"/>
      <c r="W205" s="590"/>
      <c r="X205" s="590"/>
      <c r="Y205" s="590"/>
      <c r="Z205" s="590"/>
    </row>
    <row r="206" spans="1:26" ht="33.75" hidden="1" customHeight="1" outlineLevel="1">
      <c r="A206" s="574"/>
      <c r="B206" s="1088" t="s">
        <v>713</v>
      </c>
      <c r="C206" s="1009"/>
      <c r="D206" s="1009"/>
      <c r="E206" s="1010"/>
      <c r="F206" s="1081">
        <v>0</v>
      </c>
      <c r="G206" s="1010"/>
      <c r="H206" s="742">
        <f t="shared" ref="H206:I206" si="9">E206*G206</f>
        <v>0</v>
      </c>
      <c r="I206" s="1081">
        <f t="shared" si="9"/>
        <v>0</v>
      </c>
      <c r="J206" s="1010"/>
      <c r="K206" s="717"/>
      <c r="L206" s="590"/>
      <c r="M206" s="590"/>
      <c r="N206" s="590"/>
      <c r="O206" s="590"/>
      <c r="P206" s="590"/>
      <c r="Q206" s="590"/>
      <c r="R206" s="590"/>
      <c r="S206" s="590"/>
      <c r="T206" s="590"/>
      <c r="U206" s="590"/>
      <c r="V206" s="590"/>
      <c r="W206" s="590"/>
      <c r="X206" s="590"/>
      <c r="Y206" s="590"/>
      <c r="Z206" s="590"/>
    </row>
    <row r="207" spans="1:26" ht="15.75" customHeight="1" collapsed="1">
      <c r="A207" s="574"/>
      <c r="B207" s="1089" t="s">
        <v>714</v>
      </c>
      <c r="C207" s="1009"/>
      <c r="D207" s="1009"/>
      <c r="E207" s="1009"/>
      <c r="F207" s="1009"/>
      <c r="G207" s="1010"/>
      <c r="H207" s="744">
        <f>SUM(H201:H206)</f>
        <v>1</v>
      </c>
      <c r="I207" s="1090">
        <f>SUM(I201:J206)</f>
        <v>5314.93</v>
      </c>
      <c r="J207" s="1010"/>
      <c r="K207" s="745"/>
      <c r="L207" s="590"/>
      <c r="M207" s="590"/>
      <c r="N207" s="590"/>
      <c r="O207" s="590"/>
      <c r="P207" s="590"/>
      <c r="Q207" s="590"/>
      <c r="R207" s="590"/>
      <c r="S207" s="590"/>
      <c r="T207" s="590"/>
      <c r="U207" s="590"/>
      <c r="V207" s="590"/>
      <c r="W207" s="590"/>
      <c r="X207" s="590"/>
      <c r="Y207" s="590"/>
      <c r="Z207" s="590"/>
    </row>
    <row r="208" spans="1:26" ht="8.25" customHeight="1">
      <c r="A208" s="574"/>
      <c r="B208" s="1091"/>
      <c r="C208" s="1092"/>
      <c r="D208" s="1092"/>
      <c r="E208" s="1092"/>
      <c r="F208" s="1092"/>
      <c r="G208" s="1092"/>
      <c r="H208" s="1092"/>
      <c r="I208" s="1092"/>
      <c r="J208" s="1093"/>
      <c r="K208" s="693"/>
      <c r="L208" s="590"/>
      <c r="M208" s="590"/>
      <c r="N208" s="590"/>
      <c r="O208" s="590"/>
      <c r="P208" s="590"/>
      <c r="Q208" s="590"/>
      <c r="R208" s="590"/>
      <c r="S208" s="590"/>
      <c r="T208" s="590"/>
      <c r="U208" s="590"/>
      <c r="V208" s="590"/>
      <c r="W208" s="590"/>
      <c r="X208" s="590"/>
      <c r="Y208" s="590"/>
      <c r="Z208" s="590"/>
    </row>
    <row r="209" spans="1:26" ht="15.75" customHeight="1">
      <c r="A209" s="574"/>
      <c r="B209" s="1071" t="s">
        <v>715</v>
      </c>
      <c r="C209" s="1060"/>
      <c r="D209" s="1060"/>
      <c r="E209" s="1060"/>
      <c r="F209" s="1060"/>
      <c r="G209" s="1060"/>
      <c r="H209" s="1060"/>
      <c r="I209" s="1060"/>
      <c r="J209" s="1062"/>
      <c r="K209" s="600"/>
      <c r="L209" s="590"/>
      <c r="M209" s="590"/>
      <c r="N209" s="590"/>
      <c r="O209" s="590"/>
      <c r="P209" s="590"/>
      <c r="Q209" s="590"/>
      <c r="R209" s="590"/>
      <c r="S209" s="590"/>
      <c r="T209" s="590"/>
      <c r="U209" s="590"/>
      <c r="V209" s="590"/>
      <c r="W209" s="590"/>
      <c r="X209" s="590"/>
      <c r="Y209" s="590"/>
      <c r="Z209" s="590"/>
    </row>
    <row r="210" spans="1:26" ht="8.25" customHeight="1">
      <c r="A210" s="574"/>
      <c r="B210" s="1072"/>
      <c r="C210" s="1009"/>
      <c r="D210" s="1009"/>
      <c r="E210" s="1009"/>
      <c r="F210" s="1009"/>
      <c r="G210" s="1009"/>
      <c r="H210" s="1009"/>
      <c r="I210" s="1009"/>
      <c r="J210" s="1010"/>
      <c r="K210" s="746"/>
      <c r="L210" s="590"/>
      <c r="M210" s="590"/>
      <c r="N210" s="590"/>
      <c r="O210" s="590"/>
      <c r="P210" s="590"/>
      <c r="Q210" s="590"/>
      <c r="R210" s="590"/>
      <c r="S210" s="590"/>
      <c r="T210" s="590"/>
      <c r="U210" s="590"/>
      <c r="V210" s="590"/>
      <c r="W210" s="590"/>
      <c r="X210" s="590"/>
      <c r="Y210" s="590"/>
      <c r="Z210" s="590"/>
    </row>
    <row r="211" spans="1:26" ht="15.75" customHeight="1">
      <c r="A211" s="574"/>
      <c r="B211" s="1069" t="s">
        <v>716</v>
      </c>
      <c r="C211" s="1009"/>
      <c r="D211" s="1009"/>
      <c r="E211" s="1009"/>
      <c r="F211" s="1009"/>
      <c r="G211" s="1010"/>
      <c r="H211" s="1073">
        <f>$I$207</f>
        <v>5314.93</v>
      </c>
      <c r="I211" s="1009"/>
      <c r="J211" s="1010"/>
      <c r="K211" s="603"/>
      <c r="L211" s="590"/>
      <c r="M211" s="590"/>
      <c r="N211" s="590"/>
      <c r="O211" s="590"/>
      <c r="P211" s="590"/>
      <c r="Q211" s="590"/>
      <c r="R211" s="590"/>
      <c r="S211" s="590"/>
      <c r="T211" s="590"/>
      <c r="U211" s="590"/>
      <c r="V211" s="590"/>
      <c r="W211" s="590"/>
      <c r="X211" s="590"/>
      <c r="Y211" s="590"/>
      <c r="Z211" s="590"/>
    </row>
    <row r="212" spans="1:26" ht="8.25" customHeight="1">
      <c r="A212" s="574"/>
      <c r="B212" s="1074"/>
      <c r="C212" s="1015"/>
      <c r="D212" s="1015"/>
      <c r="E212" s="1015"/>
      <c r="F212" s="1015"/>
      <c r="G212" s="1015"/>
      <c r="H212" s="1015"/>
      <c r="I212" s="1015"/>
      <c r="J212" s="1075"/>
      <c r="K212" s="700"/>
      <c r="L212" s="590"/>
      <c r="M212" s="590"/>
      <c r="N212" s="590"/>
      <c r="O212" s="590"/>
      <c r="P212" s="590"/>
      <c r="Q212" s="590"/>
      <c r="R212" s="590"/>
      <c r="S212" s="590"/>
      <c r="T212" s="590"/>
      <c r="U212" s="590"/>
      <c r="V212" s="590"/>
      <c r="W212" s="590"/>
      <c r="X212" s="590"/>
      <c r="Y212" s="590"/>
      <c r="Z212" s="590"/>
    </row>
    <row r="213" spans="1:26" ht="15.75" customHeight="1">
      <c r="A213" s="574"/>
      <c r="B213" s="1069" t="s">
        <v>717</v>
      </c>
      <c r="C213" s="1009"/>
      <c r="D213" s="1009"/>
      <c r="E213" s="1009"/>
      <c r="F213" s="1009"/>
      <c r="G213" s="1010"/>
      <c r="H213" s="1076">
        <f>$I$11</f>
        <v>30</v>
      </c>
      <c r="I213" s="1009"/>
      <c r="J213" s="1010"/>
      <c r="K213" s="593"/>
      <c r="L213" s="590"/>
      <c r="M213" s="590"/>
      <c r="N213" s="590"/>
      <c r="O213" s="590"/>
      <c r="P213" s="590"/>
      <c r="Q213" s="590"/>
      <c r="R213" s="590"/>
      <c r="S213" s="590"/>
      <c r="T213" s="590"/>
      <c r="U213" s="590"/>
      <c r="V213" s="590"/>
      <c r="W213" s="590"/>
      <c r="X213" s="590"/>
      <c r="Y213" s="590"/>
      <c r="Z213" s="590"/>
    </row>
    <row r="214" spans="1:26" ht="8.25" customHeight="1">
      <c r="A214" s="574"/>
      <c r="B214" s="1068"/>
      <c r="C214" s="1009"/>
      <c r="D214" s="1009"/>
      <c r="E214" s="1009"/>
      <c r="F214" s="1009"/>
      <c r="G214" s="1009"/>
      <c r="H214" s="1009"/>
      <c r="I214" s="1009"/>
      <c r="J214" s="1010"/>
      <c r="K214" s="594"/>
      <c r="L214" s="590"/>
      <c r="M214" s="590"/>
      <c r="N214" s="590"/>
      <c r="O214" s="590"/>
      <c r="P214" s="590"/>
      <c r="Q214" s="590"/>
      <c r="R214" s="590"/>
      <c r="S214" s="590"/>
      <c r="T214" s="590"/>
      <c r="U214" s="590"/>
      <c r="V214" s="590"/>
      <c r="W214" s="590"/>
      <c r="X214" s="590"/>
      <c r="Y214" s="590"/>
      <c r="Z214" s="590"/>
    </row>
    <row r="215" spans="1:26" ht="29.25" customHeight="1">
      <c r="A215" s="574"/>
      <c r="B215" s="1069" t="s">
        <v>718</v>
      </c>
      <c r="C215" s="1009"/>
      <c r="D215" s="1009"/>
      <c r="E215" s="1009"/>
      <c r="F215" s="1009"/>
      <c r="G215" s="1010"/>
      <c r="H215" s="1070">
        <f>ROUND(H211*H213,2)</f>
        <v>159447.9</v>
      </c>
      <c r="I215" s="1009"/>
      <c r="J215" s="1010"/>
      <c r="K215" s="747"/>
      <c r="L215" s="590"/>
      <c r="M215" s="590"/>
      <c r="N215" s="590"/>
      <c r="O215" s="590"/>
      <c r="P215" s="590"/>
      <c r="Q215" s="590"/>
      <c r="R215" s="590"/>
      <c r="S215" s="590"/>
      <c r="T215" s="590"/>
      <c r="U215" s="590"/>
      <c r="V215" s="590"/>
      <c r="W215" s="590"/>
      <c r="X215" s="590"/>
      <c r="Y215" s="590"/>
      <c r="Z215" s="590"/>
    </row>
    <row r="216" spans="1:26" ht="8.25" customHeight="1">
      <c r="A216" s="574"/>
      <c r="B216" s="1068"/>
      <c r="C216" s="1009"/>
      <c r="D216" s="1009"/>
      <c r="E216" s="1009"/>
      <c r="F216" s="1009"/>
      <c r="G216" s="1009"/>
      <c r="H216" s="1009"/>
      <c r="I216" s="1009"/>
      <c r="J216" s="1010"/>
      <c r="K216" s="594"/>
      <c r="L216" s="590"/>
      <c r="M216" s="590"/>
      <c r="N216" s="590"/>
      <c r="O216" s="590"/>
      <c r="P216" s="590"/>
      <c r="Q216" s="590"/>
      <c r="R216" s="590"/>
      <c r="S216" s="590"/>
      <c r="T216" s="590"/>
      <c r="U216" s="590"/>
      <c r="V216" s="590"/>
      <c r="W216" s="590"/>
      <c r="X216" s="590"/>
      <c r="Y216" s="590"/>
      <c r="Z216" s="590"/>
    </row>
    <row r="217" spans="1:26" ht="15.75" customHeight="1">
      <c r="A217" s="574"/>
      <c r="B217" s="574"/>
      <c r="C217" s="574"/>
      <c r="D217" s="574"/>
      <c r="E217" s="574"/>
      <c r="F217" s="574"/>
      <c r="G217" s="574"/>
      <c r="H217" s="574"/>
      <c r="I217" s="574"/>
      <c r="J217" s="574"/>
      <c r="K217" s="574"/>
      <c r="L217" s="590"/>
      <c r="M217" s="590"/>
      <c r="N217" s="590"/>
      <c r="O217" s="590"/>
      <c r="P217" s="590"/>
      <c r="Q217" s="590"/>
      <c r="R217" s="590"/>
      <c r="S217" s="590"/>
      <c r="T217" s="590"/>
      <c r="U217" s="590"/>
      <c r="V217" s="590"/>
      <c r="W217" s="590"/>
      <c r="X217" s="590"/>
      <c r="Y217" s="590"/>
      <c r="Z217" s="590"/>
    </row>
    <row r="218" spans="1:26" ht="15.75" customHeight="1">
      <c r="A218" s="590"/>
      <c r="B218" s="590"/>
      <c r="C218" s="590"/>
      <c r="D218" s="590"/>
      <c r="E218" s="590"/>
      <c r="F218" s="590"/>
      <c r="G218" s="590"/>
      <c r="H218" s="590"/>
      <c r="I218" s="590"/>
      <c r="J218" s="590"/>
      <c r="K218" s="590"/>
      <c r="L218" s="590"/>
      <c r="M218" s="590"/>
      <c r="N218" s="590"/>
      <c r="O218" s="590"/>
      <c r="P218" s="590"/>
      <c r="Q218" s="590"/>
      <c r="R218" s="590"/>
      <c r="S218" s="590"/>
      <c r="T218" s="590"/>
      <c r="U218" s="590"/>
      <c r="V218" s="590"/>
      <c r="W218" s="590"/>
      <c r="X218" s="590"/>
      <c r="Y218" s="590"/>
      <c r="Z218" s="590"/>
    </row>
    <row r="219" spans="1:26" ht="15.75" customHeight="1">
      <c r="A219" s="590"/>
      <c r="B219" s="590"/>
      <c r="C219" s="590"/>
      <c r="D219" s="590"/>
      <c r="E219" s="590"/>
      <c r="F219" s="590"/>
      <c r="G219" s="590"/>
      <c r="H219" s="590"/>
      <c r="I219" s="590"/>
      <c r="J219" s="590"/>
      <c r="K219" s="590"/>
      <c r="L219" s="590"/>
      <c r="M219" s="590"/>
      <c r="N219" s="590"/>
      <c r="O219" s="590"/>
      <c r="P219" s="590"/>
      <c r="Q219" s="590"/>
      <c r="R219" s="590"/>
      <c r="S219" s="590"/>
      <c r="T219" s="590"/>
      <c r="U219" s="590"/>
      <c r="V219" s="590"/>
      <c r="W219" s="590"/>
      <c r="X219" s="590"/>
      <c r="Y219" s="590"/>
      <c r="Z219" s="590"/>
    </row>
    <row r="220" spans="1:26" ht="15.75" customHeight="1">
      <c r="A220" s="590"/>
      <c r="B220" s="590"/>
      <c r="C220" s="590"/>
      <c r="D220" s="590"/>
      <c r="E220" s="590"/>
      <c r="F220" s="590"/>
      <c r="G220" s="590"/>
      <c r="H220" s="590"/>
      <c r="I220" s="590"/>
      <c r="J220" s="590"/>
      <c r="K220" s="590"/>
      <c r="L220" s="590"/>
      <c r="M220" s="590"/>
      <c r="N220" s="590"/>
      <c r="O220" s="590"/>
      <c r="P220" s="590"/>
      <c r="Q220" s="590"/>
      <c r="R220" s="590"/>
      <c r="S220" s="590"/>
      <c r="T220" s="590"/>
      <c r="U220" s="590"/>
      <c r="V220" s="590"/>
      <c r="W220" s="590"/>
      <c r="X220" s="590"/>
      <c r="Y220" s="590"/>
      <c r="Z220" s="590"/>
    </row>
    <row r="221" spans="1:26" ht="15.75" customHeight="1">
      <c r="A221" s="590"/>
      <c r="B221" s="590"/>
      <c r="C221" s="590"/>
      <c r="D221" s="590"/>
      <c r="E221" s="590"/>
      <c r="F221" s="590"/>
      <c r="G221" s="590"/>
      <c r="H221" s="590"/>
      <c r="I221" s="590"/>
      <c r="J221" s="590"/>
      <c r="K221" s="590"/>
      <c r="L221" s="590"/>
      <c r="M221" s="590"/>
      <c r="N221" s="590"/>
      <c r="O221" s="590"/>
      <c r="P221" s="590"/>
      <c r="Q221" s="590"/>
      <c r="R221" s="590"/>
      <c r="S221" s="590"/>
      <c r="T221" s="590"/>
      <c r="U221" s="590"/>
      <c r="V221" s="590"/>
      <c r="W221" s="590"/>
      <c r="X221" s="590"/>
      <c r="Y221" s="590"/>
      <c r="Z221" s="590"/>
    </row>
    <row r="222" spans="1:26" ht="15.75" customHeight="1">
      <c r="A222" s="590"/>
      <c r="B222" s="590"/>
      <c r="C222" s="590"/>
      <c r="D222" s="590"/>
      <c r="E222" s="590"/>
      <c r="F222" s="590"/>
      <c r="G222" s="590"/>
      <c r="H222" s="590"/>
      <c r="I222" s="590"/>
      <c r="J222" s="590"/>
      <c r="K222" s="590"/>
      <c r="L222" s="590"/>
      <c r="M222" s="590"/>
      <c r="N222" s="590"/>
      <c r="O222" s="590"/>
      <c r="P222" s="590"/>
      <c r="Q222" s="590"/>
      <c r="R222" s="590"/>
      <c r="S222" s="590"/>
      <c r="T222" s="590"/>
      <c r="U222" s="590"/>
      <c r="V222" s="590"/>
      <c r="W222" s="590"/>
      <c r="X222" s="590"/>
      <c r="Y222" s="590"/>
      <c r="Z222" s="590"/>
    </row>
    <row r="223" spans="1:26" ht="15.75" customHeight="1">
      <c r="A223" s="590"/>
      <c r="B223" s="590"/>
      <c r="C223" s="590"/>
      <c r="D223" s="590"/>
      <c r="E223" s="590"/>
      <c r="F223" s="590"/>
      <c r="G223" s="590"/>
      <c r="H223" s="590"/>
      <c r="I223" s="590"/>
      <c r="J223" s="590"/>
      <c r="K223" s="590"/>
      <c r="L223" s="590"/>
      <c r="M223" s="590"/>
      <c r="N223" s="590"/>
      <c r="O223" s="590"/>
      <c r="P223" s="590"/>
      <c r="Q223" s="590"/>
      <c r="R223" s="590"/>
      <c r="S223" s="590"/>
      <c r="T223" s="590"/>
      <c r="U223" s="590"/>
      <c r="V223" s="590"/>
      <c r="W223" s="590"/>
      <c r="X223" s="590"/>
      <c r="Y223" s="590"/>
      <c r="Z223" s="590"/>
    </row>
    <row r="224" spans="1:26" ht="15.75" customHeight="1">
      <c r="A224" s="590"/>
      <c r="B224" s="590"/>
      <c r="C224" s="590"/>
      <c r="D224" s="590"/>
      <c r="E224" s="590"/>
      <c r="F224" s="590"/>
      <c r="G224" s="590"/>
      <c r="H224" s="590"/>
      <c r="I224" s="590"/>
      <c r="J224" s="590"/>
      <c r="K224" s="590"/>
      <c r="L224" s="590"/>
      <c r="M224" s="590"/>
      <c r="N224" s="590"/>
      <c r="O224" s="590"/>
      <c r="P224" s="590"/>
      <c r="Q224" s="590"/>
      <c r="R224" s="590"/>
      <c r="S224" s="590"/>
      <c r="T224" s="590"/>
      <c r="U224" s="590"/>
      <c r="V224" s="590"/>
      <c r="W224" s="590"/>
      <c r="X224" s="590"/>
      <c r="Y224" s="590"/>
      <c r="Z224" s="590"/>
    </row>
    <row r="225" spans="1:26" ht="15.75" customHeight="1">
      <c r="A225" s="590"/>
      <c r="B225" s="590"/>
      <c r="C225" s="590"/>
      <c r="D225" s="590"/>
      <c r="E225" s="590"/>
      <c r="F225" s="590"/>
      <c r="G225" s="590"/>
      <c r="H225" s="590"/>
      <c r="I225" s="590"/>
      <c r="J225" s="590"/>
      <c r="K225" s="590"/>
      <c r="L225" s="590"/>
      <c r="M225" s="590"/>
      <c r="N225" s="590"/>
      <c r="O225" s="590"/>
      <c r="P225" s="590"/>
      <c r="Q225" s="590"/>
      <c r="R225" s="590"/>
      <c r="S225" s="590"/>
      <c r="T225" s="590"/>
      <c r="U225" s="590"/>
      <c r="V225" s="590"/>
      <c r="W225" s="590"/>
      <c r="X225" s="590"/>
      <c r="Y225" s="590"/>
      <c r="Z225" s="590"/>
    </row>
    <row r="226" spans="1:26" ht="15.75" customHeight="1">
      <c r="A226" s="590"/>
      <c r="B226" s="590"/>
      <c r="C226" s="590"/>
      <c r="D226" s="590"/>
      <c r="E226" s="590"/>
      <c r="F226" s="590"/>
      <c r="G226" s="590"/>
      <c r="H226" s="590"/>
      <c r="I226" s="590"/>
      <c r="J226" s="590"/>
      <c r="K226" s="590"/>
      <c r="L226" s="590"/>
      <c r="M226" s="590"/>
      <c r="N226" s="590"/>
      <c r="O226" s="590"/>
      <c r="P226" s="590"/>
      <c r="Q226" s="590"/>
      <c r="R226" s="590"/>
      <c r="S226" s="590"/>
      <c r="T226" s="590"/>
      <c r="U226" s="590"/>
      <c r="V226" s="590"/>
      <c r="W226" s="590"/>
      <c r="X226" s="590"/>
      <c r="Y226" s="590"/>
      <c r="Z226" s="590"/>
    </row>
    <row r="227" spans="1:26" ht="15.75" customHeight="1">
      <c r="A227" s="590"/>
      <c r="B227" s="590"/>
      <c r="C227" s="590"/>
      <c r="D227" s="590"/>
      <c r="E227" s="590"/>
      <c r="F227" s="590"/>
      <c r="G227" s="590"/>
      <c r="H227" s="590"/>
      <c r="I227" s="590"/>
      <c r="J227" s="590"/>
      <c r="K227" s="590"/>
      <c r="L227" s="590"/>
      <c r="M227" s="590"/>
      <c r="N227" s="590"/>
      <c r="O227" s="590"/>
      <c r="P227" s="590"/>
      <c r="Q227" s="590"/>
      <c r="R227" s="590"/>
      <c r="S227" s="590"/>
      <c r="T227" s="590"/>
      <c r="U227" s="590"/>
      <c r="V227" s="590"/>
      <c r="W227" s="590"/>
      <c r="X227" s="590"/>
      <c r="Y227" s="590"/>
      <c r="Z227" s="590"/>
    </row>
    <row r="228" spans="1:26" ht="15.75" customHeight="1">
      <c r="A228" s="590"/>
      <c r="B228" s="590"/>
      <c r="C228" s="590"/>
      <c r="D228" s="590"/>
      <c r="E228" s="590"/>
      <c r="F228" s="590"/>
      <c r="G228" s="590"/>
      <c r="H228" s="590"/>
      <c r="I228" s="590"/>
      <c r="J228" s="590"/>
      <c r="K228" s="590"/>
      <c r="L228" s="590"/>
      <c r="M228" s="590"/>
      <c r="N228" s="590"/>
      <c r="O228" s="590"/>
      <c r="P228" s="590"/>
      <c r="Q228" s="590"/>
      <c r="R228" s="590"/>
      <c r="S228" s="590"/>
      <c r="T228" s="590"/>
      <c r="U228" s="590"/>
      <c r="V228" s="590"/>
      <c r="W228" s="590"/>
      <c r="X228" s="590"/>
      <c r="Y228" s="590"/>
      <c r="Z228" s="590"/>
    </row>
    <row r="229" spans="1:26" ht="15.75" customHeight="1">
      <c r="A229" s="590"/>
      <c r="B229" s="590"/>
      <c r="C229" s="590"/>
      <c r="D229" s="590"/>
      <c r="E229" s="590"/>
      <c r="F229" s="590"/>
      <c r="G229" s="590"/>
      <c r="H229" s="590"/>
      <c r="I229" s="590"/>
      <c r="J229" s="590"/>
      <c r="K229" s="590"/>
      <c r="L229" s="590"/>
      <c r="M229" s="590"/>
      <c r="N229" s="590"/>
      <c r="O229" s="590"/>
      <c r="P229" s="590"/>
      <c r="Q229" s="590"/>
      <c r="R229" s="590"/>
      <c r="S229" s="590"/>
      <c r="T229" s="590"/>
      <c r="U229" s="590"/>
      <c r="V229" s="590"/>
      <c r="W229" s="590"/>
      <c r="X229" s="590"/>
      <c r="Y229" s="590"/>
      <c r="Z229" s="590"/>
    </row>
    <row r="230" spans="1:26" ht="15.75" customHeight="1">
      <c r="A230" s="590"/>
      <c r="B230" s="590"/>
      <c r="C230" s="590"/>
      <c r="D230" s="590"/>
      <c r="E230" s="590"/>
      <c r="F230" s="590"/>
      <c r="G230" s="590"/>
      <c r="H230" s="590"/>
      <c r="I230" s="590"/>
      <c r="J230" s="590"/>
      <c r="K230" s="590"/>
      <c r="L230" s="590"/>
      <c r="M230" s="590"/>
      <c r="N230" s="590"/>
      <c r="O230" s="590"/>
      <c r="P230" s="590"/>
      <c r="Q230" s="590"/>
      <c r="R230" s="590"/>
      <c r="S230" s="590"/>
      <c r="T230" s="590"/>
      <c r="U230" s="590"/>
      <c r="V230" s="590"/>
      <c r="W230" s="590"/>
      <c r="X230" s="590"/>
      <c r="Y230" s="590"/>
      <c r="Z230" s="590"/>
    </row>
    <row r="231" spans="1:26" ht="15.75" customHeight="1">
      <c r="A231" s="590"/>
      <c r="B231" s="590"/>
      <c r="C231" s="590"/>
      <c r="D231" s="590"/>
      <c r="E231" s="590"/>
      <c r="F231" s="590"/>
      <c r="G231" s="590"/>
      <c r="H231" s="590"/>
      <c r="I231" s="590"/>
      <c r="J231" s="590"/>
      <c r="K231" s="590"/>
      <c r="L231" s="590"/>
      <c r="M231" s="590"/>
      <c r="N231" s="590"/>
      <c r="O231" s="590"/>
      <c r="P231" s="590"/>
      <c r="Q231" s="590"/>
      <c r="R231" s="590"/>
      <c r="S231" s="590"/>
      <c r="T231" s="590"/>
      <c r="U231" s="590"/>
      <c r="V231" s="590"/>
      <c r="W231" s="590"/>
      <c r="X231" s="590"/>
      <c r="Y231" s="590"/>
      <c r="Z231" s="590"/>
    </row>
    <row r="232" spans="1:26" ht="15.75" customHeight="1">
      <c r="A232" s="590"/>
      <c r="B232" s="590"/>
      <c r="C232" s="590"/>
      <c r="D232" s="590"/>
      <c r="E232" s="590"/>
      <c r="F232" s="590"/>
      <c r="G232" s="590"/>
      <c r="H232" s="590"/>
      <c r="I232" s="590"/>
      <c r="J232" s="590"/>
      <c r="K232" s="590"/>
      <c r="L232" s="590"/>
      <c r="M232" s="590"/>
      <c r="N232" s="590"/>
      <c r="O232" s="590"/>
      <c r="P232" s="590"/>
      <c r="Q232" s="590"/>
      <c r="R232" s="590"/>
      <c r="S232" s="590"/>
      <c r="T232" s="590"/>
      <c r="U232" s="590"/>
      <c r="V232" s="590"/>
      <c r="W232" s="590"/>
      <c r="X232" s="590"/>
      <c r="Y232" s="590"/>
      <c r="Z232" s="590"/>
    </row>
    <row r="233" spans="1:26" ht="15.75" customHeight="1">
      <c r="A233" s="590"/>
      <c r="B233" s="590"/>
      <c r="C233" s="590"/>
      <c r="D233" s="590"/>
      <c r="E233" s="590"/>
      <c r="F233" s="590"/>
      <c r="G233" s="590"/>
      <c r="H233" s="590"/>
      <c r="I233" s="590"/>
      <c r="J233" s="590"/>
      <c r="K233" s="590"/>
      <c r="L233" s="590"/>
      <c r="M233" s="590"/>
      <c r="N233" s="590"/>
      <c r="O233" s="590"/>
      <c r="P233" s="590"/>
      <c r="Q233" s="590"/>
      <c r="R233" s="590"/>
      <c r="S233" s="590"/>
      <c r="T233" s="590"/>
      <c r="U233" s="590"/>
      <c r="V233" s="590"/>
      <c r="W233" s="590"/>
      <c r="X233" s="590"/>
      <c r="Y233" s="590"/>
      <c r="Z233" s="590"/>
    </row>
    <row r="234" spans="1:26" ht="15.75" customHeight="1">
      <c r="A234" s="590"/>
      <c r="B234" s="590"/>
      <c r="C234" s="590"/>
      <c r="D234" s="590"/>
      <c r="E234" s="590"/>
      <c r="F234" s="590"/>
      <c r="G234" s="590"/>
      <c r="H234" s="590"/>
      <c r="I234" s="590"/>
      <c r="J234" s="590"/>
      <c r="K234" s="590"/>
      <c r="L234" s="590"/>
      <c r="M234" s="590"/>
      <c r="N234" s="590"/>
      <c r="O234" s="590"/>
      <c r="P234" s="590"/>
      <c r="Q234" s="590"/>
      <c r="R234" s="590"/>
      <c r="S234" s="590"/>
      <c r="T234" s="590"/>
      <c r="U234" s="590"/>
      <c r="V234" s="590"/>
      <c r="W234" s="590"/>
      <c r="X234" s="590"/>
      <c r="Y234" s="590"/>
      <c r="Z234" s="590"/>
    </row>
    <row r="235" spans="1:26" ht="15.75" customHeight="1">
      <c r="A235" s="590"/>
      <c r="B235" s="590"/>
      <c r="C235" s="590"/>
      <c r="D235" s="590"/>
      <c r="E235" s="590"/>
      <c r="F235" s="590"/>
      <c r="G235" s="590"/>
      <c r="H235" s="590"/>
      <c r="I235" s="590"/>
      <c r="J235" s="590"/>
      <c r="K235" s="590"/>
      <c r="L235" s="590"/>
      <c r="M235" s="590"/>
      <c r="N235" s="590"/>
      <c r="O235" s="590"/>
      <c r="P235" s="590"/>
      <c r="Q235" s="590"/>
      <c r="R235" s="590"/>
      <c r="S235" s="590"/>
      <c r="T235" s="590"/>
      <c r="U235" s="590"/>
      <c r="V235" s="590"/>
      <c r="W235" s="590"/>
      <c r="X235" s="590"/>
      <c r="Y235" s="590"/>
      <c r="Z235" s="590"/>
    </row>
    <row r="236" spans="1:26" ht="15.75" customHeight="1">
      <c r="A236" s="590"/>
      <c r="B236" s="590"/>
      <c r="C236" s="590"/>
      <c r="D236" s="590"/>
      <c r="E236" s="590"/>
      <c r="F236" s="590"/>
      <c r="G236" s="590"/>
      <c r="H236" s="590"/>
      <c r="I236" s="590"/>
      <c r="J236" s="590"/>
      <c r="K236" s="590"/>
      <c r="L236" s="590"/>
      <c r="M236" s="590"/>
      <c r="N236" s="590"/>
      <c r="O236" s="590"/>
      <c r="P236" s="590"/>
      <c r="Q236" s="590"/>
      <c r="R236" s="590"/>
      <c r="S236" s="590"/>
      <c r="T236" s="590"/>
      <c r="U236" s="590"/>
      <c r="V236" s="590"/>
      <c r="W236" s="590"/>
      <c r="X236" s="590"/>
      <c r="Y236" s="590"/>
      <c r="Z236" s="590"/>
    </row>
    <row r="237" spans="1:26" ht="15.75" customHeight="1">
      <c r="A237" s="590"/>
      <c r="B237" s="590"/>
      <c r="C237" s="590"/>
      <c r="D237" s="590"/>
      <c r="E237" s="590"/>
      <c r="F237" s="590"/>
      <c r="G237" s="590"/>
      <c r="H237" s="590"/>
      <c r="I237" s="590"/>
      <c r="J237" s="590"/>
      <c r="K237" s="590"/>
      <c r="L237" s="590"/>
      <c r="M237" s="590"/>
      <c r="N237" s="590"/>
      <c r="O237" s="590"/>
      <c r="P237" s="590"/>
      <c r="Q237" s="590"/>
      <c r="R237" s="590"/>
      <c r="S237" s="590"/>
      <c r="T237" s="590"/>
      <c r="U237" s="590"/>
      <c r="V237" s="590"/>
      <c r="W237" s="590"/>
      <c r="X237" s="590"/>
      <c r="Y237" s="590"/>
      <c r="Z237" s="590"/>
    </row>
    <row r="238" spans="1:26" ht="15.75" customHeight="1">
      <c r="A238" s="590"/>
      <c r="B238" s="590"/>
      <c r="C238" s="590"/>
      <c r="D238" s="590"/>
      <c r="E238" s="590"/>
      <c r="F238" s="590"/>
      <c r="G238" s="590"/>
      <c r="H238" s="590"/>
      <c r="I238" s="590"/>
      <c r="J238" s="590"/>
      <c r="K238" s="590"/>
      <c r="L238" s="590"/>
      <c r="M238" s="590"/>
      <c r="N238" s="590"/>
      <c r="O238" s="590"/>
      <c r="P238" s="590"/>
      <c r="Q238" s="590"/>
      <c r="R238" s="590"/>
      <c r="S238" s="590"/>
      <c r="T238" s="590"/>
      <c r="U238" s="590"/>
      <c r="V238" s="590"/>
      <c r="W238" s="590"/>
      <c r="X238" s="590"/>
      <c r="Y238" s="590"/>
      <c r="Z238" s="590"/>
    </row>
    <row r="239" spans="1:26" ht="15.75" customHeight="1">
      <c r="A239" s="590"/>
      <c r="B239" s="590"/>
      <c r="C239" s="590"/>
      <c r="D239" s="590"/>
      <c r="E239" s="590"/>
      <c r="F239" s="590"/>
      <c r="G239" s="590"/>
      <c r="H239" s="590"/>
      <c r="I239" s="590"/>
      <c r="J239" s="590"/>
      <c r="K239" s="590"/>
      <c r="L239" s="590"/>
      <c r="M239" s="590"/>
      <c r="N239" s="590"/>
      <c r="O239" s="590"/>
      <c r="P239" s="590"/>
      <c r="Q239" s="590"/>
      <c r="R239" s="590"/>
      <c r="S239" s="590"/>
      <c r="T239" s="590"/>
      <c r="U239" s="590"/>
      <c r="V239" s="590"/>
      <c r="W239" s="590"/>
      <c r="X239" s="590"/>
      <c r="Y239" s="590"/>
      <c r="Z239" s="590"/>
    </row>
    <row r="240" spans="1:26" ht="15.75" customHeight="1">
      <c r="A240" s="590"/>
      <c r="B240" s="590"/>
      <c r="C240" s="590"/>
      <c r="D240" s="590"/>
      <c r="E240" s="590"/>
      <c r="F240" s="590"/>
      <c r="G240" s="590"/>
      <c r="H240" s="590"/>
      <c r="I240" s="590"/>
      <c r="J240" s="590"/>
      <c r="K240" s="590"/>
      <c r="L240" s="590"/>
      <c r="M240" s="590"/>
      <c r="N240" s="590"/>
      <c r="O240" s="590"/>
      <c r="P240" s="590"/>
      <c r="Q240" s="590"/>
      <c r="R240" s="590"/>
      <c r="S240" s="590"/>
      <c r="T240" s="590"/>
      <c r="U240" s="590"/>
      <c r="V240" s="590"/>
      <c r="W240" s="590"/>
      <c r="X240" s="590"/>
      <c r="Y240" s="590"/>
      <c r="Z240" s="590"/>
    </row>
    <row r="241" spans="1:26" ht="15.75" customHeight="1">
      <c r="A241" s="590"/>
      <c r="B241" s="590"/>
      <c r="C241" s="590"/>
      <c r="D241" s="590"/>
      <c r="E241" s="590"/>
      <c r="F241" s="590"/>
      <c r="G241" s="590"/>
      <c r="H241" s="590"/>
      <c r="I241" s="590"/>
      <c r="J241" s="590"/>
      <c r="K241" s="590"/>
      <c r="L241" s="590"/>
      <c r="M241" s="590"/>
      <c r="N241" s="590"/>
      <c r="O241" s="590"/>
      <c r="P241" s="590"/>
      <c r="Q241" s="590"/>
      <c r="R241" s="590"/>
      <c r="S241" s="590"/>
      <c r="T241" s="590"/>
      <c r="U241" s="590"/>
      <c r="V241" s="590"/>
      <c r="W241" s="590"/>
      <c r="X241" s="590"/>
      <c r="Y241" s="590"/>
      <c r="Z241" s="590"/>
    </row>
    <row r="242" spans="1:26" ht="15.75" customHeight="1">
      <c r="A242" s="590"/>
      <c r="B242" s="590"/>
      <c r="C242" s="590"/>
      <c r="D242" s="590"/>
      <c r="E242" s="590"/>
      <c r="F242" s="590"/>
      <c r="G242" s="590"/>
      <c r="H242" s="590"/>
      <c r="I242" s="590"/>
      <c r="J242" s="590"/>
      <c r="K242" s="590"/>
      <c r="L242" s="590"/>
      <c r="M242" s="590"/>
      <c r="N242" s="590"/>
      <c r="O242" s="590"/>
      <c r="P242" s="590"/>
      <c r="Q242" s="590"/>
      <c r="R242" s="590"/>
      <c r="S242" s="590"/>
      <c r="T242" s="590"/>
      <c r="U242" s="590"/>
      <c r="V242" s="590"/>
      <c r="W242" s="590"/>
      <c r="X242" s="590"/>
      <c r="Y242" s="590"/>
      <c r="Z242" s="590"/>
    </row>
    <row r="243" spans="1:26" ht="15.75" customHeight="1">
      <c r="A243" s="590"/>
      <c r="B243" s="590"/>
      <c r="C243" s="590"/>
      <c r="D243" s="590"/>
      <c r="E243" s="590"/>
      <c r="F243" s="590"/>
      <c r="G243" s="590"/>
      <c r="H243" s="590"/>
      <c r="I243" s="590"/>
      <c r="J243" s="590"/>
      <c r="K243" s="590"/>
      <c r="L243" s="590"/>
      <c r="M243" s="590"/>
      <c r="N243" s="590"/>
      <c r="O243" s="590"/>
      <c r="P243" s="590"/>
      <c r="Q243" s="590"/>
      <c r="R243" s="590"/>
      <c r="S243" s="590"/>
      <c r="T243" s="590"/>
      <c r="U243" s="590"/>
      <c r="V243" s="590"/>
      <c r="W243" s="590"/>
      <c r="X243" s="590"/>
      <c r="Y243" s="590"/>
      <c r="Z243" s="590"/>
    </row>
    <row r="244" spans="1:26" ht="15.75" customHeight="1">
      <c r="A244" s="590"/>
      <c r="B244" s="590"/>
      <c r="C244" s="590"/>
      <c r="D244" s="590"/>
      <c r="E244" s="590"/>
      <c r="F244" s="590"/>
      <c r="G244" s="590"/>
      <c r="H244" s="590"/>
      <c r="I244" s="590"/>
      <c r="J244" s="590"/>
      <c r="K244" s="590"/>
      <c r="L244" s="590"/>
      <c r="M244" s="590"/>
      <c r="N244" s="590"/>
      <c r="O244" s="590"/>
      <c r="P244" s="590"/>
      <c r="Q244" s="590"/>
      <c r="R244" s="590"/>
      <c r="S244" s="590"/>
      <c r="T244" s="590"/>
      <c r="U244" s="590"/>
      <c r="V244" s="590"/>
      <c r="W244" s="590"/>
      <c r="X244" s="590"/>
      <c r="Y244" s="590"/>
      <c r="Z244" s="590"/>
    </row>
    <row r="245" spans="1:26" ht="15.75" customHeight="1">
      <c r="A245" s="590"/>
      <c r="B245" s="590"/>
      <c r="C245" s="590"/>
      <c r="D245" s="590"/>
      <c r="E245" s="590"/>
      <c r="F245" s="590"/>
      <c r="G245" s="590"/>
      <c r="H245" s="590"/>
      <c r="I245" s="590"/>
      <c r="J245" s="590"/>
      <c r="K245" s="590"/>
      <c r="L245" s="590"/>
      <c r="M245" s="590"/>
      <c r="N245" s="590"/>
      <c r="O245" s="590"/>
      <c r="P245" s="590"/>
      <c r="Q245" s="590"/>
      <c r="R245" s="590"/>
      <c r="S245" s="590"/>
      <c r="T245" s="590"/>
      <c r="U245" s="590"/>
      <c r="V245" s="590"/>
      <c r="W245" s="590"/>
      <c r="X245" s="590"/>
      <c r="Y245" s="590"/>
      <c r="Z245" s="590"/>
    </row>
    <row r="246" spans="1:26" ht="15.75" customHeight="1">
      <c r="A246" s="590"/>
      <c r="B246" s="590"/>
      <c r="C246" s="590"/>
      <c r="D246" s="590"/>
      <c r="E246" s="590"/>
      <c r="F246" s="590"/>
      <c r="G246" s="590"/>
      <c r="H246" s="590"/>
      <c r="I246" s="590"/>
      <c r="J246" s="590"/>
      <c r="K246" s="590"/>
      <c r="L246" s="590"/>
      <c r="M246" s="590"/>
      <c r="N246" s="590"/>
      <c r="O246" s="590"/>
      <c r="P246" s="590"/>
      <c r="Q246" s="590"/>
      <c r="R246" s="590"/>
      <c r="S246" s="590"/>
      <c r="T246" s="590"/>
      <c r="U246" s="590"/>
      <c r="V246" s="590"/>
      <c r="W246" s="590"/>
      <c r="X246" s="590"/>
      <c r="Y246" s="590"/>
      <c r="Z246" s="590"/>
    </row>
    <row r="247" spans="1:26" ht="15.75" customHeight="1">
      <c r="A247" s="590"/>
      <c r="B247" s="590"/>
      <c r="C247" s="590"/>
      <c r="D247" s="590"/>
      <c r="E247" s="590"/>
      <c r="F247" s="590"/>
      <c r="G247" s="590"/>
      <c r="H247" s="590"/>
      <c r="I247" s="590"/>
      <c r="J247" s="590"/>
      <c r="K247" s="590"/>
      <c r="L247" s="590"/>
      <c r="M247" s="590"/>
      <c r="N247" s="590"/>
      <c r="O247" s="590"/>
      <c r="P247" s="590"/>
      <c r="Q247" s="590"/>
      <c r="R247" s="590"/>
      <c r="S247" s="590"/>
      <c r="T247" s="590"/>
      <c r="U247" s="590"/>
      <c r="V247" s="590"/>
      <c r="W247" s="590"/>
      <c r="X247" s="590"/>
      <c r="Y247" s="590"/>
      <c r="Z247" s="590"/>
    </row>
    <row r="248" spans="1:26" ht="15.75" customHeight="1">
      <c r="A248" s="590"/>
      <c r="B248" s="590"/>
      <c r="C248" s="590"/>
      <c r="D248" s="590"/>
      <c r="E248" s="590"/>
      <c r="F248" s="590"/>
      <c r="G248" s="590"/>
      <c r="H248" s="590"/>
      <c r="I248" s="590"/>
      <c r="J248" s="590"/>
      <c r="K248" s="590"/>
      <c r="L248" s="590"/>
      <c r="M248" s="590"/>
      <c r="N248" s="590"/>
      <c r="O248" s="590"/>
      <c r="P248" s="590"/>
      <c r="Q248" s="590"/>
      <c r="R248" s="590"/>
      <c r="S248" s="590"/>
      <c r="T248" s="590"/>
      <c r="U248" s="590"/>
      <c r="V248" s="590"/>
      <c r="W248" s="590"/>
      <c r="X248" s="590"/>
      <c r="Y248" s="590"/>
      <c r="Z248" s="590"/>
    </row>
    <row r="249" spans="1:26" ht="15.75" customHeight="1">
      <c r="A249" s="590"/>
      <c r="B249" s="590"/>
      <c r="C249" s="590"/>
      <c r="D249" s="590"/>
      <c r="E249" s="590"/>
      <c r="F249" s="590"/>
      <c r="G249" s="590"/>
      <c r="H249" s="590"/>
      <c r="I249" s="590"/>
      <c r="J249" s="590"/>
      <c r="K249" s="590"/>
      <c r="L249" s="590"/>
      <c r="M249" s="590"/>
      <c r="N249" s="590"/>
      <c r="O249" s="590"/>
      <c r="P249" s="590"/>
      <c r="Q249" s="590"/>
      <c r="R249" s="590"/>
      <c r="S249" s="590"/>
      <c r="T249" s="590"/>
      <c r="U249" s="590"/>
      <c r="V249" s="590"/>
      <c r="W249" s="590"/>
      <c r="X249" s="590"/>
      <c r="Y249" s="590"/>
      <c r="Z249" s="590"/>
    </row>
    <row r="250" spans="1:26" ht="15.75" customHeight="1">
      <c r="A250" s="590"/>
      <c r="B250" s="590"/>
      <c r="C250" s="590"/>
      <c r="D250" s="590"/>
      <c r="E250" s="590"/>
      <c r="F250" s="590"/>
      <c r="G250" s="590"/>
      <c r="H250" s="590"/>
      <c r="I250" s="590"/>
      <c r="J250" s="590"/>
      <c r="K250" s="590"/>
      <c r="L250" s="590"/>
      <c r="M250" s="590"/>
      <c r="N250" s="590"/>
      <c r="O250" s="590"/>
      <c r="P250" s="590"/>
      <c r="Q250" s="590"/>
      <c r="R250" s="590"/>
      <c r="S250" s="590"/>
      <c r="T250" s="590"/>
      <c r="U250" s="590"/>
      <c r="V250" s="590"/>
      <c r="W250" s="590"/>
      <c r="X250" s="590"/>
      <c r="Y250" s="590"/>
      <c r="Z250" s="590"/>
    </row>
    <row r="251" spans="1:26" ht="15.75" customHeight="1">
      <c r="A251" s="590"/>
      <c r="B251" s="590"/>
      <c r="C251" s="590"/>
      <c r="D251" s="590"/>
      <c r="E251" s="590"/>
      <c r="F251" s="590"/>
      <c r="G251" s="590"/>
      <c r="H251" s="590"/>
      <c r="I251" s="590"/>
      <c r="J251" s="590"/>
      <c r="K251" s="590"/>
      <c r="L251" s="590"/>
      <c r="M251" s="590"/>
      <c r="N251" s="590"/>
      <c r="O251" s="590"/>
      <c r="P251" s="590"/>
      <c r="Q251" s="590"/>
      <c r="R251" s="590"/>
      <c r="S251" s="590"/>
      <c r="T251" s="590"/>
      <c r="U251" s="590"/>
      <c r="V251" s="590"/>
      <c r="W251" s="590"/>
      <c r="X251" s="590"/>
      <c r="Y251" s="590"/>
      <c r="Z251" s="590"/>
    </row>
    <row r="252" spans="1:26" ht="15.75" customHeight="1">
      <c r="A252" s="590"/>
      <c r="B252" s="590"/>
      <c r="C252" s="590"/>
      <c r="D252" s="590"/>
      <c r="E252" s="590"/>
      <c r="F252" s="590"/>
      <c r="G252" s="590"/>
      <c r="H252" s="590"/>
      <c r="I252" s="590"/>
      <c r="J252" s="590"/>
      <c r="K252" s="590"/>
      <c r="L252" s="590"/>
      <c r="M252" s="590"/>
      <c r="N252" s="590"/>
      <c r="O252" s="590"/>
      <c r="P252" s="590"/>
      <c r="Q252" s="590"/>
      <c r="R252" s="590"/>
      <c r="S252" s="590"/>
      <c r="T252" s="590"/>
      <c r="U252" s="590"/>
      <c r="V252" s="590"/>
      <c r="W252" s="590"/>
      <c r="X252" s="590"/>
      <c r="Y252" s="590"/>
      <c r="Z252" s="590"/>
    </row>
    <row r="253" spans="1:26" ht="15.75" customHeight="1">
      <c r="A253" s="590"/>
      <c r="B253" s="590"/>
      <c r="C253" s="590"/>
      <c r="D253" s="590"/>
      <c r="E253" s="590"/>
      <c r="F253" s="590"/>
      <c r="G253" s="590"/>
      <c r="H253" s="590"/>
      <c r="I253" s="590"/>
      <c r="J253" s="590"/>
      <c r="K253" s="590"/>
      <c r="L253" s="590"/>
      <c r="M253" s="590"/>
      <c r="N253" s="590"/>
      <c r="O253" s="590"/>
      <c r="P253" s="590"/>
      <c r="Q253" s="590"/>
      <c r="R253" s="590"/>
      <c r="S253" s="590"/>
      <c r="T253" s="590"/>
      <c r="U253" s="590"/>
      <c r="V253" s="590"/>
      <c r="W253" s="590"/>
      <c r="X253" s="590"/>
      <c r="Y253" s="590"/>
      <c r="Z253" s="590"/>
    </row>
    <row r="254" spans="1:26" ht="15.75" customHeight="1">
      <c r="A254" s="590"/>
      <c r="B254" s="590"/>
      <c r="C254" s="590"/>
      <c r="D254" s="590"/>
      <c r="E254" s="590"/>
      <c r="F254" s="590"/>
      <c r="G254" s="590"/>
      <c r="H254" s="590"/>
      <c r="I254" s="590"/>
      <c r="J254" s="590"/>
      <c r="K254" s="590"/>
      <c r="L254" s="590"/>
      <c r="M254" s="590"/>
      <c r="N254" s="590"/>
      <c r="O254" s="590"/>
      <c r="P254" s="590"/>
      <c r="Q254" s="590"/>
      <c r="R254" s="590"/>
      <c r="S254" s="590"/>
      <c r="T254" s="590"/>
      <c r="U254" s="590"/>
      <c r="V254" s="590"/>
      <c r="W254" s="590"/>
      <c r="X254" s="590"/>
      <c r="Y254" s="590"/>
      <c r="Z254" s="590"/>
    </row>
    <row r="255" spans="1:26" ht="15.75" customHeight="1">
      <c r="A255" s="590"/>
      <c r="B255" s="590"/>
      <c r="C255" s="590"/>
      <c r="D255" s="590"/>
      <c r="E255" s="590"/>
      <c r="F255" s="590"/>
      <c r="G255" s="590"/>
      <c r="H255" s="590"/>
      <c r="I255" s="590"/>
      <c r="J255" s="590"/>
      <c r="K255" s="590"/>
      <c r="L255" s="590"/>
      <c r="M255" s="590"/>
      <c r="N255" s="590"/>
      <c r="O255" s="590"/>
      <c r="P255" s="590"/>
      <c r="Q255" s="590"/>
      <c r="R255" s="590"/>
      <c r="S255" s="590"/>
      <c r="T255" s="590"/>
      <c r="U255" s="590"/>
      <c r="V255" s="590"/>
      <c r="W255" s="590"/>
      <c r="X255" s="590"/>
      <c r="Y255" s="590"/>
      <c r="Z255" s="590"/>
    </row>
    <row r="256" spans="1:26" ht="15.75" customHeight="1">
      <c r="A256" s="590"/>
      <c r="B256" s="590"/>
      <c r="C256" s="590"/>
      <c r="D256" s="590"/>
      <c r="E256" s="590"/>
      <c r="F256" s="590"/>
      <c r="G256" s="590"/>
      <c r="H256" s="590"/>
      <c r="I256" s="590"/>
      <c r="J256" s="590"/>
      <c r="K256" s="590"/>
      <c r="L256" s="590"/>
      <c r="M256" s="590"/>
      <c r="N256" s="590"/>
      <c r="O256" s="590"/>
      <c r="P256" s="590"/>
      <c r="Q256" s="590"/>
      <c r="R256" s="590"/>
      <c r="S256" s="590"/>
      <c r="T256" s="590"/>
      <c r="U256" s="590"/>
      <c r="V256" s="590"/>
      <c r="W256" s="590"/>
      <c r="X256" s="590"/>
      <c r="Y256" s="590"/>
      <c r="Z256" s="590"/>
    </row>
    <row r="257" spans="1:26" ht="15.75" customHeight="1">
      <c r="A257" s="590"/>
      <c r="B257" s="590"/>
      <c r="C257" s="590"/>
      <c r="D257" s="590"/>
      <c r="E257" s="590"/>
      <c r="F257" s="590"/>
      <c r="G257" s="590"/>
      <c r="H257" s="590"/>
      <c r="I257" s="590"/>
      <c r="J257" s="590"/>
      <c r="K257" s="590"/>
      <c r="L257" s="590"/>
      <c r="M257" s="590"/>
      <c r="N257" s="590"/>
      <c r="O257" s="590"/>
      <c r="P257" s="590"/>
      <c r="Q257" s="590"/>
      <c r="R257" s="590"/>
      <c r="S257" s="590"/>
      <c r="T257" s="590"/>
      <c r="U257" s="590"/>
      <c r="V257" s="590"/>
      <c r="W257" s="590"/>
      <c r="X257" s="590"/>
      <c r="Y257" s="590"/>
      <c r="Z257" s="590"/>
    </row>
    <row r="258" spans="1:26" ht="15.75" customHeight="1">
      <c r="A258" s="590"/>
      <c r="B258" s="590"/>
      <c r="C258" s="590"/>
      <c r="D258" s="590"/>
      <c r="E258" s="590"/>
      <c r="F258" s="590"/>
      <c r="G258" s="590"/>
      <c r="H258" s="590"/>
      <c r="I258" s="590"/>
      <c r="J258" s="590"/>
      <c r="K258" s="590"/>
      <c r="L258" s="590"/>
      <c r="M258" s="590"/>
      <c r="N258" s="590"/>
      <c r="O258" s="590"/>
      <c r="P258" s="590"/>
      <c r="Q258" s="590"/>
      <c r="R258" s="590"/>
      <c r="S258" s="590"/>
      <c r="T258" s="590"/>
      <c r="U258" s="590"/>
      <c r="V258" s="590"/>
      <c r="W258" s="590"/>
      <c r="X258" s="590"/>
      <c r="Y258" s="590"/>
      <c r="Z258" s="590"/>
    </row>
    <row r="259" spans="1:26" ht="15.75" customHeight="1">
      <c r="A259" s="590"/>
      <c r="B259" s="590"/>
      <c r="C259" s="590"/>
      <c r="D259" s="590"/>
      <c r="E259" s="590"/>
      <c r="F259" s="590"/>
      <c r="G259" s="590"/>
      <c r="H259" s="590"/>
      <c r="I259" s="590"/>
      <c r="J259" s="590"/>
      <c r="K259" s="590"/>
      <c r="L259" s="590"/>
      <c r="M259" s="590"/>
      <c r="N259" s="590"/>
      <c r="O259" s="590"/>
      <c r="P259" s="590"/>
      <c r="Q259" s="590"/>
      <c r="R259" s="590"/>
      <c r="S259" s="590"/>
      <c r="T259" s="590"/>
      <c r="U259" s="590"/>
      <c r="V259" s="590"/>
      <c r="W259" s="590"/>
      <c r="X259" s="590"/>
      <c r="Y259" s="590"/>
      <c r="Z259" s="590"/>
    </row>
    <row r="260" spans="1:26" ht="15.75" customHeight="1">
      <c r="A260" s="590"/>
      <c r="B260" s="590"/>
      <c r="C260" s="590"/>
      <c r="D260" s="590"/>
      <c r="E260" s="590"/>
      <c r="F260" s="590"/>
      <c r="G260" s="590"/>
      <c r="H260" s="590"/>
      <c r="I260" s="590"/>
      <c r="J260" s="590"/>
      <c r="K260" s="590"/>
      <c r="L260" s="590"/>
      <c r="M260" s="590"/>
      <c r="N260" s="590"/>
      <c r="O260" s="590"/>
      <c r="P260" s="590"/>
      <c r="Q260" s="590"/>
      <c r="R260" s="590"/>
      <c r="S260" s="590"/>
      <c r="T260" s="590"/>
      <c r="U260" s="590"/>
      <c r="V260" s="590"/>
      <c r="W260" s="590"/>
      <c r="X260" s="590"/>
      <c r="Y260" s="590"/>
      <c r="Z260" s="590"/>
    </row>
    <row r="261" spans="1:26" ht="15.75" customHeight="1">
      <c r="A261" s="590"/>
      <c r="B261" s="590"/>
      <c r="C261" s="590"/>
      <c r="D261" s="590"/>
      <c r="E261" s="590"/>
      <c r="F261" s="590"/>
      <c r="G261" s="590"/>
      <c r="H261" s="590"/>
      <c r="I261" s="590"/>
      <c r="J261" s="590"/>
      <c r="K261" s="590"/>
      <c r="L261" s="590"/>
      <c r="M261" s="590"/>
      <c r="N261" s="590"/>
      <c r="O261" s="590"/>
      <c r="P261" s="590"/>
      <c r="Q261" s="590"/>
      <c r="R261" s="590"/>
      <c r="S261" s="590"/>
      <c r="T261" s="590"/>
      <c r="U261" s="590"/>
      <c r="V261" s="590"/>
      <c r="W261" s="590"/>
      <c r="X261" s="590"/>
      <c r="Y261" s="590"/>
      <c r="Z261" s="590"/>
    </row>
    <row r="262" spans="1:26" ht="15.75" customHeight="1">
      <c r="A262" s="590"/>
      <c r="B262" s="590"/>
      <c r="C262" s="590"/>
      <c r="D262" s="590"/>
      <c r="E262" s="590"/>
      <c r="F262" s="590"/>
      <c r="G262" s="590"/>
      <c r="H262" s="590"/>
      <c r="I262" s="590"/>
      <c r="J262" s="590"/>
      <c r="K262" s="590"/>
      <c r="L262" s="590"/>
      <c r="M262" s="590"/>
      <c r="N262" s="590"/>
      <c r="O262" s="590"/>
      <c r="P262" s="590"/>
      <c r="Q262" s="590"/>
      <c r="R262" s="590"/>
      <c r="S262" s="590"/>
      <c r="T262" s="590"/>
      <c r="U262" s="590"/>
      <c r="V262" s="590"/>
      <c r="W262" s="590"/>
      <c r="X262" s="590"/>
      <c r="Y262" s="590"/>
      <c r="Z262" s="590"/>
    </row>
    <row r="263" spans="1:26" ht="15.75" customHeight="1">
      <c r="A263" s="590"/>
      <c r="B263" s="590"/>
      <c r="C263" s="590"/>
      <c r="D263" s="590"/>
      <c r="E263" s="590"/>
      <c r="F263" s="590"/>
      <c r="G263" s="590"/>
      <c r="H263" s="590"/>
      <c r="I263" s="590"/>
      <c r="J263" s="590"/>
      <c r="K263" s="590"/>
      <c r="L263" s="590"/>
      <c r="M263" s="590"/>
      <c r="N263" s="590"/>
      <c r="O263" s="590"/>
      <c r="P263" s="590"/>
      <c r="Q263" s="590"/>
      <c r="R263" s="590"/>
      <c r="S263" s="590"/>
      <c r="T263" s="590"/>
      <c r="U263" s="590"/>
      <c r="V263" s="590"/>
      <c r="W263" s="590"/>
      <c r="X263" s="590"/>
      <c r="Y263" s="590"/>
      <c r="Z263" s="590"/>
    </row>
    <row r="264" spans="1:26" ht="15.75" customHeight="1">
      <c r="A264" s="590"/>
      <c r="B264" s="590"/>
      <c r="C264" s="590"/>
      <c r="D264" s="590"/>
      <c r="E264" s="590"/>
      <c r="F264" s="590"/>
      <c r="G264" s="590"/>
      <c r="H264" s="590"/>
      <c r="I264" s="590"/>
      <c r="J264" s="590"/>
      <c r="K264" s="590"/>
      <c r="L264" s="590"/>
      <c r="M264" s="590"/>
      <c r="N264" s="590"/>
      <c r="O264" s="590"/>
      <c r="P264" s="590"/>
      <c r="Q264" s="590"/>
      <c r="R264" s="590"/>
      <c r="S264" s="590"/>
      <c r="T264" s="590"/>
      <c r="U264" s="590"/>
      <c r="V264" s="590"/>
      <c r="W264" s="590"/>
      <c r="X264" s="590"/>
      <c r="Y264" s="590"/>
      <c r="Z264" s="590"/>
    </row>
    <row r="265" spans="1:26" ht="15.75" customHeight="1">
      <c r="A265" s="590"/>
      <c r="B265" s="590"/>
      <c r="C265" s="590"/>
      <c r="D265" s="590"/>
      <c r="E265" s="590"/>
      <c r="F265" s="590"/>
      <c r="G265" s="590"/>
      <c r="H265" s="590"/>
      <c r="I265" s="590"/>
      <c r="J265" s="590"/>
      <c r="K265" s="590"/>
      <c r="L265" s="590"/>
      <c r="M265" s="590"/>
      <c r="N265" s="590"/>
      <c r="O265" s="590"/>
      <c r="P265" s="590"/>
      <c r="Q265" s="590"/>
      <c r="R265" s="590"/>
      <c r="S265" s="590"/>
      <c r="T265" s="590"/>
      <c r="U265" s="590"/>
      <c r="V265" s="590"/>
      <c r="W265" s="590"/>
      <c r="X265" s="590"/>
      <c r="Y265" s="590"/>
      <c r="Z265" s="590"/>
    </row>
    <row r="266" spans="1:26" ht="15.75" customHeight="1">
      <c r="A266" s="590"/>
      <c r="B266" s="590"/>
      <c r="C266" s="590"/>
      <c r="D266" s="590"/>
      <c r="E266" s="590"/>
      <c r="F266" s="590"/>
      <c r="G266" s="590"/>
      <c r="H266" s="590"/>
      <c r="I266" s="590"/>
      <c r="J266" s="590"/>
      <c r="K266" s="590"/>
      <c r="L266" s="590"/>
      <c r="M266" s="590"/>
      <c r="N266" s="590"/>
      <c r="O266" s="590"/>
      <c r="P266" s="590"/>
      <c r="Q266" s="590"/>
      <c r="R266" s="590"/>
      <c r="S266" s="590"/>
      <c r="T266" s="590"/>
      <c r="U266" s="590"/>
      <c r="V266" s="590"/>
      <c r="W266" s="590"/>
      <c r="X266" s="590"/>
      <c r="Y266" s="590"/>
      <c r="Z266" s="590"/>
    </row>
    <row r="267" spans="1:26" ht="15.75" customHeight="1">
      <c r="A267" s="590"/>
      <c r="B267" s="590"/>
      <c r="C267" s="590"/>
      <c r="D267" s="590"/>
      <c r="E267" s="590"/>
      <c r="F267" s="590"/>
      <c r="G267" s="590"/>
      <c r="H267" s="590"/>
      <c r="I267" s="590"/>
      <c r="J267" s="590"/>
      <c r="K267" s="590"/>
      <c r="L267" s="590"/>
      <c r="M267" s="590"/>
      <c r="N267" s="590"/>
      <c r="O267" s="590"/>
      <c r="P267" s="590"/>
      <c r="Q267" s="590"/>
      <c r="R267" s="590"/>
      <c r="S267" s="590"/>
      <c r="T267" s="590"/>
      <c r="U267" s="590"/>
      <c r="V267" s="590"/>
      <c r="W267" s="590"/>
      <c r="X267" s="590"/>
      <c r="Y267" s="590"/>
      <c r="Z267" s="590"/>
    </row>
    <row r="268" spans="1:26" ht="15.75" customHeight="1">
      <c r="A268" s="590"/>
      <c r="B268" s="590"/>
      <c r="C268" s="590"/>
      <c r="D268" s="590"/>
      <c r="E268" s="590"/>
      <c r="F268" s="590"/>
      <c r="G268" s="590"/>
      <c r="H268" s="590"/>
      <c r="I268" s="590"/>
      <c r="J268" s="590"/>
      <c r="K268" s="590"/>
      <c r="L268" s="590"/>
      <c r="M268" s="590"/>
      <c r="N268" s="590"/>
      <c r="O268" s="590"/>
      <c r="P268" s="590"/>
      <c r="Q268" s="590"/>
      <c r="R268" s="590"/>
      <c r="S268" s="590"/>
      <c r="T268" s="590"/>
      <c r="U268" s="590"/>
      <c r="V268" s="590"/>
      <c r="W268" s="590"/>
      <c r="X268" s="590"/>
      <c r="Y268" s="590"/>
      <c r="Z268" s="590"/>
    </row>
    <row r="269" spans="1:26" ht="15.75" customHeight="1">
      <c r="A269" s="590"/>
      <c r="B269" s="590"/>
      <c r="C269" s="590"/>
      <c r="D269" s="590"/>
      <c r="E269" s="590"/>
      <c r="F269" s="590"/>
      <c r="G269" s="590"/>
      <c r="H269" s="590"/>
      <c r="I269" s="590"/>
      <c r="J269" s="590"/>
      <c r="K269" s="590"/>
      <c r="L269" s="590"/>
      <c r="M269" s="590"/>
      <c r="N269" s="590"/>
      <c r="O269" s="590"/>
      <c r="P269" s="590"/>
      <c r="Q269" s="590"/>
      <c r="R269" s="590"/>
      <c r="S269" s="590"/>
      <c r="T269" s="590"/>
      <c r="U269" s="590"/>
      <c r="V269" s="590"/>
      <c r="W269" s="590"/>
      <c r="X269" s="590"/>
      <c r="Y269" s="590"/>
      <c r="Z269" s="590"/>
    </row>
    <row r="270" spans="1:26" ht="15.75" customHeight="1">
      <c r="A270" s="590"/>
      <c r="B270" s="590"/>
      <c r="C270" s="590"/>
      <c r="D270" s="590"/>
      <c r="E270" s="590"/>
      <c r="F270" s="590"/>
      <c r="G270" s="590"/>
      <c r="H270" s="590"/>
      <c r="I270" s="590"/>
      <c r="J270" s="590"/>
      <c r="K270" s="590"/>
      <c r="L270" s="590"/>
      <c r="M270" s="590"/>
      <c r="N270" s="590"/>
      <c r="O270" s="590"/>
      <c r="P270" s="590"/>
      <c r="Q270" s="590"/>
      <c r="R270" s="590"/>
      <c r="S270" s="590"/>
      <c r="T270" s="590"/>
      <c r="U270" s="590"/>
      <c r="V270" s="590"/>
      <c r="W270" s="590"/>
      <c r="X270" s="590"/>
      <c r="Y270" s="590"/>
      <c r="Z270" s="590"/>
    </row>
    <row r="271" spans="1:26" ht="15.75" customHeight="1">
      <c r="A271" s="590"/>
      <c r="B271" s="590"/>
      <c r="C271" s="590"/>
      <c r="D271" s="590"/>
      <c r="E271" s="590"/>
      <c r="F271" s="590"/>
      <c r="G271" s="590"/>
      <c r="H271" s="590"/>
      <c r="I271" s="590"/>
      <c r="J271" s="590"/>
      <c r="K271" s="590"/>
      <c r="L271" s="590"/>
      <c r="M271" s="590"/>
      <c r="N271" s="590"/>
      <c r="O271" s="590"/>
      <c r="P271" s="590"/>
      <c r="Q271" s="590"/>
      <c r="R271" s="590"/>
      <c r="S271" s="590"/>
      <c r="T271" s="590"/>
      <c r="U271" s="590"/>
      <c r="V271" s="590"/>
      <c r="W271" s="590"/>
      <c r="X271" s="590"/>
      <c r="Y271" s="590"/>
      <c r="Z271" s="590"/>
    </row>
    <row r="272" spans="1:26" ht="15.75" customHeight="1">
      <c r="A272" s="590"/>
      <c r="B272" s="590"/>
      <c r="C272" s="590"/>
      <c r="D272" s="590"/>
      <c r="E272" s="590"/>
      <c r="F272" s="590"/>
      <c r="G272" s="590"/>
      <c r="H272" s="590"/>
      <c r="I272" s="590"/>
      <c r="J272" s="590"/>
      <c r="K272" s="590"/>
      <c r="L272" s="590"/>
      <c r="M272" s="590"/>
      <c r="N272" s="590"/>
      <c r="O272" s="590"/>
      <c r="P272" s="590"/>
      <c r="Q272" s="590"/>
      <c r="R272" s="590"/>
      <c r="S272" s="590"/>
      <c r="T272" s="590"/>
      <c r="U272" s="590"/>
      <c r="V272" s="590"/>
      <c r="W272" s="590"/>
      <c r="X272" s="590"/>
      <c r="Y272" s="590"/>
      <c r="Z272" s="590"/>
    </row>
    <row r="273" spans="1:26" ht="15.75" customHeight="1">
      <c r="A273" s="590"/>
      <c r="B273" s="590"/>
      <c r="C273" s="590"/>
      <c r="D273" s="590"/>
      <c r="E273" s="590"/>
      <c r="F273" s="590"/>
      <c r="G273" s="590"/>
      <c r="H273" s="590"/>
      <c r="I273" s="590"/>
      <c r="J273" s="590"/>
      <c r="K273" s="590"/>
      <c r="L273" s="590"/>
      <c r="M273" s="590"/>
      <c r="N273" s="590"/>
      <c r="O273" s="590"/>
      <c r="P273" s="590"/>
      <c r="Q273" s="590"/>
      <c r="R273" s="590"/>
      <c r="S273" s="590"/>
      <c r="T273" s="590"/>
      <c r="U273" s="590"/>
      <c r="V273" s="590"/>
      <c r="W273" s="590"/>
      <c r="X273" s="590"/>
      <c r="Y273" s="590"/>
      <c r="Z273" s="590"/>
    </row>
    <row r="274" spans="1:26" ht="15.75" customHeight="1">
      <c r="A274" s="590"/>
      <c r="B274" s="590"/>
      <c r="C274" s="590"/>
      <c r="D274" s="590"/>
      <c r="E274" s="590"/>
      <c r="F274" s="590"/>
      <c r="G274" s="590"/>
      <c r="H274" s="590"/>
      <c r="I274" s="590"/>
      <c r="J274" s="590"/>
      <c r="K274" s="590"/>
      <c r="L274" s="590"/>
      <c r="M274" s="590"/>
      <c r="N274" s="590"/>
      <c r="O274" s="590"/>
      <c r="P274" s="590"/>
      <c r="Q274" s="590"/>
      <c r="R274" s="590"/>
      <c r="S274" s="590"/>
      <c r="T274" s="590"/>
      <c r="U274" s="590"/>
      <c r="V274" s="590"/>
      <c r="W274" s="590"/>
      <c r="X274" s="590"/>
      <c r="Y274" s="590"/>
      <c r="Z274" s="590"/>
    </row>
    <row r="275" spans="1:26" ht="15.75" customHeight="1">
      <c r="A275" s="590"/>
      <c r="B275" s="590"/>
      <c r="C275" s="590"/>
      <c r="D275" s="590"/>
      <c r="E275" s="590"/>
      <c r="F275" s="590"/>
      <c r="G275" s="590"/>
      <c r="H275" s="590"/>
      <c r="I275" s="590"/>
      <c r="J275" s="590"/>
      <c r="K275" s="590"/>
      <c r="L275" s="590"/>
      <c r="M275" s="590"/>
      <c r="N275" s="590"/>
      <c r="O275" s="590"/>
      <c r="P275" s="590"/>
      <c r="Q275" s="590"/>
      <c r="R275" s="590"/>
      <c r="S275" s="590"/>
      <c r="T275" s="590"/>
      <c r="U275" s="590"/>
      <c r="V275" s="590"/>
      <c r="W275" s="590"/>
      <c r="X275" s="590"/>
      <c r="Y275" s="590"/>
      <c r="Z275" s="590"/>
    </row>
    <row r="276" spans="1:26" ht="15.75" customHeight="1">
      <c r="A276" s="590"/>
      <c r="B276" s="590"/>
      <c r="C276" s="590"/>
      <c r="D276" s="590"/>
      <c r="E276" s="590"/>
      <c r="F276" s="590"/>
      <c r="G276" s="590"/>
      <c r="H276" s="590"/>
      <c r="I276" s="590"/>
      <c r="J276" s="590"/>
      <c r="K276" s="590"/>
      <c r="L276" s="590"/>
      <c r="M276" s="590"/>
      <c r="N276" s="590"/>
      <c r="O276" s="590"/>
      <c r="P276" s="590"/>
      <c r="Q276" s="590"/>
      <c r="R276" s="590"/>
      <c r="S276" s="590"/>
      <c r="T276" s="590"/>
      <c r="U276" s="590"/>
      <c r="V276" s="590"/>
      <c r="W276" s="590"/>
      <c r="X276" s="590"/>
      <c r="Y276" s="590"/>
      <c r="Z276" s="590"/>
    </row>
    <row r="277" spans="1:26" ht="15.75" customHeight="1">
      <c r="A277" s="590"/>
      <c r="B277" s="590"/>
      <c r="C277" s="590"/>
      <c r="D277" s="590"/>
      <c r="E277" s="590"/>
      <c r="F277" s="590"/>
      <c r="G277" s="590"/>
      <c r="H277" s="590"/>
      <c r="I277" s="590"/>
      <c r="J277" s="590"/>
      <c r="K277" s="590"/>
      <c r="L277" s="590"/>
      <c r="M277" s="590"/>
      <c r="N277" s="590"/>
      <c r="O277" s="590"/>
      <c r="P277" s="590"/>
      <c r="Q277" s="590"/>
      <c r="R277" s="590"/>
      <c r="S277" s="590"/>
      <c r="T277" s="590"/>
      <c r="U277" s="590"/>
      <c r="V277" s="590"/>
      <c r="W277" s="590"/>
      <c r="X277" s="590"/>
      <c r="Y277" s="590"/>
      <c r="Z277" s="590"/>
    </row>
    <row r="278" spans="1:26" ht="15.75" customHeight="1">
      <c r="A278" s="590"/>
      <c r="B278" s="590"/>
      <c r="C278" s="590"/>
      <c r="D278" s="590"/>
      <c r="E278" s="590"/>
      <c r="F278" s="590"/>
      <c r="G278" s="590"/>
      <c r="H278" s="590"/>
      <c r="I278" s="590"/>
      <c r="J278" s="590"/>
      <c r="K278" s="590"/>
      <c r="L278" s="590"/>
      <c r="M278" s="590"/>
      <c r="N278" s="590"/>
      <c r="O278" s="590"/>
      <c r="P278" s="590"/>
      <c r="Q278" s="590"/>
      <c r="R278" s="590"/>
      <c r="S278" s="590"/>
      <c r="T278" s="590"/>
      <c r="U278" s="590"/>
      <c r="V278" s="590"/>
      <c r="W278" s="590"/>
      <c r="X278" s="590"/>
      <c r="Y278" s="590"/>
      <c r="Z278" s="590"/>
    </row>
    <row r="279" spans="1:26" ht="15.75" customHeight="1">
      <c r="A279" s="590"/>
      <c r="B279" s="590"/>
      <c r="C279" s="590"/>
      <c r="D279" s="590"/>
      <c r="E279" s="590"/>
      <c r="F279" s="590"/>
      <c r="G279" s="590"/>
      <c r="H279" s="590"/>
      <c r="I279" s="590"/>
      <c r="J279" s="590"/>
      <c r="K279" s="590"/>
      <c r="L279" s="590"/>
      <c r="M279" s="590"/>
      <c r="N279" s="590"/>
      <c r="O279" s="590"/>
      <c r="P279" s="590"/>
      <c r="Q279" s="590"/>
      <c r="R279" s="590"/>
      <c r="S279" s="590"/>
      <c r="T279" s="590"/>
      <c r="U279" s="590"/>
      <c r="V279" s="590"/>
      <c r="W279" s="590"/>
      <c r="X279" s="590"/>
      <c r="Y279" s="590"/>
      <c r="Z279" s="590"/>
    </row>
    <row r="280" spans="1:26" ht="15.75" customHeight="1">
      <c r="A280" s="590"/>
      <c r="B280" s="590"/>
      <c r="C280" s="590"/>
      <c r="D280" s="590"/>
      <c r="E280" s="590"/>
      <c r="F280" s="590"/>
      <c r="G280" s="590"/>
      <c r="H280" s="590"/>
      <c r="I280" s="590"/>
      <c r="J280" s="590"/>
      <c r="K280" s="590"/>
      <c r="L280" s="590"/>
      <c r="M280" s="590"/>
      <c r="N280" s="590"/>
      <c r="O280" s="590"/>
      <c r="P280" s="590"/>
      <c r="Q280" s="590"/>
      <c r="R280" s="590"/>
      <c r="S280" s="590"/>
      <c r="T280" s="590"/>
      <c r="U280" s="590"/>
      <c r="V280" s="590"/>
      <c r="W280" s="590"/>
      <c r="X280" s="590"/>
      <c r="Y280" s="590"/>
      <c r="Z280" s="590"/>
    </row>
    <row r="281" spans="1:26" ht="15.75" customHeight="1">
      <c r="A281" s="590"/>
      <c r="B281" s="590"/>
      <c r="C281" s="590"/>
      <c r="D281" s="590"/>
      <c r="E281" s="590"/>
      <c r="F281" s="590"/>
      <c r="G281" s="590"/>
      <c r="H281" s="590"/>
      <c r="I281" s="590"/>
      <c r="J281" s="590"/>
      <c r="K281" s="590"/>
      <c r="L281" s="590"/>
      <c r="M281" s="590"/>
      <c r="N281" s="590"/>
      <c r="O281" s="590"/>
      <c r="P281" s="590"/>
      <c r="Q281" s="590"/>
      <c r="R281" s="590"/>
      <c r="S281" s="590"/>
      <c r="T281" s="590"/>
      <c r="U281" s="590"/>
      <c r="V281" s="590"/>
      <c r="W281" s="590"/>
      <c r="X281" s="590"/>
      <c r="Y281" s="590"/>
      <c r="Z281" s="590"/>
    </row>
    <row r="282" spans="1:26" ht="15.75" customHeight="1">
      <c r="A282" s="590"/>
      <c r="B282" s="590"/>
      <c r="C282" s="590"/>
      <c r="D282" s="590"/>
      <c r="E282" s="590"/>
      <c r="F282" s="590"/>
      <c r="G282" s="590"/>
      <c r="H282" s="590"/>
      <c r="I282" s="590"/>
      <c r="J282" s="590"/>
      <c r="K282" s="590"/>
      <c r="L282" s="590"/>
      <c r="M282" s="590"/>
      <c r="N282" s="590"/>
      <c r="O282" s="590"/>
      <c r="P282" s="590"/>
      <c r="Q282" s="590"/>
      <c r="R282" s="590"/>
      <c r="S282" s="590"/>
      <c r="T282" s="590"/>
      <c r="U282" s="590"/>
      <c r="V282" s="590"/>
      <c r="W282" s="590"/>
      <c r="X282" s="590"/>
      <c r="Y282" s="590"/>
      <c r="Z282" s="590"/>
    </row>
    <row r="283" spans="1:26" ht="15.75" customHeight="1">
      <c r="A283" s="590"/>
      <c r="B283" s="590"/>
      <c r="C283" s="590"/>
      <c r="D283" s="590"/>
      <c r="E283" s="590"/>
      <c r="F283" s="590"/>
      <c r="G283" s="590"/>
      <c r="H283" s="590"/>
      <c r="I283" s="590"/>
      <c r="J283" s="590"/>
      <c r="K283" s="590"/>
      <c r="L283" s="590"/>
      <c r="M283" s="590"/>
      <c r="N283" s="590"/>
      <c r="O283" s="590"/>
      <c r="P283" s="590"/>
      <c r="Q283" s="590"/>
      <c r="R283" s="590"/>
      <c r="S283" s="590"/>
      <c r="T283" s="590"/>
      <c r="U283" s="590"/>
      <c r="V283" s="590"/>
      <c r="W283" s="590"/>
      <c r="X283" s="590"/>
      <c r="Y283" s="590"/>
      <c r="Z283" s="590"/>
    </row>
    <row r="284" spans="1:26" ht="15.75" customHeight="1">
      <c r="A284" s="590"/>
      <c r="B284" s="590"/>
      <c r="C284" s="590"/>
      <c r="D284" s="590"/>
      <c r="E284" s="590"/>
      <c r="F284" s="590"/>
      <c r="G284" s="590"/>
      <c r="H284" s="590"/>
      <c r="I284" s="590"/>
      <c r="J284" s="590"/>
      <c r="K284" s="590"/>
      <c r="L284" s="590"/>
      <c r="M284" s="590"/>
      <c r="N284" s="590"/>
      <c r="O284" s="590"/>
      <c r="P284" s="590"/>
      <c r="Q284" s="590"/>
      <c r="R284" s="590"/>
      <c r="S284" s="590"/>
      <c r="T284" s="590"/>
      <c r="U284" s="590"/>
      <c r="V284" s="590"/>
      <c r="W284" s="590"/>
      <c r="X284" s="590"/>
      <c r="Y284" s="590"/>
      <c r="Z284" s="590"/>
    </row>
    <row r="285" spans="1:26" ht="15.75" customHeight="1">
      <c r="A285" s="590"/>
      <c r="B285" s="590"/>
      <c r="C285" s="590"/>
      <c r="D285" s="590"/>
      <c r="E285" s="590"/>
      <c r="F285" s="590"/>
      <c r="G285" s="590"/>
      <c r="H285" s="590"/>
      <c r="I285" s="590"/>
      <c r="J285" s="590"/>
      <c r="K285" s="590"/>
      <c r="L285" s="590"/>
      <c r="M285" s="590"/>
      <c r="N285" s="590"/>
      <c r="O285" s="590"/>
      <c r="P285" s="590"/>
      <c r="Q285" s="590"/>
      <c r="R285" s="590"/>
      <c r="S285" s="590"/>
      <c r="T285" s="590"/>
      <c r="U285" s="590"/>
      <c r="V285" s="590"/>
      <c r="W285" s="590"/>
      <c r="X285" s="590"/>
      <c r="Y285" s="590"/>
      <c r="Z285" s="590"/>
    </row>
    <row r="286" spans="1:26" ht="15.75" customHeight="1">
      <c r="A286" s="590"/>
      <c r="B286" s="590"/>
      <c r="C286" s="590"/>
      <c r="D286" s="590"/>
      <c r="E286" s="590"/>
      <c r="F286" s="590"/>
      <c r="G286" s="590"/>
      <c r="H286" s="590"/>
      <c r="I286" s="590"/>
      <c r="J286" s="590"/>
      <c r="K286" s="590"/>
      <c r="L286" s="590"/>
      <c r="M286" s="590"/>
      <c r="N286" s="590"/>
      <c r="O286" s="590"/>
      <c r="P286" s="590"/>
      <c r="Q286" s="590"/>
      <c r="R286" s="590"/>
      <c r="S286" s="590"/>
      <c r="T286" s="590"/>
      <c r="U286" s="590"/>
      <c r="V286" s="590"/>
      <c r="W286" s="590"/>
      <c r="X286" s="590"/>
      <c r="Y286" s="590"/>
      <c r="Z286" s="590"/>
    </row>
    <row r="287" spans="1:26" ht="15.75" customHeight="1">
      <c r="A287" s="590"/>
      <c r="B287" s="590"/>
      <c r="C287" s="590"/>
      <c r="D287" s="590"/>
      <c r="E287" s="590"/>
      <c r="F287" s="590"/>
      <c r="G287" s="590"/>
      <c r="H287" s="590"/>
      <c r="I287" s="590"/>
      <c r="J287" s="590"/>
      <c r="K287" s="590"/>
      <c r="L287" s="590"/>
      <c r="M287" s="590"/>
      <c r="N287" s="590"/>
      <c r="O287" s="590"/>
      <c r="P287" s="590"/>
      <c r="Q287" s="590"/>
      <c r="R287" s="590"/>
      <c r="S287" s="590"/>
      <c r="T287" s="590"/>
      <c r="U287" s="590"/>
      <c r="V287" s="590"/>
      <c r="W287" s="590"/>
      <c r="X287" s="590"/>
      <c r="Y287" s="590"/>
      <c r="Z287" s="590"/>
    </row>
    <row r="288" spans="1:26" ht="15.75" customHeight="1">
      <c r="A288" s="590"/>
      <c r="B288" s="590"/>
      <c r="C288" s="590"/>
      <c r="D288" s="590"/>
      <c r="E288" s="590"/>
      <c r="F288" s="590"/>
      <c r="G288" s="590"/>
      <c r="H288" s="590"/>
      <c r="I288" s="590"/>
      <c r="J288" s="590"/>
      <c r="K288" s="590"/>
      <c r="L288" s="590"/>
      <c r="M288" s="590"/>
      <c r="N288" s="590"/>
      <c r="O288" s="590"/>
      <c r="P288" s="590"/>
      <c r="Q288" s="590"/>
      <c r="R288" s="590"/>
      <c r="S288" s="590"/>
      <c r="T288" s="590"/>
      <c r="U288" s="590"/>
      <c r="V288" s="590"/>
      <c r="W288" s="590"/>
      <c r="X288" s="590"/>
      <c r="Y288" s="590"/>
      <c r="Z288" s="590"/>
    </row>
    <row r="289" spans="1:26" ht="15.75" customHeight="1">
      <c r="A289" s="590"/>
      <c r="B289" s="590"/>
      <c r="C289" s="590"/>
      <c r="D289" s="590"/>
      <c r="E289" s="590"/>
      <c r="F289" s="590"/>
      <c r="G289" s="590"/>
      <c r="H289" s="590"/>
      <c r="I289" s="590"/>
      <c r="J289" s="590"/>
      <c r="K289" s="590"/>
      <c r="L289" s="590"/>
      <c r="M289" s="590"/>
      <c r="N289" s="590"/>
      <c r="O289" s="590"/>
      <c r="P289" s="590"/>
      <c r="Q289" s="590"/>
      <c r="R289" s="590"/>
      <c r="S289" s="590"/>
      <c r="T289" s="590"/>
      <c r="U289" s="590"/>
      <c r="V289" s="590"/>
      <c r="W289" s="590"/>
      <c r="X289" s="590"/>
      <c r="Y289" s="590"/>
      <c r="Z289" s="590"/>
    </row>
    <row r="290" spans="1:26" ht="15.75" customHeight="1">
      <c r="A290" s="590"/>
      <c r="B290" s="590"/>
      <c r="C290" s="590"/>
      <c r="D290" s="590"/>
      <c r="E290" s="590"/>
      <c r="F290" s="590"/>
      <c r="G290" s="590"/>
      <c r="H290" s="590"/>
      <c r="I290" s="590"/>
      <c r="J290" s="590"/>
      <c r="K290" s="590"/>
      <c r="L290" s="590"/>
      <c r="M290" s="590"/>
      <c r="N290" s="590"/>
      <c r="O290" s="590"/>
      <c r="P290" s="590"/>
      <c r="Q290" s="590"/>
      <c r="R290" s="590"/>
      <c r="S290" s="590"/>
      <c r="T290" s="590"/>
      <c r="U290" s="590"/>
      <c r="V290" s="590"/>
      <c r="W290" s="590"/>
      <c r="X290" s="590"/>
      <c r="Y290" s="590"/>
      <c r="Z290" s="590"/>
    </row>
    <row r="291" spans="1:26" ht="15.75" customHeight="1">
      <c r="A291" s="590"/>
      <c r="B291" s="590"/>
      <c r="C291" s="590"/>
      <c r="D291" s="590"/>
      <c r="E291" s="590"/>
      <c r="F291" s="590"/>
      <c r="G291" s="590"/>
      <c r="H291" s="590"/>
      <c r="I291" s="590"/>
      <c r="J291" s="590"/>
      <c r="K291" s="590"/>
      <c r="L291" s="590"/>
      <c r="M291" s="590"/>
      <c r="N291" s="590"/>
      <c r="O291" s="590"/>
      <c r="P291" s="590"/>
      <c r="Q291" s="590"/>
      <c r="R291" s="590"/>
      <c r="S291" s="590"/>
      <c r="T291" s="590"/>
      <c r="U291" s="590"/>
      <c r="V291" s="590"/>
      <c r="W291" s="590"/>
      <c r="X291" s="590"/>
      <c r="Y291" s="590"/>
      <c r="Z291" s="590"/>
    </row>
    <row r="292" spans="1:26" ht="15.75" customHeight="1">
      <c r="A292" s="590"/>
      <c r="B292" s="590"/>
      <c r="C292" s="590"/>
      <c r="D292" s="590"/>
      <c r="E292" s="590"/>
      <c r="F292" s="590"/>
      <c r="G292" s="590"/>
      <c r="H292" s="590"/>
      <c r="I292" s="590"/>
      <c r="J292" s="590"/>
      <c r="K292" s="590"/>
      <c r="L292" s="590"/>
      <c r="M292" s="590"/>
      <c r="N292" s="590"/>
      <c r="O292" s="590"/>
      <c r="P292" s="590"/>
      <c r="Q292" s="590"/>
      <c r="R292" s="590"/>
      <c r="S292" s="590"/>
      <c r="T292" s="590"/>
      <c r="U292" s="590"/>
      <c r="V292" s="590"/>
      <c r="W292" s="590"/>
      <c r="X292" s="590"/>
      <c r="Y292" s="590"/>
      <c r="Z292" s="590"/>
    </row>
    <row r="293" spans="1:26" ht="15.75" customHeight="1">
      <c r="A293" s="590"/>
      <c r="B293" s="590"/>
      <c r="C293" s="590"/>
      <c r="D293" s="590"/>
      <c r="E293" s="590"/>
      <c r="F293" s="590"/>
      <c r="G293" s="590"/>
      <c r="H293" s="590"/>
      <c r="I293" s="590"/>
      <c r="J293" s="590"/>
      <c r="K293" s="590"/>
      <c r="L293" s="590"/>
      <c r="M293" s="590"/>
      <c r="N293" s="590"/>
      <c r="O293" s="590"/>
      <c r="P293" s="590"/>
      <c r="Q293" s="590"/>
      <c r="R293" s="590"/>
      <c r="S293" s="590"/>
      <c r="T293" s="590"/>
      <c r="U293" s="590"/>
      <c r="V293" s="590"/>
      <c r="W293" s="590"/>
      <c r="X293" s="590"/>
      <c r="Y293" s="590"/>
      <c r="Z293" s="590"/>
    </row>
    <row r="294" spans="1:26" ht="15.75" customHeight="1">
      <c r="A294" s="590"/>
      <c r="B294" s="590"/>
      <c r="C294" s="590"/>
      <c r="D294" s="590"/>
      <c r="E294" s="590"/>
      <c r="F294" s="590"/>
      <c r="G294" s="590"/>
      <c r="H294" s="590"/>
      <c r="I294" s="590"/>
      <c r="J294" s="590"/>
      <c r="K294" s="590"/>
      <c r="L294" s="590"/>
      <c r="M294" s="590"/>
      <c r="N294" s="590"/>
      <c r="O294" s="590"/>
      <c r="P294" s="590"/>
      <c r="Q294" s="590"/>
      <c r="R294" s="590"/>
      <c r="S294" s="590"/>
      <c r="T294" s="590"/>
      <c r="U294" s="590"/>
      <c r="V294" s="590"/>
      <c r="W294" s="590"/>
      <c r="X294" s="590"/>
      <c r="Y294" s="590"/>
      <c r="Z294" s="590"/>
    </row>
    <row r="295" spans="1:26" ht="15.75" customHeight="1">
      <c r="A295" s="590"/>
      <c r="B295" s="590"/>
      <c r="C295" s="590"/>
      <c r="D295" s="590"/>
      <c r="E295" s="590"/>
      <c r="F295" s="590"/>
      <c r="G295" s="590"/>
      <c r="H295" s="590"/>
      <c r="I295" s="590"/>
      <c r="J295" s="590"/>
      <c r="K295" s="590"/>
      <c r="L295" s="590"/>
      <c r="M295" s="590"/>
      <c r="N295" s="590"/>
      <c r="O295" s="590"/>
      <c r="P295" s="590"/>
      <c r="Q295" s="590"/>
      <c r="R295" s="590"/>
      <c r="S295" s="590"/>
      <c r="T295" s="590"/>
      <c r="U295" s="590"/>
      <c r="V295" s="590"/>
      <c r="W295" s="590"/>
      <c r="X295" s="590"/>
      <c r="Y295" s="590"/>
      <c r="Z295" s="590"/>
    </row>
    <row r="296" spans="1:26" ht="15.75" customHeight="1">
      <c r="A296" s="590"/>
      <c r="B296" s="590"/>
      <c r="C296" s="590"/>
      <c r="D296" s="590"/>
      <c r="E296" s="590"/>
      <c r="F296" s="590"/>
      <c r="G296" s="590"/>
      <c r="H296" s="590"/>
      <c r="I296" s="590"/>
      <c r="J296" s="590"/>
      <c r="K296" s="590"/>
      <c r="L296" s="590"/>
      <c r="M296" s="590"/>
      <c r="N296" s="590"/>
      <c r="O296" s="590"/>
      <c r="P296" s="590"/>
      <c r="Q296" s="590"/>
      <c r="R296" s="590"/>
      <c r="S296" s="590"/>
      <c r="T296" s="590"/>
      <c r="U296" s="590"/>
      <c r="V296" s="590"/>
      <c r="W296" s="590"/>
      <c r="X296" s="590"/>
      <c r="Y296" s="590"/>
      <c r="Z296" s="590"/>
    </row>
    <row r="297" spans="1:26" ht="15.75" customHeight="1">
      <c r="A297" s="590"/>
      <c r="B297" s="590"/>
      <c r="C297" s="590"/>
      <c r="D297" s="590"/>
      <c r="E297" s="590"/>
      <c r="F297" s="590"/>
      <c r="G297" s="590"/>
      <c r="H297" s="590"/>
      <c r="I297" s="590"/>
      <c r="J297" s="590"/>
      <c r="K297" s="590"/>
      <c r="L297" s="590"/>
      <c r="M297" s="590"/>
      <c r="N297" s="590"/>
      <c r="O297" s="590"/>
      <c r="P297" s="590"/>
      <c r="Q297" s="590"/>
      <c r="R297" s="590"/>
      <c r="S297" s="590"/>
      <c r="T297" s="590"/>
      <c r="U297" s="590"/>
      <c r="V297" s="590"/>
      <c r="W297" s="590"/>
      <c r="X297" s="590"/>
      <c r="Y297" s="590"/>
      <c r="Z297" s="590"/>
    </row>
    <row r="298" spans="1:26" ht="15.75" customHeight="1">
      <c r="A298" s="590"/>
      <c r="B298" s="590"/>
      <c r="C298" s="590"/>
      <c r="D298" s="590"/>
      <c r="E298" s="590"/>
      <c r="F298" s="590"/>
      <c r="G298" s="590"/>
      <c r="H298" s="590"/>
      <c r="I298" s="590"/>
      <c r="J298" s="590"/>
      <c r="K298" s="590"/>
      <c r="L298" s="590"/>
      <c r="M298" s="590"/>
      <c r="N298" s="590"/>
      <c r="O298" s="590"/>
      <c r="P298" s="590"/>
      <c r="Q298" s="590"/>
      <c r="R298" s="590"/>
      <c r="S298" s="590"/>
      <c r="T298" s="590"/>
      <c r="U298" s="590"/>
      <c r="V298" s="590"/>
      <c r="W298" s="590"/>
      <c r="X298" s="590"/>
      <c r="Y298" s="590"/>
      <c r="Z298" s="590"/>
    </row>
    <row r="299" spans="1:26" ht="15.75" customHeight="1">
      <c r="A299" s="590"/>
      <c r="B299" s="590"/>
      <c r="C299" s="590"/>
      <c r="D299" s="590"/>
      <c r="E299" s="590"/>
      <c r="F299" s="590"/>
      <c r="G299" s="590"/>
      <c r="H299" s="590"/>
      <c r="I299" s="590"/>
      <c r="J299" s="590"/>
      <c r="K299" s="590"/>
      <c r="L299" s="590"/>
      <c r="M299" s="590"/>
      <c r="N299" s="590"/>
      <c r="O299" s="590"/>
      <c r="P299" s="590"/>
      <c r="Q299" s="590"/>
      <c r="R299" s="590"/>
      <c r="S299" s="590"/>
      <c r="T299" s="590"/>
      <c r="U299" s="590"/>
      <c r="V299" s="590"/>
      <c r="W299" s="590"/>
      <c r="X299" s="590"/>
      <c r="Y299" s="590"/>
      <c r="Z299" s="590"/>
    </row>
    <row r="300" spans="1:26" ht="15.75" customHeight="1">
      <c r="A300" s="590"/>
      <c r="B300" s="590"/>
      <c r="C300" s="590"/>
      <c r="D300" s="590"/>
      <c r="E300" s="590"/>
      <c r="F300" s="590"/>
      <c r="G300" s="590"/>
      <c r="H300" s="590"/>
      <c r="I300" s="590"/>
      <c r="J300" s="590"/>
      <c r="K300" s="590"/>
      <c r="L300" s="590"/>
      <c r="M300" s="590"/>
      <c r="N300" s="590"/>
      <c r="O300" s="590"/>
      <c r="P300" s="590"/>
      <c r="Q300" s="590"/>
      <c r="R300" s="590"/>
      <c r="S300" s="590"/>
      <c r="T300" s="590"/>
      <c r="U300" s="590"/>
      <c r="V300" s="590"/>
      <c r="W300" s="590"/>
      <c r="X300" s="590"/>
      <c r="Y300" s="590"/>
      <c r="Z300" s="590"/>
    </row>
    <row r="301" spans="1:26" ht="15.75" customHeight="1">
      <c r="A301" s="590"/>
      <c r="B301" s="590"/>
      <c r="C301" s="590"/>
      <c r="D301" s="590"/>
      <c r="E301" s="590"/>
      <c r="F301" s="590"/>
      <c r="G301" s="590"/>
      <c r="H301" s="590"/>
      <c r="I301" s="590"/>
      <c r="J301" s="590"/>
      <c r="K301" s="590"/>
      <c r="L301" s="590"/>
      <c r="M301" s="590"/>
      <c r="N301" s="590"/>
      <c r="O301" s="590"/>
      <c r="P301" s="590"/>
      <c r="Q301" s="590"/>
      <c r="R301" s="590"/>
      <c r="S301" s="590"/>
      <c r="T301" s="590"/>
      <c r="U301" s="590"/>
      <c r="V301" s="590"/>
      <c r="W301" s="590"/>
      <c r="X301" s="590"/>
      <c r="Y301" s="590"/>
      <c r="Z301" s="590"/>
    </row>
    <row r="302" spans="1:26" ht="15.75" customHeight="1">
      <c r="A302" s="590"/>
      <c r="B302" s="590"/>
      <c r="C302" s="590"/>
      <c r="D302" s="590"/>
      <c r="E302" s="590"/>
      <c r="F302" s="590"/>
      <c r="G302" s="590"/>
      <c r="H302" s="590"/>
      <c r="I302" s="590"/>
      <c r="J302" s="590"/>
      <c r="K302" s="590"/>
      <c r="L302" s="590"/>
      <c r="M302" s="590"/>
      <c r="N302" s="590"/>
      <c r="O302" s="590"/>
      <c r="P302" s="590"/>
      <c r="Q302" s="590"/>
      <c r="R302" s="590"/>
      <c r="S302" s="590"/>
      <c r="T302" s="590"/>
      <c r="U302" s="590"/>
      <c r="V302" s="590"/>
      <c r="W302" s="590"/>
      <c r="X302" s="590"/>
      <c r="Y302" s="590"/>
      <c r="Z302" s="590"/>
    </row>
    <row r="303" spans="1:26" ht="15.75" customHeight="1">
      <c r="A303" s="590"/>
      <c r="B303" s="590"/>
      <c r="C303" s="590"/>
      <c r="D303" s="590"/>
      <c r="E303" s="590"/>
      <c r="F303" s="590"/>
      <c r="G303" s="590"/>
      <c r="H303" s="590"/>
      <c r="I303" s="590"/>
      <c r="J303" s="590"/>
      <c r="K303" s="590"/>
      <c r="L303" s="590"/>
      <c r="M303" s="590"/>
      <c r="N303" s="590"/>
      <c r="O303" s="590"/>
      <c r="P303" s="590"/>
      <c r="Q303" s="590"/>
      <c r="R303" s="590"/>
      <c r="S303" s="590"/>
      <c r="T303" s="590"/>
      <c r="U303" s="590"/>
      <c r="V303" s="590"/>
      <c r="W303" s="590"/>
      <c r="X303" s="590"/>
      <c r="Y303" s="590"/>
      <c r="Z303" s="590"/>
    </row>
    <row r="304" spans="1:26" ht="15.75" customHeight="1">
      <c r="A304" s="590"/>
      <c r="B304" s="590"/>
      <c r="C304" s="590"/>
      <c r="D304" s="590"/>
      <c r="E304" s="590"/>
      <c r="F304" s="590"/>
      <c r="G304" s="590"/>
      <c r="H304" s="590"/>
      <c r="I304" s="590"/>
      <c r="J304" s="590"/>
      <c r="K304" s="590"/>
      <c r="L304" s="590"/>
      <c r="M304" s="590"/>
      <c r="N304" s="590"/>
      <c r="O304" s="590"/>
      <c r="P304" s="590"/>
      <c r="Q304" s="590"/>
      <c r="R304" s="590"/>
      <c r="S304" s="590"/>
      <c r="T304" s="590"/>
      <c r="U304" s="590"/>
      <c r="V304" s="590"/>
      <c r="W304" s="590"/>
      <c r="X304" s="590"/>
      <c r="Y304" s="590"/>
      <c r="Z304" s="590"/>
    </row>
    <row r="305" spans="1:26" ht="15.75" customHeight="1">
      <c r="A305" s="590"/>
      <c r="B305" s="590"/>
      <c r="C305" s="590"/>
      <c r="D305" s="590"/>
      <c r="E305" s="590"/>
      <c r="F305" s="590"/>
      <c r="G305" s="590"/>
      <c r="H305" s="590"/>
      <c r="I305" s="590"/>
      <c r="J305" s="590"/>
      <c r="K305" s="590"/>
      <c r="L305" s="590"/>
      <c r="M305" s="590"/>
      <c r="N305" s="590"/>
      <c r="O305" s="590"/>
      <c r="P305" s="590"/>
      <c r="Q305" s="590"/>
      <c r="R305" s="590"/>
      <c r="S305" s="590"/>
      <c r="T305" s="590"/>
      <c r="U305" s="590"/>
      <c r="V305" s="590"/>
      <c r="W305" s="590"/>
      <c r="X305" s="590"/>
      <c r="Y305" s="590"/>
      <c r="Z305" s="590"/>
    </row>
    <row r="306" spans="1:26" ht="15.75" customHeight="1">
      <c r="A306" s="590"/>
      <c r="B306" s="590"/>
      <c r="C306" s="590"/>
      <c r="D306" s="590"/>
      <c r="E306" s="590"/>
      <c r="F306" s="590"/>
      <c r="G306" s="590"/>
      <c r="H306" s="590"/>
      <c r="I306" s="590"/>
      <c r="J306" s="590"/>
      <c r="K306" s="590"/>
      <c r="L306" s="590"/>
      <c r="M306" s="590"/>
      <c r="N306" s="590"/>
      <c r="O306" s="590"/>
      <c r="P306" s="590"/>
      <c r="Q306" s="590"/>
      <c r="R306" s="590"/>
      <c r="S306" s="590"/>
      <c r="T306" s="590"/>
      <c r="U306" s="590"/>
      <c r="V306" s="590"/>
      <c r="W306" s="590"/>
      <c r="X306" s="590"/>
      <c r="Y306" s="590"/>
      <c r="Z306" s="590"/>
    </row>
    <row r="307" spans="1:26" ht="15.75" customHeight="1">
      <c r="A307" s="590"/>
      <c r="B307" s="590"/>
      <c r="C307" s="590"/>
      <c r="D307" s="590"/>
      <c r="E307" s="590"/>
      <c r="F307" s="590"/>
      <c r="G307" s="590"/>
      <c r="H307" s="590"/>
      <c r="I307" s="590"/>
      <c r="J307" s="590"/>
      <c r="K307" s="590"/>
      <c r="L307" s="590"/>
      <c r="M307" s="590"/>
      <c r="N307" s="590"/>
      <c r="O307" s="590"/>
      <c r="P307" s="590"/>
      <c r="Q307" s="590"/>
      <c r="R307" s="590"/>
      <c r="S307" s="590"/>
      <c r="T307" s="590"/>
      <c r="U307" s="590"/>
      <c r="V307" s="590"/>
      <c r="W307" s="590"/>
      <c r="X307" s="590"/>
      <c r="Y307" s="590"/>
      <c r="Z307" s="590"/>
    </row>
    <row r="308" spans="1:26" ht="15.75" customHeight="1">
      <c r="A308" s="590"/>
      <c r="B308" s="590"/>
      <c r="C308" s="590"/>
      <c r="D308" s="590"/>
      <c r="E308" s="590"/>
      <c r="F308" s="590"/>
      <c r="G308" s="590"/>
      <c r="H308" s="590"/>
      <c r="I308" s="590"/>
      <c r="J308" s="590"/>
      <c r="K308" s="590"/>
      <c r="L308" s="590"/>
      <c r="M308" s="590"/>
      <c r="N308" s="590"/>
      <c r="O308" s="590"/>
      <c r="P308" s="590"/>
      <c r="Q308" s="590"/>
      <c r="R308" s="590"/>
      <c r="S308" s="590"/>
      <c r="T308" s="590"/>
      <c r="U308" s="590"/>
      <c r="V308" s="590"/>
      <c r="W308" s="590"/>
      <c r="X308" s="590"/>
      <c r="Y308" s="590"/>
      <c r="Z308" s="590"/>
    </row>
    <row r="309" spans="1:26" ht="15.75" customHeight="1">
      <c r="A309" s="590"/>
      <c r="B309" s="590"/>
      <c r="C309" s="590"/>
      <c r="D309" s="590"/>
      <c r="E309" s="590"/>
      <c r="F309" s="590"/>
      <c r="G309" s="590"/>
      <c r="H309" s="590"/>
      <c r="I309" s="590"/>
      <c r="J309" s="590"/>
      <c r="K309" s="590"/>
      <c r="L309" s="590"/>
      <c r="M309" s="590"/>
      <c r="N309" s="590"/>
      <c r="O309" s="590"/>
      <c r="P309" s="590"/>
      <c r="Q309" s="590"/>
      <c r="R309" s="590"/>
      <c r="S309" s="590"/>
      <c r="T309" s="590"/>
      <c r="U309" s="590"/>
      <c r="V309" s="590"/>
      <c r="W309" s="590"/>
      <c r="X309" s="590"/>
      <c r="Y309" s="590"/>
      <c r="Z309" s="590"/>
    </row>
    <row r="310" spans="1:26" ht="15.75" customHeight="1">
      <c r="A310" s="590"/>
      <c r="B310" s="590"/>
      <c r="C310" s="590"/>
      <c r="D310" s="590"/>
      <c r="E310" s="590"/>
      <c r="F310" s="590"/>
      <c r="G310" s="590"/>
      <c r="H310" s="590"/>
      <c r="I310" s="590"/>
      <c r="J310" s="590"/>
      <c r="K310" s="590"/>
      <c r="L310" s="590"/>
      <c r="M310" s="590"/>
      <c r="N310" s="590"/>
      <c r="O310" s="590"/>
      <c r="P310" s="590"/>
      <c r="Q310" s="590"/>
      <c r="R310" s="590"/>
      <c r="S310" s="590"/>
      <c r="T310" s="590"/>
      <c r="U310" s="590"/>
      <c r="V310" s="590"/>
      <c r="W310" s="590"/>
      <c r="X310" s="590"/>
      <c r="Y310" s="590"/>
      <c r="Z310" s="590"/>
    </row>
    <row r="311" spans="1:26" ht="15.75" customHeight="1">
      <c r="A311" s="590"/>
      <c r="B311" s="590"/>
      <c r="C311" s="590"/>
      <c r="D311" s="590"/>
      <c r="E311" s="590"/>
      <c r="F311" s="590"/>
      <c r="G311" s="590"/>
      <c r="H311" s="590"/>
      <c r="I311" s="590"/>
      <c r="J311" s="590"/>
      <c r="K311" s="590"/>
      <c r="L311" s="590"/>
      <c r="M311" s="590"/>
      <c r="N311" s="590"/>
      <c r="O311" s="590"/>
      <c r="P311" s="590"/>
      <c r="Q311" s="590"/>
      <c r="R311" s="590"/>
      <c r="S311" s="590"/>
      <c r="T311" s="590"/>
      <c r="U311" s="590"/>
      <c r="V311" s="590"/>
      <c r="W311" s="590"/>
      <c r="X311" s="590"/>
      <c r="Y311" s="590"/>
      <c r="Z311" s="590"/>
    </row>
    <row r="312" spans="1:26" ht="15.75" customHeight="1">
      <c r="A312" s="590"/>
      <c r="B312" s="590"/>
      <c r="C312" s="590"/>
      <c r="D312" s="590"/>
      <c r="E312" s="590"/>
      <c r="F312" s="590"/>
      <c r="G312" s="590"/>
      <c r="H312" s="590"/>
      <c r="I312" s="590"/>
      <c r="J312" s="590"/>
      <c r="K312" s="590"/>
      <c r="L312" s="590"/>
      <c r="M312" s="590"/>
      <c r="N312" s="590"/>
      <c r="O312" s="590"/>
      <c r="P312" s="590"/>
      <c r="Q312" s="590"/>
      <c r="R312" s="590"/>
      <c r="S312" s="590"/>
      <c r="T312" s="590"/>
      <c r="U312" s="590"/>
      <c r="V312" s="590"/>
      <c r="W312" s="590"/>
      <c r="X312" s="590"/>
      <c r="Y312" s="590"/>
      <c r="Z312" s="590"/>
    </row>
    <row r="313" spans="1:26" ht="15.75" customHeight="1">
      <c r="A313" s="590"/>
      <c r="B313" s="590"/>
      <c r="C313" s="590"/>
      <c r="D313" s="590"/>
      <c r="E313" s="590"/>
      <c r="F313" s="590"/>
      <c r="G313" s="590"/>
      <c r="H313" s="590"/>
      <c r="I313" s="590"/>
      <c r="J313" s="590"/>
      <c r="K313" s="590"/>
      <c r="L313" s="590"/>
      <c r="M313" s="590"/>
      <c r="N313" s="590"/>
      <c r="O313" s="590"/>
      <c r="P313" s="590"/>
      <c r="Q313" s="590"/>
      <c r="R313" s="590"/>
      <c r="S313" s="590"/>
      <c r="T313" s="590"/>
      <c r="U313" s="590"/>
      <c r="V313" s="590"/>
      <c r="W313" s="590"/>
      <c r="X313" s="590"/>
      <c r="Y313" s="590"/>
      <c r="Z313" s="590"/>
    </row>
    <row r="314" spans="1:26" ht="15.75" customHeight="1">
      <c r="A314" s="590"/>
      <c r="B314" s="590"/>
      <c r="C314" s="590"/>
      <c r="D314" s="590"/>
      <c r="E314" s="590"/>
      <c r="F314" s="590"/>
      <c r="G314" s="590"/>
      <c r="H314" s="590"/>
      <c r="I314" s="590"/>
      <c r="J314" s="590"/>
      <c r="K314" s="590"/>
      <c r="L314" s="590"/>
      <c r="M314" s="590"/>
      <c r="N314" s="590"/>
      <c r="O314" s="590"/>
      <c r="P314" s="590"/>
      <c r="Q314" s="590"/>
      <c r="R314" s="590"/>
      <c r="S314" s="590"/>
      <c r="T314" s="590"/>
      <c r="U314" s="590"/>
      <c r="V314" s="590"/>
      <c r="W314" s="590"/>
      <c r="X314" s="590"/>
      <c r="Y314" s="590"/>
      <c r="Z314" s="590"/>
    </row>
    <row r="315" spans="1:26" ht="15.75" customHeight="1">
      <c r="A315" s="590"/>
      <c r="B315" s="590"/>
      <c r="C315" s="590"/>
      <c r="D315" s="590"/>
      <c r="E315" s="590"/>
      <c r="F315" s="590"/>
      <c r="G315" s="590"/>
      <c r="H315" s="590"/>
      <c r="I315" s="590"/>
      <c r="J315" s="590"/>
      <c r="K315" s="590"/>
      <c r="L315" s="590"/>
      <c r="M315" s="590"/>
      <c r="N315" s="590"/>
      <c r="O315" s="590"/>
      <c r="P315" s="590"/>
      <c r="Q315" s="590"/>
      <c r="R315" s="590"/>
      <c r="S315" s="590"/>
      <c r="T315" s="590"/>
      <c r="U315" s="590"/>
      <c r="V315" s="590"/>
      <c r="W315" s="590"/>
      <c r="X315" s="590"/>
      <c r="Y315" s="590"/>
      <c r="Z315" s="590"/>
    </row>
    <row r="316" spans="1:26" ht="15.75" customHeight="1">
      <c r="A316" s="590"/>
      <c r="B316" s="590"/>
      <c r="C316" s="590"/>
      <c r="D316" s="590"/>
      <c r="E316" s="590"/>
      <c r="F316" s="590"/>
      <c r="G316" s="590"/>
      <c r="H316" s="590"/>
      <c r="I316" s="590"/>
      <c r="J316" s="590"/>
      <c r="K316" s="590"/>
      <c r="L316" s="590"/>
      <c r="M316" s="590"/>
      <c r="N316" s="590"/>
      <c r="O316" s="590"/>
      <c r="P316" s="590"/>
      <c r="Q316" s="590"/>
      <c r="R316" s="590"/>
      <c r="S316" s="590"/>
      <c r="T316" s="590"/>
      <c r="U316" s="590"/>
      <c r="V316" s="590"/>
      <c r="W316" s="590"/>
      <c r="X316" s="590"/>
      <c r="Y316" s="590"/>
      <c r="Z316" s="590"/>
    </row>
    <row r="317" spans="1:26" ht="15.75" customHeight="1">
      <c r="A317" s="590"/>
      <c r="B317" s="590"/>
      <c r="C317" s="590"/>
      <c r="D317" s="590"/>
      <c r="E317" s="590"/>
      <c r="F317" s="590"/>
      <c r="G317" s="590"/>
      <c r="H317" s="590"/>
      <c r="I317" s="590"/>
      <c r="J317" s="590"/>
      <c r="K317" s="590"/>
      <c r="L317" s="590"/>
      <c r="M317" s="590"/>
      <c r="N317" s="590"/>
      <c r="O317" s="590"/>
      <c r="P317" s="590"/>
      <c r="Q317" s="590"/>
      <c r="R317" s="590"/>
      <c r="S317" s="590"/>
      <c r="T317" s="590"/>
      <c r="U317" s="590"/>
      <c r="V317" s="590"/>
      <c r="W317" s="590"/>
      <c r="X317" s="590"/>
      <c r="Y317" s="590"/>
      <c r="Z317" s="590"/>
    </row>
    <row r="318" spans="1:26" ht="15.75" customHeight="1">
      <c r="A318" s="590"/>
      <c r="B318" s="590"/>
      <c r="C318" s="590"/>
      <c r="D318" s="590"/>
      <c r="E318" s="590"/>
      <c r="F318" s="590"/>
      <c r="G318" s="590"/>
      <c r="H318" s="590"/>
      <c r="I318" s="590"/>
      <c r="J318" s="590"/>
      <c r="K318" s="590"/>
      <c r="L318" s="590"/>
      <c r="M318" s="590"/>
      <c r="N318" s="590"/>
      <c r="O318" s="590"/>
      <c r="P318" s="590"/>
      <c r="Q318" s="590"/>
      <c r="R318" s="590"/>
      <c r="S318" s="590"/>
      <c r="T318" s="590"/>
      <c r="U318" s="590"/>
      <c r="V318" s="590"/>
      <c r="W318" s="590"/>
      <c r="X318" s="590"/>
      <c r="Y318" s="590"/>
      <c r="Z318" s="590"/>
    </row>
    <row r="319" spans="1:26" ht="15.75" customHeight="1">
      <c r="A319" s="590"/>
      <c r="B319" s="590"/>
      <c r="C319" s="590"/>
      <c r="D319" s="590"/>
      <c r="E319" s="590"/>
      <c r="F319" s="590"/>
      <c r="G319" s="590"/>
      <c r="H319" s="590"/>
      <c r="I319" s="590"/>
      <c r="J319" s="590"/>
      <c r="K319" s="590"/>
      <c r="L319" s="590"/>
      <c r="M319" s="590"/>
      <c r="N319" s="590"/>
      <c r="O319" s="590"/>
      <c r="P319" s="590"/>
      <c r="Q319" s="590"/>
      <c r="R319" s="590"/>
      <c r="S319" s="590"/>
      <c r="T319" s="590"/>
      <c r="U319" s="590"/>
      <c r="V319" s="590"/>
      <c r="W319" s="590"/>
      <c r="X319" s="590"/>
      <c r="Y319" s="590"/>
      <c r="Z319" s="590"/>
    </row>
    <row r="320" spans="1:26" ht="15.75" customHeight="1">
      <c r="A320" s="590"/>
      <c r="B320" s="590"/>
      <c r="C320" s="590"/>
      <c r="D320" s="590"/>
      <c r="E320" s="590"/>
      <c r="F320" s="590"/>
      <c r="G320" s="590"/>
      <c r="H320" s="590"/>
      <c r="I320" s="590"/>
      <c r="J320" s="590"/>
      <c r="K320" s="590"/>
      <c r="L320" s="590"/>
      <c r="M320" s="590"/>
      <c r="N320" s="590"/>
      <c r="O320" s="590"/>
      <c r="P320" s="590"/>
      <c r="Q320" s="590"/>
      <c r="R320" s="590"/>
      <c r="S320" s="590"/>
      <c r="T320" s="590"/>
      <c r="U320" s="590"/>
      <c r="V320" s="590"/>
      <c r="W320" s="590"/>
      <c r="X320" s="590"/>
      <c r="Y320" s="590"/>
      <c r="Z320" s="590"/>
    </row>
    <row r="321" spans="1:26" ht="15.75" customHeight="1">
      <c r="A321" s="590"/>
      <c r="B321" s="590"/>
      <c r="C321" s="590"/>
      <c r="D321" s="590"/>
      <c r="E321" s="590"/>
      <c r="F321" s="590"/>
      <c r="G321" s="590"/>
      <c r="H321" s="590"/>
      <c r="I321" s="590"/>
      <c r="J321" s="590"/>
      <c r="K321" s="590"/>
      <c r="L321" s="590"/>
      <c r="M321" s="590"/>
      <c r="N321" s="590"/>
      <c r="O321" s="590"/>
      <c r="P321" s="590"/>
      <c r="Q321" s="590"/>
      <c r="R321" s="590"/>
      <c r="S321" s="590"/>
      <c r="T321" s="590"/>
      <c r="U321" s="590"/>
      <c r="V321" s="590"/>
      <c r="W321" s="590"/>
      <c r="X321" s="590"/>
      <c r="Y321" s="590"/>
      <c r="Z321" s="590"/>
    </row>
    <row r="322" spans="1:26" ht="15.75" customHeight="1">
      <c r="A322" s="590"/>
      <c r="B322" s="590"/>
      <c r="C322" s="590"/>
      <c r="D322" s="590"/>
      <c r="E322" s="590"/>
      <c r="F322" s="590"/>
      <c r="G322" s="590"/>
      <c r="H322" s="590"/>
      <c r="I322" s="590"/>
      <c r="J322" s="590"/>
      <c r="K322" s="590"/>
      <c r="L322" s="590"/>
      <c r="M322" s="590"/>
      <c r="N322" s="590"/>
      <c r="O322" s="590"/>
      <c r="P322" s="590"/>
      <c r="Q322" s="590"/>
      <c r="R322" s="590"/>
      <c r="S322" s="590"/>
      <c r="T322" s="590"/>
      <c r="U322" s="590"/>
      <c r="V322" s="590"/>
      <c r="W322" s="590"/>
      <c r="X322" s="590"/>
      <c r="Y322" s="590"/>
      <c r="Z322" s="590"/>
    </row>
    <row r="323" spans="1:26" ht="15.75" customHeight="1">
      <c r="A323" s="590"/>
      <c r="B323" s="590"/>
      <c r="C323" s="590"/>
      <c r="D323" s="590"/>
      <c r="E323" s="590"/>
      <c r="F323" s="590"/>
      <c r="G323" s="590"/>
      <c r="H323" s="590"/>
      <c r="I323" s="590"/>
      <c r="J323" s="590"/>
      <c r="K323" s="590"/>
      <c r="L323" s="590"/>
      <c r="M323" s="590"/>
      <c r="N323" s="590"/>
      <c r="O323" s="590"/>
      <c r="P323" s="590"/>
      <c r="Q323" s="590"/>
      <c r="R323" s="590"/>
      <c r="S323" s="590"/>
      <c r="T323" s="590"/>
      <c r="U323" s="590"/>
      <c r="V323" s="590"/>
      <c r="W323" s="590"/>
      <c r="X323" s="590"/>
      <c r="Y323" s="590"/>
      <c r="Z323" s="590"/>
    </row>
    <row r="324" spans="1:26" ht="15.75" customHeight="1">
      <c r="A324" s="590"/>
      <c r="B324" s="590"/>
      <c r="C324" s="590"/>
      <c r="D324" s="590"/>
      <c r="E324" s="590"/>
      <c r="F324" s="590"/>
      <c r="G324" s="590"/>
      <c r="H324" s="590"/>
      <c r="I324" s="590"/>
      <c r="J324" s="590"/>
      <c r="K324" s="590"/>
      <c r="L324" s="590"/>
      <c r="M324" s="590"/>
      <c r="N324" s="590"/>
      <c r="O324" s="590"/>
      <c r="P324" s="590"/>
      <c r="Q324" s="590"/>
      <c r="R324" s="590"/>
      <c r="S324" s="590"/>
      <c r="T324" s="590"/>
      <c r="U324" s="590"/>
      <c r="V324" s="590"/>
      <c r="W324" s="590"/>
      <c r="X324" s="590"/>
      <c r="Y324" s="590"/>
      <c r="Z324" s="590"/>
    </row>
    <row r="325" spans="1:26" ht="15.75" customHeight="1">
      <c r="A325" s="590"/>
      <c r="B325" s="590"/>
      <c r="C325" s="590"/>
      <c r="D325" s="590"/>
      <c r="E325" s="590"/>
      <c r="F325" s="590"/>
      <c r="G325" s="590"/>
      <c r="H325" s="590"/>
      <c r="I325" s="590"/>
      <c r="J325" s="590"/>
      <c r="K325" s="590"/>
      <c r="L325" s="590"/>
      <c r="M325" s="590"/>
      <c r="N325" s="590"/>
      <c r="O325" s="590"/>
      <c r="P325" s="590"/>
      <c r="Q325" s="590"/>
      <c r="R325" s="590"/>
      <c r="S325" s="590"/>
      <c r="T325" s="590"/>
      <c r="U325" s="590"/>
      <c r="V325" s="590"/>
      <c r="W325" s="590"/>
      <c r="X325" s="590"/>
      <c r="Y325" s="590"/>
      <c r="Z325" s="590"/>
    </row>
    <row r="326" spans="1:26" ht="15.75" customHeight="1">
      <c r="A326" s="590"/>
      <c r="B326" s="590"/>
      <c r="C326" s="590"/>
      <c r="D326" s="590"/>
      <c r="E326" s="590"/>
      <c r="F326" s="590"/>
      <c r="G326" s="590"/>
      <c r="H326" s="590"/>
      <c r="I326" s="590"/>
      <c r="J326" s="590"/>
      <c r="K326" s="590"/>
      <c r="L326" s="590"/>
      <c r="M326" s="590"/>
      <c r="N326" s="590"/>
      <c r="O326" s="590"/>
      <c r="P326" s="590"/>
      <c r="Q326" s="590"/>
      <c r="R326" s="590"/>
      <c r="S326" s="590"/>
      <c r="T326" s="590"/>
      <c r="U326" s="590"/>
      <c r="V326" s="590"/>
      <c r="W326" s="590"/>
      <c r="X326" s="590"/>
      <c r="Y326" s="590"/>
      <c r="Z326" s="590"/>
    </row>
    <row r="327" spans="1:26" ht="15.75" customHeight="1">
      <c r="A327" s="590"/>
      <c r="B327" s="590"/>
      <c r="C327" s="590"/>
      <c r="D327" s="590"/>
      <c r="E327" s="590"/>
      <c r="F327" s="590"/>
      <c r="G327" s="590"/>
      <c r="H327" s="590"/>
      <c r="I327" s="590"/>
      <c r="J327" s="590"/>
      <c r="K327" s="590"/>
      <c r="L327" s="590"/>
      <c r="M327" s="590"/>
      <c r="N327" s="590"/>
      <c r="O327" s="590"/>
      <c r="P327" s="590"/>
      <c r="Q327" s="590"/>
      <c r="R327" s="590"/>
      <c r="S327" s="590"/>
      <c r="T327" s="590"/>
      <c r="U327" s="590"/>
      <c r="V327" s="590"/>
      <c r="W327" s="590"/>
      <c r="X327" s="590"/>
      <c r="Y327" s="590"/>
      <c r="Z327" s="590"/>
    </row>
    <row r="328" spans="1:26" ht="15.75" customHeight="1">
      <c r="A328" s="590"/>
      <c r="B328" s="590"/>
      <c r="C328" s="590"/>
      <c r="D328" s="590"/>
      <c r="E328" s="590"/>
      <c r="F328" s="590"/>
      <c r="G328" s="590"/>
      <c r="H328" s="590"/>
      <c r="I328" s="590"/>
      <c r="J328" s="590"/>
      <c r="K328" s="590"/>
      <c r="L328" s="590"/>
      <c r="M328" s="590"/>
      <c r="N328" s="590"/>
      <c r="O328" s="590"/>
      <c r="P328" s="590"/>
      <c r="Q328" s="590"/>
      <c r="R328" s="590"/>
      <c r="S328" s="590"/>
      <c r="T328" s="590"/>
      <c r="U328" s="590"/>
      <c r="V328" s="590"/>
      <c r="W328" s="590"/>
      <c r="X328" s="590"/>
      <c r="Y328" s="590"/>
      <c r="Z328" s="590"/>
    </row>
    <row r="329" spans="1:26" ht="15.75" customHeight="1">
      <c r="A329" s="590"/>
      <c r="B329" s="590"/>
      <c r="C329" s="590"/>
      <c r="D329" s="590"/>
      <c r="E329" s="590"/>
      <c r="F329" s="590"/>
      <c r="G329" s="590"/>
      <c r="H329" s="590"/>
      <c r="I329" s="590"/>
      <c r="J329" s="590"/>
      <c r="K329" s="590"/>
      <c r="L329" s="590"/>
      <c r="M329" s="590"/>
      <c r="N329" s="590"/>
      <c r="O329" s="590"/>
      <c r="P329" s="590"/>
      <c r="Q329" s="590"/>
      <c r="R329" s="590"/>
      <c r="S329" s="590"/>
      <c r="T329" s="590"/>
      <c r="U329" s="590"/>
      <c r="V329" s="590"/>
      <c r="W329" s="590"/>
      <c r="X329" s="590"/>
      <c r="Y329" s="590"/>
      <c r="Z329" s="590"/>
    </row>
    <row r="330" spans="1:26" ht="15.75" customHeight="1">
      <c r="A330" s="590"/>
      <c r="B330" s="590"/>
      <c r="C330" s="590"/>
      <c r="D330" s="590"/>
      <c r="E330" s="590"/>
      <c r="F330" s="590"/>
      <c r="G330" s="590"/>
      <c r="H330" s="590"/>
      <c r="I330" s="590"/>
      <c r="J330" s="590"/>
      <c r="K330" s="590"/>
      <c r="L330" s="590"/>
      <c r="M330" s="590"/>
      <c r="N330" s="590"/>
      <c r="O330" s="590"/>
      <c r="P330" s="590"/>
      <c r="Q330" s="590"/>
      <c r="R330" s="590"/>
      <c r="S330" s="590"/>
      <c r="T330" s="590"/>
      <c r="U330" s="590"/>
      <c r="V330" s="590"/>
      <c r="W330" s="590"/>
      <c r="X330" s="590"/>
      <c r="Y330" s="590"/>
      <c r="Z330" s="590"/>
    </row>
    <row r="331" spans="1:26" ht="15.75" customHeight="1">
      <c r="A331" s="590"/>
      <c r="B331" s="590"/>
      <c r="C331" s="590"/>
      <c r="D331" s="590"/>
      <c r="E331" s="590"/>
      <c r="F331" s="590"/>
      <c r="G331" s="590"/>
      <c r="H331" s="590"/>
      <c r="I331" s="590"/>
      <c r="J331" s="590"/>
      <c r="K331" s="590"/>
      <c r="L331" s="590"/>
      <c r="M331" s="590"/>
      <c r="N331" s="590"/>
      <c r="O331" s="590"/>
      <c r="P331" s="590"/>
      <c r="Q331" s="590"/>
      <c r="R331" s="590"/>
      <c r="S331" s="590"/>
      <c r="T331" s="590"/>
      <c r="U331" s="590"/>
      <c r="V331" s="590"/>
      <c r="W331" s="590"/>
      <c r="X331" s="590"/>
      <c r="Y331" s="590"/>
      <c r="Z331" s="590"/>
    </row>
    <row r="332" spans="1:26" ht="15.75" customHeight="1">
      <c r="A332" s="590"/>
      <c r="B332" s="590"/>
      <c r="C332" s="590"/>
      <c r="D332" s="590"/>
      <c r="E332" s="590"/>
      <c r="F332" s="590"/>
      <c r="G332" s="590"/>
      <c r="H332" s="590"/>
      <c r="I332" s="590"/>
      <c r="J332" s="590"/>
      <c r="K332" s="590"/>
      <c r="L332" s="590"/>
      <c r="M332" s="590"/>
      <c r="N332" s="590"/>
      <c r="O332" s="590"/>
      <c r="P332" s="590"/>
      <c r="Q332" s="590"/>
      <c r="R332" s="590"/>
      <c r="S332" s="590"/>
      <c r="T332" s="590"/>
      <c r="U332" s="590"/>
      <c r="V332" s="590"/>
      <c r="W332" s="590"/>
      <c r="X332" s="590"/>
      <c r="Y332" s="590"/>
      <c r="Z332" s="590"/>
    </row>
    <row r="333" spans="1:26" ht="15.75" customHeight="1">
      <c r="A333" s="590"/>
      <c r="B333" s="590"/>
      <c r="C333" s="590"/>
      <c r="D333" s="590"/>
      <c r="E333" s="590"/>
      <c r="F333" s="590"/>
      <c r="G333" s="590"/>
      <c r="H333" s="590"/>
      <c r="I333" s="590"/>
      <c r="J333" s="590"/>
      <c r="K333" s="590"/>
      <c r="L333" s="590"/>
      <c r="M333" s="590"/>
      <c r="N333" s="590"/>
      <c r="O333" s="590"/>
      <c r="P333" s="590"/>
      <c r="Q333" s="590"/>
      <c r="R333" s="590"/>
      <c r="S333" s="590"/>
      <c r="T333" s="590"/>
      <c r="U333" s="590"/>
      <c r="V333" s="590"/>
      <c r="W333" s="590"/>
      <c r="X333" s="590"/>
      <c r="Y333" s="590"/>
      <c r="Z333" s="590"/>
    </row>
    <row r="334" spans="1:26" ht="15.75" customHeight="1">
      <c r="A334" s="590"/>
      <c r="B334" s="590"/>
      <c r="C334" s="590"/>
      <c r="D334" s="590"/>
      <c r="E334" s="590"/>
      <c r="F334" s="590"/>
      <c r="G334" s="590"/>
      <c r="H334" s="590"/>
      <c r="I334" s="590"/>
      <c r="J334" s="590"/>
      <c r="K334" s="590"/>
      <c r="L334" s="590"/>
      <c r="M334" s="590"/>
      <c r="N334" s="590"/>
      <c r="O334" s="590"/>
      <c r="P334" s="590"/>
      <c r="Q334" s="590"/>
      <c r="R334" s="590"/>
      <c r="S334" s="590"/>
      <c r="T334" s="590"/>
      <c r="U334" s="590"/>
      <c r="V334" s="590"/>
      <c r="W334" s="590"/>
      <c r="X334" s="590"/>
      <c r="Y334" s="590"/>
      <c r="Z334" s="590"/>
    </row>
    <row r="335" spans="1:26" ht="15.75" customHeight="1">
      <c r="A335" s="590"/>
      <c r="B335" s="590"/>
      <c r="C335" s="590"/>
      <c r="D335" s="590"/>
      <c r="E335" s="590"/>
      <c r="F335" s="590"/>
      <c r="G335" s="590"/>
      <c r="H335" s="590"/>
      <c r="I335" s="590"/>
      <c r="J335" s="590"/>
      <c r="K335" s="590"/>
      <c r="L335" s="590"/>
      <c r="M335" s="590"/>
      <c r="N335" s="590"/>
      <c r="O335" s="590"/>
      <c r="P335" s="590"/>
      <c r="Q335" s="590"/>
      <c r="R335" s="590"/>
      <c r="S335" s="590"/>
      <c r="T335" s="590"/>
      <c r="U335" s="590"/>
      <c r="V335" s="590"/>
      <c r="W335" s="590"/>
      <c r="X335" s="590"/>
      <c r="Y335" s="590"/>
      <c r="Z335" s="590"/>
    </row>
    <row r="336" spans="1:26" ht="15.75" customHeight="1">
      <c r="A336" s="590"/>
      <c r="B336" s="590"/>
      <c r="C336" s="590"/>
      <c r="D336" s="590"/>
      <c r="E336" s="590"/>
      <c r="F336" s="590"/>
      <c r="G336" s="590"/>
      <c r="H336" s="590"/>
      <c r="I336" s="590"/>
      <c r="J336" s="590"/>
      <c r="K336" s="590"/>
      <c r="L336" s="590"/>
      <c r="M336" s="590"/>
      <c r="N336" s="590"/>
      <c r="O336" s="590"/>
      <c r="P336" s="590"/>
      <c r="Q336" s="590"/>
      <c r="R336" s="590"/>
      <c r="S336" s="590"/>
      <c r="T336" s="590"/>
      <c r="U336" s="590"/>
      <c r="V336" s="590"/>
      <c r="W336" s="590"/>
      <c r="X336" s="590"/>
      <c r="Y336" s="590"/>
      <c r="Z336" s="590"/>
    </row>
    <row r="337" spans="1:26" ht="15.75" customHeight="1">
      <c r="A337" s="590"/>
      <c r="B337" s="590"/>
      <c r="C337" s="590"/>
      <c r="D337" s="590"/>
      <c r="E337" s="590"/>
      <c r="F337" s="590"/>
      <c r="G337" s="590"/>
      <c r="H337" s="590"/>
      <c r="I337" s="590"/>
      <c r="J337" s="590"/>
      <c r="K337" s="590"/>
      <c r="L337" s="590"/>
      <c r="M337" s="590"/>
      <c r="N337" s="590"/>
      <c r="O337" s="590"/>
      <c r="P337" s="590"/>
      <c r="Q337" s="590"/>
      <c r="R337" s="590"/>
      <c r="S337" s="590"/>
      <c r="T337" s="590"/>
      <c r="U337" s="590"/>
      <c r="V337" s="590"/>
      <c r="W337" s="590"/>
      <c r="X337" s="590"/>
      <c r="Y337" s="590"/>
      <c r="Z337" s="590"/>
    </row>
    <row r="338" spans="1:26" ht="15.75" customHeight="1">
      <c r="A338" s="590"/>
      <c r="B338" s="590"/>
      <c r="C338" s="590"/>
      <c r="D338" s="590"/>
      <c r="E338" s="590"/>
      <c r="F338" s="590"/>
      <c r="G338" s="590"/>
      <c r="H338" s="590"/>
      <c r="I338" s="590"/>
      <c r="J338" s="590"/>
      <c r="K338" s="590"/>
      <c r="L338" s="590"/>
      <c r="M338" s="590"/>
      <c r="N338" s="590"/>
      <c r="O338" s="590"/>
      <c r="P338" s="590"/>
      <c r="Q338" s="590"/>
      <c r="R338" s="590"/>
      <c r="S338" s="590"/>
      <c r="T338" s="590"/>
      <c r="U338" s="590"/>
      <c r="V338" s="590"/>
      <c r="W338" s="590"/>
      <c r="X338" s="590"/>
      <c r="Y338" s="590"/>
      <c r="Z338" s="590"/>
    </row>
    <row r="339" spans="1:26" ht="15.75" customHeight="1">
      <c r="A339" s="590"/>
      <c r="B339" s="590"/>
      <c r="C339" s="590"/>
      <c r="D339" s="590"/>
      <c r="E339" s="590"/>
      <c r="F339" s="590"/>
      <c r="G339" s="590"/>
      <c r="H339" s="590"/>
      <c r="I339" s="590"/>
      <c r="J339" s="590"/>
      <c r="K339" s="590"/>
      <c r="L339" s="590"/>
      <c r="M339" s="590"/>
      <c r="N339" s="590"/>
      <c r="O339" s="590"/>
      <c r="P339" s="590"/>
      <c r="Q339" s="590"/>
      <c r="R339" s="590"/>
      <c r="S339" s="590"/>
      <c r="T339" s="590"/>
      <c r="U339" s="590"/>
      <c r="V339" s="590"/>
      <c r="W339" s="590"/>
      <c r="X339" s="590"/>
      <c r="Y339" s="590"/>
      <c r="Z339" s="590"/>
    </row>
    <row r="340" spans="1:26" ht="15.75" customHeight="1">
      <c r="A340" s="590"/>
      <c r="B340" s="590"/>
      <c r="C340" s="590"/>
      <c r="D340" s="590"/>
      <c r="E340" s="590"/>
      <c r="F340" s="590"/>
      <c r="G340" s="590"/>
      <c r="H340" s="590"/>
      <c r="I340" s="590"/>
      <c r="J340" s="590"/>
      <c r="K340" s="590"/>
      <c r="L340" s="590"/>
      <c r="M340" s="590"/>
      <c r="N340" s="590"/>
      <c r="O340" s="590"/>
      <c r="P340" s="590"/>
      <c r="Q340" s="590"/>
      <c r="R340" s="590"/>
      <c r="S340" s="590"/>
      <c r="T340" s="590"/>
      <c r="U340" s="590"/>
      <c r="V340" s="590"/>
      <c r="W340" s="590"/>
      <c r="X340" s="590"/>
      <c r="Y340" s="590"/>
      <c r="Z340" s="590"/>
    </row>
    <row r="341" spans="1:26" ht="15.75" customHeight="1">
      <c r="A341" s="590"/>
      <c r="B341" s="590"/>
      <c r="C341" s="590"/>
      <c r="D341" s="590"/>
      <c r="E341" s="590"/>
      <c r="F341" s="590"/>
      <c r="G341" s="590"/>
      <c r="H341" s="590"/>
      <c r="I341" s="590"/>
      <c r="J341" s="590"/>
      <c r="K341" s="590"/>
      <c r="L341" s="590"/>
      <c r="M341" s="590"/>
      <c r="N341" s="590"/>
      <c r="O341" s="590"/>
      <c r="P341" s="590"/>
      <c r="Q341" s="590"/>
      <c r="R341" s="590"/>
      <c r="S341" s="590"/>
      <c r="T341" s="590"/>
      <c r="U341" s="590"/>
      <c r="V341" s="590"/>
      <c r="W341" s="590"/>
      <c r="X341" s="590"/>
      <c r="Y341" s="590"/>
      <c r="Z341" s="590"/>
    </row>
    <row r="342" spans="1:26" ht="15.75" customHeight="1">
      <c r="A342" s="590"/>
      <c r="B342" s="590"/>
      <c r="C342" s="590"/>
      <c r="D342" s="590"/>
      <c r="E342" s="590"/>
      <c r="F342" s="590"/>
      <c r="G342" s="590"/>
      <c r="H342" s="590"/>
      <c r="I342" s="590"/>
      <c r="J342" s="590"/>
      <c r="K342" s="590"/>
      <c r="L342" s="590"/>
      <c r="M342" s="590"/>
      <c r="N342" s="590"/>
      <c r="O342" s="590"/>
      <c r="P342" s="590"/>
      <c r="Q342" s="590"/>
      <c r="R342" s="590"/>
      <c r="S342" s="590"/>
      <c r="T342" s="590"/>
      <c r="U342" s="590"/>
      <c r="V342" s="590"/>
      <c r="W342" s="590"/>
      <c r="X342" s="590"/>
      <c r="Y342" s="590"/>
      <c r="Z342" s="590"/>
    </row>
    <row r="343" spans="1:26" ht="15.75" customHeight="1">
      <c r="A343" s="590"/>
      <c r="B343" s="590"/>
      <c r="C343" s="590"/>
      <c r="D343" s="590"/>
      <c r="E343" s="590"/>
      <c r="F343" s="590"/>
      <c r="G343" s="590"/>
      <c r="H343" s="590"/>
      <c r="I343" s="590"/>
      <c r="J343" s="590"/>
      <c r="K343" s="590"/>
      <c r="L343" s="590"/>
      <c r="M343" s="590"/>
      <c r="N343" s="590"/>
      <c r="O343" s="590"/>
      <c r="P343" s="590"/>
      <c r="Q343" s="590"/>
      <c r="R343" s="590"/>
      <c r="S343" s="590"/>
      <c r="T343" s="590"/>
      <c r="U343" s="590"/>
      <c r="V343" s="590"/>
      <c r="W343" s="590"/>
      <c r="X343" s="590"/>
      <c r="Y343" s="590"/>
      <c r="Z343" s="590"/>
    </row>
    <row r="344" spans="1:26" ht="15.75" customHeight="1">
      <c r="A344" s="590"/>
      <c r="B344" s="590"/>
      <c r="C344" s="590"/>
      <c r="D344" s="590"/>
      <c r="E344" s="590"/>
      <c r="F344" s="590"/>
      <c r="G344" s="590"/>
      <c r="H344" s="590"/>
      <c r="I344" s="590"/>
      <c r="J344" s="590"/>
      <c r="K344" s="590"/>
      <c r="L344" s="590"/>
      <c r="M344" s="590"/>
      <c r="N344" s="590"/>
      <c r="O344" s="590"/>
      <c r="P344" s="590"/>
      <c r="Q344" s="590"/>
      <c r="R344" s="590"/>
      <c r="S344" s="590"/>
      <c r="T344" s="590"/>
      <c r="U344" s="590"/>
      <c r="V344" s="590"/>
      <c r="W344" s="590"/>
      <c r="X344" s="590"/>
      <c r="Y344" s="590"/>
      <c r="Z344" s="590"/>
    </row>
    <row r="345" spans="1:26" ht="15.75" customHeight="1">
      <c r="A345" s="590"/>
      <c r="B345" s="590"/>
      <c r="C345" s="590"/>
      <c r="D345" s="590"/>
      <c r="E345" s="590"/>
      <c r="F345" s="590"/>
      <c r="G345" s="590"/>
      <c r="H345" s="590"/>
      <c r="I345" s="590"/>
      <c r="J345" s="590"/>
      <c r="K345" s="590"/>
      <c r="L345" s="590"/>
      <c r="M345" s="590"/>
      <c r="N345" s="590"/>
      <c r="O345" s="590"/>
      <c r="P345" s="590"/>
      <c r="Q345" s="590"/>
      <c r="R345" s="590"/>
      <c r="S345" s="590"/>
      <c r="T345" s="590"/>
      <c r="U345" s="590"/>
      <c r="V345" s="590"/>
      <c r="W345" s="590"/>
      <c r="X345" s="590"/>
      <c r="Y345" s="590"/>
      <c r="Z345" s="590"/>
    </row>
    <row r="346" spans="1:26" ht="15.75" customHeight="1">
      <c r="A346" s="590"/>
      <c r="B346" s="590"/>
      <c r="C346" s="590"/>
      <c r="D346" s="590"/>
      <c r="E346" s="590"/>
      <c r="F346" s="590"/>
      <c r="G346" s="590"/>
      <c r="H346" s="590"/>
      <c r="I346" s="590"/>
      <c r="J346" s="590"/>
      <c r="K346" s="590"/>
      <c r="L346" s="590"/>
      <c r="M346" s="590"/>
      <c r="N346" s="590"/>
      <c r="O346" s="590"/>
      <c r="P346" s="590"/>
      <c r="Q346" s="590"/>
      <c r="R346" s="590"/>
      <c r="S346" s="590"/>
      <c r="T346" s="590"/>
      <c r="U346" s="590"/>
      <c r="V346" s="590"/>
      <c r="W346" s="590"/>
      <c r="X346" s="590"/>
      <c r="Y346" s="590"/>
      <c r="Z346" s="590"/>
    </row>
    <row r="347" spans="1:26" ht="15.75" customHeight="1">
      <c r="A347" s="590"/>
      <c r="B347" s="590"/>
      <c r="C347" s="590"/>
      <c r="D347" s="590"/>
      <c r="E347" s="590"/>
      <c r="F347" s="590"/>
      <c r="G347" s="590"/>
      <c r="H347" s="590"/>
      <c r="I347" s="590"/>
      <c r="J347" s="590"/>
      <c r="K347" s="590"/>
      <c r="L347" s="590"/>
      <c r="M347" s="590"/>
      <c r="N347" s="590"/>
      <c r="O347" s="590"/>
      <c r="P347" s="590"/>
      <c r="Q347" s="590"/>
      <c r="R347" s="590"/>
      <c r="S347" s="590"/>
      <c r="T347" s="590"/>
      <c r="U347" s="590"/>
      <c r="V347" s="590"/>
      <c r="W347" s="590"/>
      <c r="X347" s="590"/>
      <c r="Y347" s="590"/>
      <c r="Z347" s="590"/>
    </row>
    <row r="348" spans="1:26" ht="15.75" customHeight="1">
      <c r="A348" s="590"/>
      <c r="B348" s="590"/>
      <c r="C348" s="590"/>
      <c r="D348" s="590"/>
      <c r="E348" s="590"/>
      <c r="F348" s="590"/>
      <c r="G348" s="590"/>
      <c r="H348" s="590"/>
      <c r="I348" s="590"/>
      <c r="J348" s="590"/>
      <c r="K348" s="590"/>
      <c r="L348" s="590"/>
      <c r="M348" s="590"/>
      <c r="N348" s="590"/>
      <c r="O348" s="590"/>
      <c r="P348" s="590"/>
      <c r="Q348" s="590"/>
      <c r="R348" s="590"/>
      <c r="S348" s="590"/>
      <c r="T348" s="590"/>
      <c r="U348" s="590"/>
      <c r="V348" s="590"/>
      <c r="W348" s="590"/>
      <c r="X348" s="590"/>
      <c r="Y348" s="590"/>
      <c r="Z348" s="590"/>
    </row>
    <row r="349" spans="1:26" ht="15.75" customHeight="1">
      <c r="A349" s="590"/>
      <c r="B349" s="590"/>
      <c r="C349" s="590"/>
      <c r="D349" s="590"/>
      <c r="E349" s="590"/>
      <c r="F349" s="590"/>
      <c r="G349" s="590"/>
      <c r="H349" s="590"/>
      <c r="I349" s="590"/>
      <c r="J349" s="590"/>
      <c r="K349" s="590"/>
      <c r="L349" s="590"/>
      <c r="M349" s="590"/>
      <c r="N349" s="590"/>
      <c r="O349" s="590"/>
      <c r="P349" s="590"/>
      <c r="Q349" s="590"/>
      <c r="R349" s="590"/>
      <c r="S349" s="590"/>
      <c r="T349" s="590"/>
      <c r="U349" s="590"/>
      <c r="V349" s="590"/>
      <c r="W349" s="590"/>
      <c r="X349" s="590"/>
      <c r="Y349" s="590"/>
      <c r="Z349" s="590"/>
    </row>
    <row r="350" spans="1:26" ht="15.75" customHeight="1">
      <c r="A350" s="590"/>
      <c r="B350" s="590"/>
      <c r="C350" s="590"/>
      <c r="D350" s="590"/>
      <c r="E350" s="590"/>
      <c r="F350" s="590"/>
      <c r="G350" s="590"/>
      <c r="H350" s="590"/>
      <c r="I350" s="590"/>
      <c r="J350" s="590"/>
      <c r="K350" s="590"/>
      <c r="L350" s="590"/>
      <c r="M350" s="590"/>
      <c r="N350" s="590"/>
      <c r="O350" s="590"/>
      <c r="P350" s="590"/>
      <c r="Q350" s="590"/>
      <c r="R350" s="590"/>
      <c r="S350" s="590"/>
      <c r="T350" s="590"/>
      <c r="U350" s="590"/>
      <c r="V350" s="590"/>
      <c r="W350" s="590"/>
      <c r="X350" s="590"/>
      <c r="Y350" s="590"/>
      <c r="Z350" s="590"/>
    </row>
    <row r="351" spans="1:26" ht="15.75" customHeight="1">
      <c r="A351" s="590"/>
      <c r="B351" s="590"/>
      <c r="C351" s="590"/>
      <c r="D351" s="590"/>
      <c r="E351" s="590"/>
      <c r="F351" s="590"/>
      <c r="G351" s="590"/>
      <c r="H351" s="590"/>
      <c r="I351" s="590"/>
      <c r="J351" s="590"/>
      <c r="K351" s="590"/>
      <c r="L351" s="590"/>
      <c r="M351" s="590"/>
      <c r="N351" s="590"/>
      <c r="O351" s="590"/>
      <c r="P351" s="590"/>
      <c r="Q351" s="590"/>
      <c r="R351" s="590"/>
      <c r="S351" s="590"/>
      <c r="T351" s="590"/>
      <c r="U351" s="590"/>
      <c r="V351" s="590"/>
      <c r="W351" s="590"/>
      <c r="X351" s="590"/>
      <c r="Y351" s="590"/>
      <c r="Z351" s="590"/>
    </row>
    <row r="352" spans="1:26" ht="15.75" customHeight="1">
      <c r="A352" s="590"/>
      <c r="B352" s="590"/>
      <c r="C352" s="590"/>
      <c r="D352" s="590"/>
      <c r="E352" s="590"/>
      <c r="F352" s="590"/>
      <c r="G352" s="590"/>
      <c r="H352" s="590"/>
      <c r="I352" s="590"/>
      <c r="J352" s="590"/>
      <c r="K352" s="590"/>
      <c r="L352" s="590"/>
      <c r="M352" s="590"/>
      <c r="N352" s="590"/>
      <c r="O352" s="590"/>
      <c r="P352" s="590"/>
      <c r="Q352" s="590"/>
      <c r="R352" s="590"/>
      <c r="S352" s="590"/>
      <c r="T352" s="590"/>
      <c r="U352" s="590"/>
      <c r="V352" s="590"/>
      <c r="W352" s="590"/>
      <c r="X352" s="590"/>
      <c r="Y352" s="590"/>
      <c r="Z352" s="590"/>
    </row>
    <row r="353" spans="1:26" ht="15.75" customHeight="1">
      <c r="A353" s="590"/>
      <c r="B353" s="590"/>
      <c r="C353" s="590"/>
      <c r="D353" s="590"/>
      <c r="E353" s="590"/>
      <c r="F353" s="590"/>
      <c r="G353" s="590"/>
      <c r="H353" s="590"/>
      <c r="I353" s="590"/>
      <c r="J353" s="590"/>
      <c r="K353" s="590"/>
      <c r="L353" s="590"/>
      <c r="M353" s="590"/>
      <c r="N353" s="590"/>
      <c r="O353" s="590"/>
      <c r="P353" s="590"/>
      <c r="Q353" s="590"/>
      <c r="R353" s="590"/>
      <c r="S353" s="590"/>
      <c r="T353" s="590"/>
      <c r="U353" s="590"/>
      <c r="V353" s="590"/>
      <c r="W353" s="590"/>
      <c r="X353" s="590"/>
      <c r="Y353" s="590"/>
      <c r="Z353" s="590"/>
    </row>
    <row r="354" spans="1:26" ht="15.75" customHeight="1">
      <c r="A354" s="590"/>
      <c r="B354" s="590"/>
      <c r="C354" s="590"/>
      <c r="D354" s="590"/>
      <c r="E354" s="590"/>
      <c r="F354" s="590"/>
      <c r="G354" s="590"/>
      <c r="H354" s="590"/>
      <c r="I354" s="590"/>
      <c r="J354" s="590"/>
      <c r="K354" s="590"/>
      <c r="L354" s="590"/>
      <c r="M354" s="590"/>
      <c r="N354" s="590"/>
      <c r="O354" s="590"/>
      <c r="P354" s="590"/>
      <c r="Q354" s="590"/>
      <c r="R354" s="590"/>
      <c r="S354" s="590"/>
      <c r="T354" s="590"/>
      <c r="U354" s="590"/>
      <c r="V354" s="590"/>
      <c r="W354" s="590"/>
      <c r="X354" s="590"/>
      <c r="Y354" s="590"/>
      <c r="Z354" s="590"/>
    </row>
    <row r="355" spans="1:26" ht="15.75" customHeight="1">
      <c r="A355" s="590"/>
      <c r="B355" s="590"/>
      <c r="C355" s="590"/>
      <c r="D355" s="590"/>
      <c r="E355" s="590"/>
      <c r="F355" s="590"/>
      <c r="G355" s="590"/>
      <c r="H355" s="590"/>
      <c r="I355" s="590"/>
      <c r="J355" s="590"/>
      <c r="K355" s="590"/>
      <c r="L355" s="590"/>
      <c r="M355" s="590"/>
      <c r="N355" s="590"/>
      <c r="O355" s="590"/>
      <c r="P355" s="590"/>
      <c r="Q355" s="590"/>
      <c r="R355" s="590"/>
      <c r="S355" s="590"/>
      <c r="T355" s="590"/>
      <c r="U355" s="590"/>
      <c r="V355" s="590"/>
      <c r="W355" s="590"/>
      <c r="X355" s="590"/>
      <c r="Y355" s="590"/>
      <c r="Z355" s="590"/>
    </row>
    <row r="356" spans="1:26" ht="15.75" customHeight="1">
      <c r="A356" s="590"/>
      <c r="B356" s="590"/>
      <c r="C356" s="590"/>
      <c r="D356" s="590"/>
      <c r="E356" s="590"/>
      <c r="F356" s="590"/>
      <c r="G356" s="590"/>
      <c r="H356" s="590"/>
      <c r="I356" s="590"/>
      <c r="J356" s="590"/>
      <c r="K356" s="590"/>
      <c r="L356" s="590"/>
      <c r="M356" s="590"/>
      <c r="N356" s="590"/>
      <c r="O356" s="590"/>
      <c r="P356" s="590"/>
      <c r="Q356" s="590"/>
      <c r="R356" s="590"/>
      <c r="S356" s="590"/>
      <c r="T356" s="590"/>
      <c r="U356" s="590"/>
      <c r="V356" s="590"/>
      <c r="W356" s="590"/>
      <c r="X356" s="590"/>
      <c r="Y356" s="590"/>
      <c r="Z356" s="590"/>
    </row>
    <row r="357" spans="1:26" ht="15.75" customHeight="1">
      <c r="A357" s="590"/>
      <c r="B357" s="590"/>
      <c r="C357" s="590"/>
      <c r="D357" s="590"/>
      <c r="E357" s="590"/>
      <c r="F357" s="590"/>
      <c r="G357" s="590"/>
      <c r="H357" s="590"/>
      <c r="I357" s="590"/>
      <c r="J357" s="590"/>
      <c r="K357" s="590"/>
      <c r="L357" s="590"/>
      <c r="M357" s="590"/>
      <c r="N357" s="590"/>
      <c r="O357" s="590"/>
      <c r="P357" s="590"/>
      <c r="Q357" s="590"/>
      <c r="R357" s="590"/>
      <c r="S357" s="590"/>
      <c r="T357" s="590"/>
      <c r="U357" s="590"/>
      <c r="V357" s="590"/>
      <c r="W357" s="590"/>
      <c r="X357" s="590"/>
      <c r="Y357" s="590"/>
      <c r="Z357" s="590"/>
    </row>
    <row r="358" spans="1:26" ht="15.75" customHeight="1">
      <c r="A358" s="590"/>
      <c r="B358" s="590"/>
      <c r="C358" s="590"/>
      <c r="D358" s="590"/>
      <c r="E358" s="590"/>
      <c r="F358" s="590"/>
      <c r="G358" s="590"/>
      <c r="H358" s="590"/>
      <c r="I358" s="590"/>
      <c r="J358" s="590"/>
      <c r="K358" s="590"/>
      <c r="L358" s="590"/>
      <c r="M358" s="590"/>
      <c r="N358" s="590"/>
      <c r="O358" s="590"/>
      <c r="P358" s="590"/>
      <c r="Q358" s="590"/>
      <c r="R358" s="590"/>
      <c r="S358" s="590"/>
      <c r="T358" s="590"/>
      <c r="U358" s="590"/>
      <c r="V358" s="590"/>
      <c r="W358" s="590"/>
      <c r="X358" s="590"/>
      <c r="Y358" s="590"/>
      <c r="Z358" s="590"/>
    </row>
    <row r="359" spans="1:26" ht="15.75" customHeight="1">
      <c r="A359" s="590"/>
      <c r="B359" s="590"/>
      <c r="C359" s="590"/>
      <c r="D359" s="590"/>
      <c r="E359" s="590"/>
      <c r="F359" s="590"/>
      <c r="G359" s="590"/>
      <c r="H359" s="590"/>
      <c r="I359" s="590"/>
      <c r="J359" s="590"/>
      <c r="K359" s="590"/>
      <c r="L359" s="590"/>
      <c r="M359" s="590"/>
      <c r="N359" s="590"/>
      <c r="O359" s="590"/>
      <c r="P359" s="590"/>
      <c r="Q359" s="590"/>
      <c r="R359" s="590"/>
      <c r="S359" s="590"/>
      <c r="T359" s="590"/>
      <c r="U359" s="590"/>
      <c r="V359" s="590"/>
      <c r="W359" s="590"/>
      <c r="X359" s="590"/>
      <c r="Y359" s="590"/>
      <c r="Z359" s="590"/>
    </row>
    <row r="360" spans="1:26" ht="15.75" customHeight="1">
      <c r="A360" s="590"/>
      <c r="B360" s="590"/>
      <c r="C360" s="590"/>
      <c r="D360" s="590"/>
      <c r="E360" s="590"/>
      <c r="F360" s="590"/>
      <c r="G360" s="590"/>
      <c r="H360" s="590"/>
      <c r="I360" s="590"/>
      <c r="J360" s="590"/>
      <c r="K360" s="590"/>
      <c r="L360" s="590"/>
      <c r="M360" s="590"/>
      <c r="N360" s="590"/>
      <c r="O360" s="590"/>
      <c r="P360" s="590"/>
      <c r="Q360" s="590"/>
      <c r="R360" s="590"/>
      <c r="S360" s="590"/>
      <c r="T360" s="590"/>
      <c r="U360" s="590"/>
      <c r="V360" s="590"/>
      <c r="W360" s="590"/>
      <c r="X360" s="590"/>
      <c r="Y360" s="590"/>
      <c r="Z360" s="590"/>
    </row>
    <row r="361" spans="1:26" ht="15.75" customHeight="1">
      <c r="A361" s="590"/>
      <c r="B361" s="590"/>
      <c r="C361" s="590"/>
      <c r="D361" s="590"/>
      <c r="E361" s="590"/>
      <c r="F361" s="590"/>
      <c r="G361" s="590"/>
      <c r="H361" s="590"/>
      <c r="I361" s="590"/>
      <c r="J361" s="590"/>
      <c r="K361" s="590"/>
      <c r="L361" s="590"/>
      <c r="M361" s="590"/>
      <c r="N361" s="590"/>
      <c r="O361" s="590"/>
      <c r="P361" s="590"/>
      <c r="Q361" s="590"/>
      <c r="R361" s="590"/>
      <c r="S361" s="590"/>
      <c r="T361" s="590"/>
      <c r="U361" s="590"/>
      <c r="V361" s="590"/>
      <c r="W361" s="590"/>
      <c r="X361" s="590"/>
      <c r="Y361" s="590"/>
      <c r="Z361" s="590"/>
    </row>
    <row r="362" spans="1:26" ht="15.75" customHeight="1">
      <c r="A362" s="590"/>
      <c r="B362" s="590"/>
      <c r="C362" s="590"/>
      <c r="D362" s="590"/>
      <c r="E362" s="590"/>
      <c r="F362" s="590"/>
      <c r="G362" s="590"/>
      <c r="H362" s="590"/>
      <c r="I362" s="590"/>
      <c r="J362" s="590"/>
      <c r="K362" s="590"/>
      <c r="L362" s="590"/>
      <c r="M362" s="590"/>
      <c r="N362" s="590"/>
      <c r="O362" s="590"/>
      <c r="P362" s="590"/>
      <c r="Q362" s="590"/>
      <c r="R362" s="590"/>
      <c r="S362" s="590"/>
      <c r="T362" s="590"/>
      <c r="U362" s="590"/>
      <c r="V362" s="590"/>
      <c r="W362" s="590"/>
      <c r="X362" s="590"/>
      <c r="Y362" s="590"/>
      <c r="Z362" s="590"/>
    </row>
    <row r="363" spans="1:26" ht="15.75" customHeight="1">
      <c r="A363" s="590"/>
      <c r="B363" s="590"/>
      <c r="C363" s="590"/>
      <c r="D363" s="590"/>
      <c r="E363" s="590"/>
      <c r="F363" s="590"/>
      <c r="G363" s="590"/>
      <c r="H363" s="590"/>
      <c r="I363" s="590"/>
      <c r="J363" s="590"/>
      <c r="K363" s="590"/>
      <c r="L363" s="590"/>
      <c r="M363" s="590"/>
      <c r="N363" s="590"/>
      <c r="O363" s="590"/>
      <c r="P363" s="590"/>
      <c r="Q363" s="590"/>
      <c r="R363" s="590"/>
      <c r="S363" s="590"/>
      <c r="T363" s="590"/>
      <c r="U363" s="590"/>
      <c r="V363" s="590"/>
      <c r="W363" s="590"/>
      <c r="X363" s="590"/>
      <c r="Y363" s="590"/>
      <c r="Z363" s="590"/>
    </row>
    <row r="364" spans="1:26" ht="15.75" customHeight="1">
      <c r="A364" s="590"/>
      <c r="B364" s="590"/>
      <c r="C364" s="590"/>
      <c r="D364" s="590"/>
      <c r="E364" s="590"/>
      <c r="F364" s="590"/>
      <c r="G364" s="590"/>
      <c r="H364" s="590"/>
      <c r="I364" s="590"/>
      <c r="J364" s="590"/>
      <c r="K364" s="590"/>
      <c r="L364" s="590"/>
      <c r="M364" s="590"/>
      <c r="N364" s="590"/>
      <c r="O364" s="590"/>
      <c r="P364" s="590"/>
      <c r="Q364" s="590"/>
      <c r="R364" s="590"/>
      <c r="S364" s="590"/>
      <c r="T364" s="590"/>
      <c r="U364" s="590"/>
      <c r="V364" s="590"/>
      <c r="W364" s="590"/>
      <c r="X364" s="590"/>
      <c r="Y364" s="590"/>
      <c r="Z364" s="590"/>
    </row>
    <row r="365" spans="1:26" ht="15.75" customHeight="1">
      <c r="A365" s="590"/>
      <c r="B365" s="590"/>
      <c r="C365" s="590"/>
      <c r="D365" s="590"/>
      <c r="E365" s="590"/>
      <c r="F365" s="590"/>
      <c r="G365" s="590"/>
      <c r="H365" s="590"/>
      <c r="I365" s="590"/>
      <c r="J365" s="590"/>
      <c r="K365" s="590"/>
      <c r="L365" s="590"/>
      <c r="M365" s="590"/>
      <c r="N365" s="590"/>
      <c r="O365" s="590"/>
      <c r="P365" s="590"/>
      <c r="Q365" s="590"/>
      <c r="R365" s="590"/>
      <c r="S365" s="590"/>
      <c r="T365" s="590"/>
      <c r="U365" s="590"/>
      <c r="V365" s="590"/>
      <c r="W365" s="590"/>
      <c r="X365" s="590"/>
      <c r="Y365" s="590"/>
      <c r="Z365" s="590"/>
    </row>
    <row r="366" spans="1:26" ht="15.75" customHeight="1">
      <c r="A366" s="590"/>
      <c r="B366" s="590"/>
      <c r="C366" s="590"/>
      <c r="D366" s="590"/>
      <c r="E366" s="590"/>
      <c r="F366" s="590"/>
      <c r="G366" s="590"/>
      <c r="H366" s="590"/>
      <c r="I366" s="590"/>
      <c r="J366" s="590"/>
      <c r="K366" s="590"/>
      <c r="L366" s="590"/>
      <c r="M366" s="590"/>
      <c r="N366" s="590"/>
      <c r="O366" s="590"/>
      <c r="P366" s="590"/>
      <c r="Q366" s="590"/>
      <c r="R366" s="590"/>
      <c r="S366" s="590"/>
      <c r="T366" s="590"/>
      <c r="U366" s="590"/>
      <c r="V366" s="590"/>
      <c r="W366" s="590"/>
      <c r="X366" s="590"/>
      <c r="Y366" s="590"/>
      <c r="Z366" s="590"/>
    </row>
    <row r="367" spans="1:26" ht="15.75" customHeight="1">
      <c r="A367" s="590"/>
      <c r="B367" s="590"/>
      <c r="C367" s="590"/>
      <c r="D367" s="590"/>
      <c r="E367" s="590"/>
      <c r="F367" s="590"/>
      <c r="G367" s="590"/>
      <c r="H367" s="590"/>
      <c r="I367" s="590"/>
      <c r="J367" s="590"/>
      <c r="K367" s="590"/>
      <c r="L367" s="590"/>
      <c r="M367" s="590"/>
      <c r="N367" s="590"/>
      <c r="O367" s="590"/>
      <c r="P367" s="590"/>
      <c r="Q367" s="590"/>
      <c r="R367" s="590"/>
      <c r="S367" s="590"/>
      <c r="T367" s="590"/>
      <c r="U367" s="590"/>
      <c r="V367" s="590"/>
      <c r="W367" s="590"/>
      <c r="X367" s="590"/>
      <c r="Y367" s="590"/>
      <c r="Z367" s="590"/>
    </row>
    <row r="368" spans="1:26" ht="15.75" customHeight="1">
      <c r="A368" s="590"/>
      <c r="B368" s="590"/>
      <c r="C368" s="590"/>
      <c r="D368" s="590"/>
      <c r="E368" s="590"/>
      <c r="F368" s="590"/>
      <c r="G368" s="590"/>
      <c r="H368" s="590"/>
      <c r="I368" s="590"/>
      <c r="J368" s="590"/>
      <c r="K368" s="590"/>
      <c r="L368" s="590"/>
      <c r="M368" s="590"/>
      <c r="N368" s="590"/>
      <c r="O368" s="590"/>
      <c r="P368" s="590"/>
      <c r="Q368" s="590"/>
      <c r="R368" s="590"/>
      <c r="S368" s="590"/>
      <c r="T368" s="590"/>
      <c r="U368" s="590"/>
      <c r="V368" s="590"/>
      <c r="W368" s="590"/>
      <c r="X368" s="590"/>
      <c r="Y368" s="590"/>
      <c r="Z368" s="590"/>
    </row>
    <row r="369" spans="1:26" ht="15.75" customHeight="1">
      <c r="A369" s="590"/>
      <c r="B369" s="590"/>
      <c r="C369" s="590"/>
      <c r="D369" s="590"/>
      <c r="E369" s="590"/>
      <c r="F369" s="590"/>
      <c r="G369" s="590"/>
      <c r="H369" s="590"/>
      <c r="I369" s="590"/>
      <c r="J369" s="590"/>
      <c r="K369" s="590"/>
      <c r="L369" s="590"/>
      <c r="M369" s="590"/>
      <c r="N369" s="590"/>
      <c r="O369" s="590"/>
      <c r="P369" s="590"/>
      <c r="Q369" s="590"/>
      <c r="R369" s="590"/>
      <c r="S369" s="590"/>
      <c r="T369" s="590"/>
      <c r="U369" s="590"/>
      <c r="V369" s="590"/>
      <c r="W369" s="590"/>
      <c r="X369" s="590"/>
      <c r="Y369" s="590"/>
      <c r="Z369" s="590"/>
    </row>
    <row r="370" spans="1:26" ht="15.75" customHeight="1">
      <c r="A370" s="590"/>
      <c r="B370" s="590"/>
      <c r="C370" s="590"/>
      <c r="D370" s="590"/>
      <c r="E370" s="590"/>
      <c r="F370" s="590"/>
      <c r="G370" s="590"/>
      <c r="H370" s="590"/>
      <c r="I370" s="590"/>
      <c r="J370" s="590"/>
      <c r="K370" s="590"/>
      <c r="L370" s="590"/>
      <c r="M370" s="590"/>
      <c r="N370" s="590"/>
      <c r="O370" s="590"/>
      <c r="P370" s="590"/>
      <c r="Q370" s="590"/>
      <c r="R370" s="590"/>
      <c r="S370" s="590"/>
      <c r="T370" s="590"/>
      <c r="U370" s="590"/>
      <c r="V370" s="590"/>
      <c r="W370" s="590"/>
      <c r="X370" s="590"/>
      <c r="Y370" s="590"/>
      <c r="Z370" s="590"/>
    </row>
    <row r="371" spans="1:26" ht="15.75" customHeight="1">
      <c r="A371" s="590"/>
      <c r="B371" s="590"/>
      <c r="C371" s="590"/>
      <c r="D371" s="590"/>
      <c r="E371" s="590"/>
      <c r="F371" s="590"/>
      <c r="G371" s="590"/>
      <c r="H371" s="590"/>
      <c r="I371" s="590"/>
      <c r="J371" s="590"/>
      <c r="K371" s="590"/>
      <c r="L371" s="590"/>
      <c r="M371" s="590"/>
      <c r="N371" s="590"/>
      <c r="O371" s="590"/>
      <c r="P371" s="590"/>
      <c r="Q371" s="590"/>
      <c r="R371" s="590"/>
      <c r="S371" s="590"/>
      <c r="T371" s="590"/>
      <c r="U371" s="590"/>
      <c r="V371" s="590"/>
      <c r="W371" s="590"/>
      <c r="X371" s="590"/>
      <c r="Y371" s="590"/>
      <c r="Z371" s="590"/>
    </row>
    <row r="372" spans="1:26" ht="15.75" customHeight="1">
      <c r="A372" s="590"/>
      <c r="B372" s="590"/>
      <c r="C372" s="590"/>
      <c r="D372" s="590"/>
      <c r="E372" s="590"/>
      <c r="F372" s="590"/>
      <c r="G372" s="590"/>
      <c r="H372" s="590"/>
      <c r="I372" s="590"/>
      <c r="J372" s="590"/>
      <c r="K372" s="590"/>
      <c r="L372" s="590"/>
      <c r="M372" s="590"/>
      <c r="N372" s="590"/>
      <c r="O372" s="590"/>
      <c r="P372" s="590"/>
      <c r="Q372" s="590"/>
      <c r="R372" s="590"/>
      <c r="S372" s="590"/>
      <c r="T372" s="590"/>
      <c r="U372" s="590"/>
      <c r="V372" s="590"/>
      <c r="W372" s="590"/>
      <c r="X372" s="590"/>
      <c r="Y372" s="590"/>
      <c r="Z372" s="590"/>
    </row>
    <row r="373" spans="1:26" ht="15.75" customHeight="1">
      <c r="A373" s="590"/>
      <c r="B373" s="590"/>
      <c r="C373" s="590"/>
      <c r="D373" s="590"/>
      <c r="E373" s="590"/>
      <c r="F373" s="590"/>
      <c r="G373" s="590"/>
      <c r="H373" s="590"/>
      <c r="I373" s="590"/>
      <c r="J373" s="590"/>
      <c r="K373" s="590"/>
      <c r="L373" s="590"/>
      <c r="M373" s="590"/>
      <c r="N373" s="590"/>
      <c r="O373" s="590"/>
      <c r="P373" s="590"/>
      <c r="Q373" s="590"/>
      <c r="R373" s="590"/>
      <c r="S373" s="590"/>
      <c r="T373" s="590"/>
      <c r="U373" s="590"/>
      <c r="V373" s="590"/>
      <c r="W373" s="590"/>
      <c r="X373" s="590"/>
      <c r="Y373" s="590"/>
      <c r="Z373" s="590"/>
    </row>
    <row r="374" spans="1:26" ht="15.75" customHeight="1">
      <c r="A374" s="590"/>
      <c r="B374" s="590"/>
      <c r="C374" s="590"/>
      <c r="D374" s="590"/>
      <c r="E374" s="590"/>
      <c r="F374" s="590"/>
      <c r="G374" s="590"/>
      <c r="H374" s="590"/>
      <c r="I374" s="590"/>
      <c r="J374" s="590"/>
      <c r="K374" s="590"/>
      <c r="L374" s="590"/>
      <c r="M374" s="590"/>
      <c r="N374" s="590"/>
      <c r="O374" s="590"/>
      <c r="P374" s="590"/>
      <c r="Q374" s="590"/>
      <c r="R374" s="590"/>
      <c r="S374" s="590"/>
      <c r="T374" s="590"/>
      <c r="U374" s="590"/>
      <c r="V374" s="590"/>
      <c r="W374" s="590"/>
      <c r="X374" s="590"/>
      <c r="Y374" s="590"/>
      <c r="Z374" s="590"/>
    </row>
    <row r="375" spans="1:26" ht="15.75" customHeight="1">
      <c r="A375" s="590"/>
      <c r="B375" s="590"/>
      <c r="C375" s="590"/>
      <c r="D375" s="590"/>
      <c r="E375" s="590"/>
      <c r="F375" s="590"/>
      <c r="G375" s="590"/>
      <c r="H375" s="590"/>
      <c r="I375" s="590"/>
      <c r="J375" s="590"/>
      <c r="K375" s="590"/>
      <c r="L375" s="590"/>
      <c r="M375" s="590"/>
      <c r="N375" s="590"/>
      <c r="O375" s="590"/>
      <c r="P375" s="590"/>
      <c r="Q375" s="590"/>
      <c r="R375" s="590"/>
      <c r="S375" s="590"/>
      <c r="T375" s="590"/>
      <c r="U375" s="590"/>
      <c r="V375" s="590"/>
      <c r="W375" s="590"/>
      <c r="X375" s="590"/>
      <c r="Y375" s="590"/>
      <c r="Z375" s="590"/>
    </row>
    <row r="376" spans="1:26" ht="15.75" customHeight="1">
      <c r="A376" s="590"/>
      <c r="B376" s="590"/>
      <c r="C376" s="590"/>
      <c r="D376" s="590"/>
      <c r="E376" s="590"/>
      <c r="F376" s="590"/>
      <c r="G376" s="590"/>
      <c r="H376" s="590"/>
      <c r="I376" s="590"/>
      <c r="J376" s="590"/>
      <c r="K376" s="590"/>
      <c r="L376" s="590"/>
      <c r="M376" s="590"/>
      <c r="N376" s="590"/>
      <c r="O376" s="590"/>
      <c r="P376" s="590"/>
      <c r="Q376" s="590"/>
      <c r="R376" s="590"/>
      <c r="S376" s="590"/>
      <c r="T376" s="590"/>
      <c r="U376" s="590"/>
      <c r="V376" s="590"/>
      <c r="W376" s="590"/>
      <c r="X376" s="590"/>
      <c r="Y376" s="590"/>
      <c r="Z376" s="590"/>
    </row>
    <row r="377" spans="1:26" ht="15.75" customHeight="1">
      <c r="A377" s="590"/>
      <c r="B377" s="590"/>
      <c r="C377" s="590"/>
      <c r="D377" s="590"/>
      <c r="E377" s="590"/>
      <c r="F377" s="590"/>
      <c r="G377" s="590"/>
      <c r="H377" s="590"/>
      <c r="I377" s="590"/>
      <c r="J377" s="590"/>
      <c r="K377" s="590"/>
      <c r="L377" s="590"/>
      <c r="M377" s="590"/>
      <c r="N377" s="590"/>
      <c r="O377" s="590"/>
      <c r="P377" s="590"/>
      <c r="Q377" s="590"/>
      <c r="R377" s="590"/>
      <c r="S377" s="590"/>
      <c r="T377" s="590"/>
      <c r="U377" s="590"/>
      <c r="V377" s="590"/>
      <c r="W377" s="590"/>
      <c r="X377" s="590"/>
      <c r="Y377" s="590"/>
      <c r="Z377" s="590"/>
    </row>
    <row r="378" spans="1:26" ht="15.75" customHeight="1">
      <c r="A378" s="590"/>
      <c r="B378" s="590"/>
      <c r="C378" s="590"/>
      <c r="D378" s="590"/>
      <c r="E378" s="590"/>
      <c r="F378" s="590"/>
      <c r="G378" s="590"/>
      <c r="H378" s="590"/>
      <c r="I378" s="590"/>
      <c r="J378" s="590"/>
      <c r="K378" s="590"/>
      <c r="L378" s="590"/>
      <c r="M378" s="590"/>
      <c r="N378" s="590"/>
      <c r="O378" s="590"/>
      <c r="P378" s="590"/>
      <c r="Q378" s="590"/>
      <c r="R378" s="590"/>
      <c r="S378" s="590"/>
      <c r="T378" s="590"/>
      <c r="U378" s="590"/>
      <c r="V378" s="590"/>
      <c r="W378" s="590"/>
      <c r="X378" s="590"/>
      <c r="Y378" s="590"/>
      <c r="Z378" s="590"/>
    </row>
    <row r="379" spans="1:26" ht="15.75" customHeight="1">
      <c r="A379" s="590"/>
      <c r="B379" s="590"/>
      <c r="C379" s="590"/>
      <c r="D379" s="590"/>
      <c r="E379" s="590"/>
      <c r="F379" s="590"/>
      <c r="G379" s="590"/>
      <c r="H379" s="590"/>
      <c r="I379" s="590"/>
      <c r="J379" s="590"/>
      <c r="K379" s="590"/>
      <c r="L379" s="590"/>
      <c r="M379" s="590"/>
      <c r="N379" s="590"/>
      <c r="O379" s="590"/>
      <c r="P379" s="590"/>
      <c r="Q379" s="590"/>
      <c r="R379" s="590"/>
      <c r="S379" s="590"/>
      <c r="T379" s="590"/>
      <c r="U379" s="590"/>
      <c r="V379" s="590"/>
      <c r="W379" s="590"/>
      <c r="X379" s="590"/>
      <c r="Y379" s="590"/>
      <c r="Z379" s="590"/>
    </row>
    <row r="380" spans="1:26" ht="15.75" customHeight="1">
      <c r="A380" s="590"/>
      <c r="B380" s="590"/>
      <c r="C380" s="590"/>
      <c r="D380" s="590"/>
      <c r="E380" s="590"/>
      <c r="F380" s="590"/>
      <c r="G380" s="590"/>
      <c r="H380" s="590"/>
      <c r="I380" s="590"/>
      <c r="J380" s="590"/>
      <c r="K380" s="590"/>
      <c r="L380" s="590"/>
      <c r="M380" s="590"/>
      <c r="N380" s="590"/>
      <c r="O380" s="590"/>
      <c r="P380" s="590"/>
      <c r="Q380" s="590"/>
      <c r="R380" s="590"/>
      <c r="S380" s="590"/>
      <c r="T380" s="590"/>
      <c r="U380" s="590"/>
      <c r="V380" s="590"/>
      <c r="W380" s="590"/>
      <c r="X380" s="590"/>
      <c r="Y380" s="590"/>
      <c r="Z380" s="590"/>
    </row>
    <row r="381" spans="1:26" ht="15.75" customHeight="1">
      <c r="A381" s="590"/>
      <c r="B381" s="590"/>
      <c r="C381" s="590"/>
      <c r="D381" s="590"/>
      <c r="E381" s="590"/>
      <c r="F381" s="590"/>
      <c r="G381" s="590"/>
      <c r="H381" s="590"/>
      <c r="I381" s="590"/>
      <c r="J381" s="590"/>
      <c r="K381" s="590"/>
      <c r="L381" s="590"/>
      <c r="M381" s="590"/>
      <c r="N381" s="590"/>
      <c r="O381" s="590"/>
      <c r="P381" s="590"/>
      <c r="Q381" s="590"/>
      <c r="R381" s="590"/>
      <c r="S381" s="590"/>
      <c r="T381" s="590"/>
      <c r="U381" s="590"/>
      <c r="V381" s="590"/>
      <c r="W381" s="590"/>
      <c r="X381" s="590"/>
      <c r="Y381" s="590"/>
      <c r="Z381" s="590"/>
    </row>
    <row r="382" spans="1:26" ht="15.75" customHeight="1">
      <c r="A382" s="590"/>
      <c r="B382" s="590"/>
      <c r="C382" s="590"/>
      <c r="D382" s="590"/>
      <c r="E382" s="590"/>
      <c r="F382" s="590"/>
      <c r="G382" s="590"/>
      <c r="H382" s="590"/>
      <c r="I382" s="590"/>
      <c r="J382" s="590"/>
      <c r="K382" s="590"/>
      <c r="L382" s="590"/>
      <c r="M382" s="590"/>
      <c r="N382" s="590"/>
      <c r="O382" s="590"/>
      <c r="P382" s="590"/>
      <c r="Q382" s="590"/>
      <c r="R382" s="590"/>
      <c r="S382" s="590"/>
      <c r="T382" s="590"/>
      <c r="U382" s="590"/>
      <c r="V382" s="590"/>
      <c r="W382" s="590"/>
      <c r="X382" s="590"/>
      <c r="Y382" s="590"/>
      <c r="Z382" s="590"/>
    </row>
    <row r="383" spans="1:26" ht="15.75" customHeight="1">
      <c r="A383" s="590"/>
      <c r="B383" s="590"/>
      <c r="C383" s="590"/>
      <c r="D383" s="590"/>
      <c r="E383" s="590"/>
      <c r="F383" s="590"/>
      <c r="G383" s="590"/>
      <c r="H383" s="590"/>
      <c r="I383" s="590"/>
      <c r="J383" s="590"/>
      <c r="K383" s="590"/>
      <c r="L383" s="590"/>
      <c r="M383" s="590"/>
      <c r="N383" s="590"/>
      <c r="O383" s="590"/>
      <c r="P383" s="590"/>
      <c r="Q383" s="590"/>
      <c r="R383" s="590"/>
      <c r="S383" s="590"/>
      <c r="T383" s="590"/>
      <c r="U383" s="590"/>
      <c r="V383" s="590"/>
      <c r="W383" s="590"/>
      <c r="X383" s="590"/>
      <c r="Y383" s="590"/>
      <c r="Z383" s="590"/>
    </row>
    <row r="384" spans="1:26" ht="15.75" customHeight="1">
      <c r="A384" s="590"/>
      <c r="B384" s="590"/>
      <c r="C384" s="590"/>
      <c r="D384" s="590"/>
      <c r="E384" s="590"/>
      <c r="F384" s="590"/>
      <c r="G384" s="590"/>
      <c r="H384" s="590"/>
      <c r="I384" s="590"/>
      <c r="J384" s="590"/>
      <c r="K384" s="590"/>
      <c r="L384" s="590"/>
      <c r="M384" s="590"/>
      <c r="N384" s="590"/>
      <c r="O384" s="590"/>
      <c r="P384" s="590"/>
      <c r="Q384" s="590"/>
      <c r="R384" s="590"/>
      <c r="S384" s="590"/>
      <c r="T384" s="590"/>
      <c r="U384" s="590"/>
      <c r="V384" s="590"/>
      <c r="W384" s="590"/>
      <c r="X384" s="590"/>
      <c r="Y384" s="590"/>
      <c r="Z384" s="590"/>
    </row>
    <row r="385" spans="1:26" ht="15.75" customHeight="1">
      <c r="A385" s="590"/>
      <c r="B385" s="590"/>
      <c r="C385" s="590"/>
      <c r="D385" s="590"/>
      <c r="E385" s="590"/>
      <c r="F385" s="590"/>
      <c r="G385" s="590"/>
      <c r="H385" s="590"/>
      <c r="I385" s="590"/>
      <c r="J385" s="590"/>
      <c r="K385" s="590"/>
      <c r="L385" s="590"/>
      <c r="M385" s="590"/>
      <c r="N385" s="590"/>
      <c r="O385" s="590"/>
      <c r="P385" s="590"/>
      <c r="Q385" s="590"/>
      <c r="R385" s="590"/>
      <c r="S385" s="590"/>
      <c r="T385" s="590"/>
      <c r="U385" s="590"/>
      <c r="V385" s="590"/>
      <c r="W385" s="590"/>
      <c r="X385" s="590"/>
      <c r="Y385" s="590"/>
      <c r="Z385" s="590"/>
    </row>
    <row r="386" spans="1:26" ht="15.75" customHeight="1">
      <c r="A386" s="590"/>
      <c r="B386" s="590"/>
      <c r="C386" s="590"/>
      <c r="D386" s="590"/>
      <c r="E386" s="590"/>
      <c r="F386" s="590"/>
      <c r="G386" s="590"/>
      <c r="H386" s="590"/>
      <c r="I386" s="590"/>
      <c r="J386" s="590"/>
      <c r="K386" s="590"/>
      <c r="L386" s="590"/>
      <c r="M386" s="590"/>
      <c r="N386" s="590"/>
      <c r="O386" s="590"/>
      <c r="P386" s="590"/>
      <c r="Q386" s="590"/>
      <c r="R386" s="590"/>
      <c r="S386" s="590"/>
      <c r="T386" s="590"/>
      <c r="U386" s="590"/>
      <c r="V386" s="590"/>
      <c r="W386" s="590"/>
      <c r="X386" s="590"/>
      <c r="Y386" s="590"/>
      <c r="Z386" s="590"/>
    </row>
    <row r="387" spans="1:26" ht="15.75" customHeight="1">
      <c r="A387" s="590"/>
      <c r="B387" s="590"/>
      <c r="C387" s="590"/>
      <c r="D387" s="590"/>
      <c r="E387" s="590"/>
      <c r="F387" s="590"/>
      <c r="G387" s="590"/>
      <c r="H387" s="590"/>
      <c r="I387" s="590"/>
      <c r="J387" s="590"/>
      <c r="K387" s="590"/>
      <c r="L387" s="590"/>
      <c r="M387" s="590"/>
      <c r="N387" s="590"/>
      <c r="O387" s="590"/>
      <c r="P387" s="590"/>
      <c r="Q387" s="590"/>
      <c r="R387" s="590"/>
      <c r="S387" s="590"/>
      <c r="T387" s="590"/>
      <c r="U387" s="590"/>
      <c r="V387" s="590"/>
      <c r="W387" s="590"/>
      <c r="X387" s="590"/>
      <c r="Y387" s="590"/>
      <c r="Z387" s="590"/>
    </row>
    <row r="388" spans="1:26" ht="15.75" customHeight="1">
      <c r="A388" s="590"/>
      <c r="B388" s="590"/>
      <c r="C388" s="590"/>
      <c r="D388" s="590"/>
      <c r="E388" s="590"/>
      <c r="F388" s="590"/>
      <c r="G388" s="590"/>
      <c r="H388" s="590"/>
      <c r="I388" s="590"/>
      <c r="J388" s="590"/>
      <c r="K388" s="590"/>
      <c r="L388" s="590"/>
      <c r="M388" s="590"/>
      <c r="N388" s="590"/>
      <c r="O388" s="590"/>
      <c r="P388" s="590"/>
      <c r="Q388" s="590"/>
      <c r="R388" s="590"/>
      <c r="S388" s="590"/>
      <c r="T388" s="590"/>
      <c r="U388" s="590"/>
      <c r="V388" s="590"/>
      <c r="W388" s="590"/>
      <c r="X388" s="590"/>
      <c r="Y388" s="590"/>
      <c r="Z388" s="590"/>
    </row>
    <row r="389" spans="1:26" ht="15.75" customHeight="1">
      <c r="A389" s="590"/>
      <c r="B389" s="590"/>
      <c r="C389" s="590"/>
      <c r="D389" s="590"/>
      <c r="E389" s="590"/>
      <c r="F389" s="590"/>
      <c r="G389" s="590"/>
      <c r="H389" s="590"/>
      <c r="I389" s="590"/>
      <c r="J389" s="590"/>
      <c r="K389" s="590"/>
      <c r="L389" s="590"/>
      <c r="M389" s="590"/>
      <c r="N389" s="590"/>
      <c r="O389" s="590"/>
      <c r="P389" s="590"/>
      <c r="Q389" s="590"/>
      <c r="R389" s="590"/>
      <c r="S389" s="590"/>
      <c r="T389" s="590"/>
      <c r="U389" s="590"/>
      <c r="V389" s="590"/>
      <c r="W389" s="590"/>
      <c r="X389" s="590"/>
      <c r="Y389" s="590"/>
      <c r="Z389" s="590"/>
    </row>
    <row r="390" spans="1:26" ht="15.75" customHeight="1">
      <c r="A390" s="590"/>
      <c r="B390" s="590"/>
      <c r="C390" s="590"/>
      <c r="D390" s="590"/>
      <c r="E390" s="590"/>
      <c r="F390" s="590"/>
      <c r="G390" s="590"/>
      <c r="H390" s="590"/>
      <c r="I390" s="590"/>
      <c r="J390" s="590"/>
      <c r="K390" s="590"/>
      <c r="L390" s="590"/>
      <c r="M390" s="590"/>
      <c r="N390" s="590"/>
      <c r="O390" s="590"/>
      <c r="P390" s="590"/>
      <c r="Q390" s="590"/>
      <c r="R390" s="590"/>
      <c r="S390" s="590"/>
      <c r="T390" s="590"/>
      <c r="U390" s="590"/>
      <c r="V390" s="590"/>
      <c r="W390" s="590"/>
      <c r="X390" s="590"/>
      <c r="Y390" s="590"/>
      <c r="Z390" s="590"/>
    </row>
    <row r="391" spans="1:26" ht="15.75" customHeight="1">
      <c r="A391" s="590"/>
      <c r="B391" s="590"/>
      <c r="C391" s="590"/>
      <c r="D391" s="590"/>
      <c r="E391" s="590"/>
      <c r="F391" s="590"/>
      <c r="G391" s="590"/>
      <c r="H391" s="590"/>
      <c r="I391" s="590"/>
      <c r="J391" s="590"/>
      <c r="K391" s="590"/>
      <c r="L391" s="590"/>
      <c r="M391" s="590"/>
      <c r="N391" s="590"/>
      <c r="O391" s="590"/>
      <c r="P391" s="590"/>
      <c r="Q391" s="590"/>
      <c r="R391" s="590"/>
      <c r="S391" s="590"/>
      <c r="T391" s="590"/>
      <c r="U391" s="590"/>
      <c r="V391" s="590"/>
      <c r="W391" s="590"/>
      <c r="X391" s="590"/>
      <c r="Y391" s="590"/>
      <c r="Z391" s="590"/>
    </row>
    <row r="392" spans="1:26" ht="15.75" customHeight="1">
      <c r="A392" s="590"/>
      <c r="B392" s="590"/>
      <c r="C392" s="590"/>
      <c r="D392" s="590"/>
      <c r="E392" s="590"/>
      <c r="F392" s="590"/>
      <c r="G392" s="590"/>
      <c r="H392" s="590"/>
      <c r="I392" s="590"/>
      <c r="J392" s="590"/>
      <c r="K392" s="590"/>
      <c r="L392" s="590"/>
      <c r="M392" s="590"/>
      <c r="N392" s="590"/>
      <c r="O392" s="590"/>
      <c r="P392" s="590"/>
      <c r="Q392" s="590"/>
      <c r="R392" s="590"/>
      <c r="S392" s="590"/>
      <c r="T392" s="590"/>
      <c r="U392" s="590"/>
      <c r="V392" s="590"/>
      <c r="W392" s="590"/>
      <c r="X392" s="590"/>
      <c r="Y392" s="590"/>
      <c r="Z392" s="590"/>
    </row>
    <row r="393" spans="1:26" ht="15.75" customHeight="1">
      <c r="A393" s="590"/>
      <c r="B393" s="590"/>
      <c r="C393" s="590"/>
      <c r="D393" s="590"/>
      <c r="E393" s="590"/>
      <c r="F393" s="590"/>
      <c r="G393" s="590"/>
      <c r="H393" s="590"/>
      <c r="I393" s="590"/>
      <c r="J393" s="590"/>
      <c r="K393" s="590"/>
      <c r="L393" s="590"/>
      <c r="M393" s="590"/>
      <c r="N393" s="590"/>
      <c r="O393" s="590"/>
      <c r="P393" s="590"/>
      <c r="Q393" s="590"/>
      <c r="R393" s="590"/>
      <c r="S393" s="590"/>
      <c r="T393" s="590"/>
      <c r="U393" s="590"/>
      <c r="V393" s="590"/>
      <c r="W393" s="590"/>
      <c r="X393" s="590"/>
      <c r="Y393" s="590"/>
      <c r="Z393" s="590"/>
    </row>
    <row r="394" spans="1:26" ht="15.75" customHeight="1">
      <c r="A394" s="590"/>
      <c r="B394" s="590"/>
      <c r="C394" s="590"/>
      <c r="D394" s="590"/>
      <c r="E394" s="590"/>
      <c r="F394" s="590"/>
      <c r="G394" s="590"/>
      <c r="H394" s="590"/>
      <c r="I394" s="590"/>
      <c r="J394" s="590"/>
      <c r="K394" s="590"/>
      <c r="L394" s="590"/>
      <c r="M394" s="590"/>
      <c r="N394" s="590"/>
      <c r="O394" s="590"/>
      <c r="P394" s="590"/>
      <c r="Q394" s="590"/>
      <c r="R394" s="590"/>
      <c r="S394" s="590"/>
      <c r="T394" s="590"/>
      <c r="U394" s="590"/>
      <c r="V394" s="590"/>
      <c r="W394" s="590"/>
      <c r="X394" s="590"/>
      <c r="Y394" s="590"/>
      <c r="Z394" s="590"/>
    </row>
    <row r="395" spans="1:26" ht="15.75" customHeight="1">
      <c r="A395" s="590"/>
      <c r="B395" s="590"/>
      <c r="C395" s="590"/>
      <c r="D395" s="590"/>
      <c r="E395" s="590"/>
      <c r="F395" s="590"/>
      <c r="G395" s="590"/>
      <c r="H395" s="590"/>
      <c r="I395" s="590"/>
      <c r="J395" s="590"/>
      <c r="K395" s="590"/>
      <c r="L395" s="590"/>
      <c r="M395" s="590"/>
      <c r="N395" s="590"/>
      <c r="O395" s="590"/>
      <c r="P395" s="590"/>
      <c r="Q395" s="590"/>
      <c r="R395" s="590"/>
      <c r="S395" s="590"/>
      <c r="T395" s="590"/>
      <c r="U395" s="590"/>
      <c r="V395" s="590"/>
      <c r="W395" s="590"/>
      <c r="X395" s="590"/>
      <c r="Y395" s="590"/>
      <c r="Z395" s="590"/>
    </row>
    <row r="396" spans="1:26" ht="15.75" customHeight="1">
      <c r="A396" s="590"/>
      <c r="B396" s="590"/>
      <c r="C396" s="590"/>
      <c r="D396" s="590"/>
      <c r="E396" s="590"/>
      <c r="F396" s="590"/>
      <c r="G396" s="590"/>
      <c r="H396" s="590"/>
      <c r="I396" s="590"/>
      <c r="J396" s="590"/>
      <c r="K396" s="590"/>
      <c r="L396" s="590"/>
      <c r="M396" s="590"/>
      <c r="N396" s="590"/>
      <c r="O396" s="590"/>
      <c r="P396" s="590"/>
      <c r="Q396" s="590"/>
      <c r="R396" s="590"/>
      <c r="S396" s="590"/>
      <c r="T396" s="590"/>
      <c r="U396" s="590"/>
      <c r="V396" s="590"/>
      <c r="W396" s="590"/>
      <c r="X396" s="590"/>
      <c r="Y396" s="590"/>
      <c r="Z396" s="590"/>
    </row>
    <row r="397" spans="1:26" ht="15.75" customHeight="1">
      <c r="A397" s="590"/>
      <c r="B397" s="590"/>
      <c r="C397" s="590"/>
      <c r="D397" s="590"/>
      <c r="E397" s="590"/>
      <c r="F397" s="590"/>
      <c r="G397" s="590"/>
      <c r="H397" s="590"/>
      <c r="I397" s="590"/>
      <c r="J397" s="590"/>
      <c r="K397" s="590"/>
      <c r="L397" s="590"/>
      <c r="M397" s="590"/>
      <c r="N397" s="590"/>
      <c r="O397" s="590"/>
      <c r="P397" s="590"/>
      <c r="Q397" s="590"/>
      <c r="R397" s="590"/>
      <c r="S397" s="590"/>
      <c r="T397" s="590"/>
      <c r="U397" s="590"/>
      <c r="V397" s="590"/>
      <c r="W397" s="590"/>
      <c r="X397" s="590"/>
      <c r="Y397" s="590"/>
      <c r="Z397" s="590"/>
    </row>
    <row r="398" spans="1:26" ht="15.75" customHeight="1">
      <c r="A398" s="590"/>
      <c r="B398" s="590"/>
      <c r="C398" s="590"/>
      <c r="D398" s="590"/>
      <c r="E398" s="590"/>
      <c r="F398" s="590"/>
      <c r="G398" s="590"/>
      <c r="H398" s="590"/>
      <c r="I398" s="590"/>
      <c r="J398" s="590"/>
      <c r="K398" s="590"/>
      <c r="L398" s="590"/>
      <c r="M398" s="590"/>
      <c r="N398" s="590"/>
      <c r="O398" s="590"/>
      <c r="P398" s="590"/>
      <c r="Q398" s="590"/>
      <c r="R398" s="590"/>
      <c r="S398" s="590"/>
      <c r="T398" s="590"/>
      <c r="U398" s="590"/>
      <c r="V398" s="590"/>
      <c r="W398" s="590"/>
      <c r="X398" s="590"/>
      <c r="Y398" s="590"/>
      <c r="Z398" s="590"/>
    </row>
    <row r="399" spans="1:26" ht="15.75" customHeight="1">
      <c r="A399" s="590"/>
      <c r="B399" s="590"/>
      <c r="C399" s="590"/>
      <c r="D399" s="590"/>
      <c r="E399" s="590"/>
      <c r="F399" s="590"/>
      <c r="G399" s="590"/>
      <c r="H399" s="590"/>
      <c r="I399" s="590"/>
      <c r="J399" s="590"/>
      <c r="K399" s="590"/>
      <c r="L399" s="590"/>
      <c r="M399" s="590"/>
      <c r="N399" s="590"/>
      <c r="O399" s="590"/>
      <c r="P399" s="590"/>
      <c r="Q399" s="590"/>
      <c r="R399" s="590"/>
      <c r="S399" s="590"/>
      <c r="T399" s="590"/>
      <c r="U399" s="590"/>
      <c r="V399" s="590"/>
      <c r="W399" s="590"/>
      <c r="X399" s="590"/>
      <c r="Y399" s="590"/>
      <c r="Z399" s="590"/>
    </row>
    <row r="400" spans="1:26" ht="15.75" customHeight="1">
      <c r="A400" s="590"/>
      <c r="B400" s="590"/>
      <c r="C400" s="590"/>
      <c r="D400" s="590"/>
      <c r="E400" s="590"/>
      <c r="F400" s="590"/>
      <c r="G400" s="590"/>
      <c r="H400" s="590"/>
      <c r="I400" s="590"/>
      <c r="J400" s="590"/>
      <c r="K400" s="590"/>
      <c r="L400" s="590"/>
      <c r="M400" s="590"/>
      <c r="N400" s="590"/>
      <c r="O400" s="590"/>
      <c r="P400" s="590"/>
      <c r="Q400" s="590"/>
      <c r="R400" s="590"/>
      <c r="S400" s="590"/>
      <c r="T400" s="590"/>
      <c r="U400" s="590"/>
      <c r="V400" s="590"/>
      <c r="W400" s="590"/>
      <c r="X400" s="590"/>
      <c r="Y400" s="590"/>
      <c r="Z400" s="590"/>
    </row>
    <row r="401" spans="1:26" ht="15.75" customHeight="1">
      <c r="A401" s="590"/>
      <c r="B401" s="590"/>
      <c r="C401" s="590"/>
      <c r="D401" s="590"/>
      <c r="E401" s="590"/>
      <c r="F401" s="590"/>
      <c r="G401" s="590"/>
      <c r="H401" s="590"/>
      <c r="I401" s="590"/>
      <c r="J401" s="590"/>
      <c r="K401" s="590"/>
      <c r="L401" s="590"/>
      <c r="M401" s="590"/>
      <c r="N401" s="590"/>
      <c r="O401" s="590"/>
      <c r="P401" s="590"/>
      <c r="Q401" s="590"/>
      <c r="R401" s="590"/>
      <c r="S401" s="590"/>
      <c r="T401" s="590"/>
      <c r="U401" s="590"/>
      <c r="V401" s="590"/>
      <c r="W401" s="590"/>
      <c r="X401" s="590"/>
      <c r="Y401" s="590"/>
      <c r="Z401" s="590"/>
    </row>
    <row r="402" spans="1:26" ht="15.75" customHeight="1">
      <c r="A402" s="590"/>
      <c r="B402" s="590"/>
      <c r="C402" s="590"/>
      <c r="D402" s="590"/>
      <c r="E402" s="590"/>
      <c r="F402" s="590"/>
      <c r="G402" s="590"/>
      <c r="H402" s="590"/>
      <c r="I402" s="590"/>
      <c r="J402" s="590"/>
      <c r="K402" s="590"/>
      <c r="L402" s="590"/>
      <c r="M402" s="590"/>
      <c r="N402" s="590"/>
      <c r="O402" s="590"/>
      <c r="P402" s="590"/>
      <c r="Q402" s="590"/>
      <c r="R402" s="590"/>
      <c r="S402" s="590"/>
      <c r="T402" s="590"/>
      <c r="U402" s="590"/>
      <c r="V402" s="590"/>
      <c r="W402" s="590"/>
      <c r="X402" s="590"/>
      <c r="Y402" s="590"/>
      <c r="Z402" s="590"/>
    </row>
    <row r="403" spans="1:26" ht="15.75" customHeight="1">
      <c r="A403" s="590"/>
      <c r="B403" s="590"/>
      <c r="C403" s="590"/>
      <c r="D403" s="590"/>
      <c r="E403" s="590"/>
      <c r="F403" s="590"/>
      <c r="G403" s="590"/>
      <c r="H403" s="590"/>
      <c r="I403" s="590"/>
      <c r="J403" s="590"/>
      <c r="K403" s="590"/>
      <c r="L403" s="590"/>
      <c r="M403" s="590"/>
      <c r="N403" s="590"/>
      <c r="O403" s="590"/>
      <c r="P403" s="590"/>
      <c r="Q403" s="590"/>
      <c r="R403" s="590"/>
      <c r="S403" s="590"/>
      <c r="T403" s="590"/>
      <c r="U403" s="590"/>
      <c r="V403" s="590"/>
      <c r="W403" s="590"/>
      <c r="X403" s="590"/>
      <c r="Y403" s="590"/>
      <c r="Z403" s="590"/>
    </row>
    <row r="404" spans="1:26" ht="15.75" customHeight="1">
      <c r="A404" s="590"/>
      <c r="B404" s="590"/>
      <c r="C404" s="590"/>
      <c r="D404" s="590"/>
      <c r="E404" s="590"/>
      <c r="F404" s="590"/>
      <c r="G404" s="590"/>
      <c r="H404" s="590"/>
      <c r="I404" s="590"/>
      <c r="J404" s="590"/>
      <c r="K404" s="590"/>
      <c r="L404" s="590"/>
      <c r="M404" s="590"/>
      <c r="N404" s="590"/>
      <c r="O404" s="590"/>
      <c r="P404" s="590"/>
      <c r="Q404" s="590"/>
      <c r="R404" s="590"/>
      <c r="S404" s="590"/>
      <c r="T404" s="590"/>
      <c r="U404" s="590"/>
      <c r="V404" s="590"/>
      <c r="W404" s="590"/>
      <c r="X404" s="590"/>
      <c r="Y404" s="590"/>
      <c r="Z404" s="590"/>
    </row>
    <row r="405" spans="1:26" ht="15.75" customHeight="1">
      <c r="A405" s="590"/>
      <c r="B405" s="590"/>
      <c r="C405" s="590"/>
      <c r="D405" s="590"/>
      <c r="E405" s="590"/>
      <c r="F405" s="590"/>
      <c r="G405" s="590"/>
      <c r="H405" s="590"/>
      <c r="I405" s="590"/>
      <c r="J405" s="590"/>
      <c r="K405" s="590"/>
      <c r="L405" s="590"/>
      <c r="M405" s="590"/>
      <c r="N405" s="590"/>
      <c r="O405" s="590"/>
      <c r="P405" s="590"/>
      <c r="Q405" s="590"/>
      <c r="R405" s="590"/>
      <c r="S405" s="590"/>
      <c r="T405" s="590"/>
      <c r="U405" s="590"/>
      <c r="V405" s="590"/>
      <c r="W405" s="590"/>
      <c r="X405" s="590"/>
      <c r="Y405" s="590"/>
      <c r="Z405" s="590"/>
    </row>
    <row r="406" spans="1:26" ht="15.75" customHeight="1">
      <c r="A406" s="590"/>
      <c r="B406" s="590"/>
      <c r="C406" s="590"/>
      <c r="D406" s="590"/>
      <c r="E406" s="590"/>
      <c r="F406" s="590"/>
      <c r="G406" s="590"/>
      <c r="H406" s="590"/>
      <c r="I406" s="590"/>
      <c r="J406" s="590"/>
      <c r="K406" s="590"/>
      <c r="L406" s="590"/>
      <c r="M406" s="590"/>
      <c r="N406" s="590"/>
      <c r="O406" s="590"/>
      <c r="P406" s="590"/>
      <c r="Q406" s="590"/>
      <c r="R406" s="590"/>
      <c r="S406" s="590"/>
      <c r="T406" s="590"/>
      <c r="U406" s="590"/>
      <c r="V406" s="590"/>
      <c r="W406" s="590"/>
      <c r="X406" s="590"/>
      <c r="Y406" s="590"/>
      <c r="Z406" s="590"/>
    </row>
    <row r="407" spans="1:26" ht="15.75" customHeight="1">
      <c r="A407" s="590"/>
      <c r="B407" s="590"/>
      <c r="C407" s="590"/>
      <c r="D407" s="590"/>
      <c r="E407" s="590"/>
      <c r="F407" s="590"/>
      <c r="G407" s="590"/>
      <c r="H407" s="590"/>
      <c r="I407" s="590"/>
      <c r="J407" s="590"/>
      <c r="K407" s="590"/>
      <c r="L407" s="590"/>
      <c r="M407" s="590"/>
      <c r="N407" s="590"/>
      <c r="O407" s="590"/>
      <c r="P407" s="590"/>
      <c r="Q407" s="590"/>
      <c r="R407" s="590"/>
      <c r="S407" s="590"/>
      <c r="T407" s="590"/>
      <c r="U407" s="590"/>
      <c r="V407" s="590"/>
      <c r="W407" s="590"/>
      <c r="X407" s="590"/>
      <c r="Y407" s="590"/>
      <c r="Z407" s="590"/>
    </row>
    <row r="408" spans="1:26" ht="15.75" customHeight="1">
      <c r="A408" s="590"/>
      <c r="B408" s="590"/>
      <c r="C408" s="590"/>
      <c r="D408" s="590"/>
      <c r="E408" s="590"/>
      <c r="F408" s="590"/>
      <c r="G408" s="590"/>
      <c r="H408" s="590"/>
      <c r="I408" s="590"/>
      <c r="J408" s="590"/>
      <c r="K408" s="590"/>
      <c r="L408" s="590"/>
      <c r="M408" s="590"/>
      <c r="N408" s="590"/>
      <c r="O408" s="590"/>
      <c r="P408" s="590"/>
      <c r="Q408" s="590"/>
      <c r="R408" s="590"/>
      <c r="S408" s="590"/>
      <c r="T408" s="590"/>
      <c r="U408" s="590"/>
      <c r="V408" s="590"/>
      <c r="W408" s="590"/>
      <c r="X408" s="590"/>
      <c r="Y408" s="590"/>
      <c r="Z408" s="590"/>
    </row>
    <row r="409" spans="1:26" ht="15.75" customHeight="1">
      <c r="A409" s="590"/>
      <c r="B409" s="590"/>
      <c r="C409" s="590"/>
      <c r="D409" s="590"/>
      <c r="E409" s="590"/>
      <c r="F409" s="590"/>
      <c r="G409" s="590"/>
      <c r="H409" s="590"/>
      <c r="I409" s="590"/>
      <c r="J409" s="590"/>
      <c r="K409" s="590"/>
      <c r="L409" s="590"/>
      <c r="M409" s="590"/>
      <c r="N409" s="590"/>
      <c r="O409" s="590"/>
      <c r="P409" s="590"/>
      <c r="Q409" s="590"/>
      <c r="R409" s="590"/>
      <c r="S409" s="590"/>
      <c r="T409" s="590"/>
      <c r="U409" s="590"/>
      <c r="V409" s="590"/>
      <c r="W409" s="590"/>
      <c r="X409" s="590"/>
      <c r="Y409" s="590"/>
      <c r="Z409" s="590"/>
    </row>
    <row r="410" spans="1:26" ht="15.75" customHeight="1">
      <c r="A410" s="590"/>
      <c r="B410" s="590"/>
      <c r="C410" s="590"/>
      <c r="D410" s="590"/>
      <c r="E410" s="590"/>
      <c r="F410" s="590"/>
      <c r="G410" s="590"/>
      <c r="H410" s="590"/>
      <c r="I410" s="590"/>
      <c r="J410" s="590"/>
      <c r="K410" s="590"/>
      <c r="L410" s="590"/>
      <c r="M410" s="590"/>
      <c r="N410" s="590"/>
      <c r="O410" s="590"/>
      <c r="P410" s="590"/>
      <c r="Q410" s="590"/>
      <c r="R410" s="590"/>
      <c r="S410" s="590"/>
      <c r="T410" s="590"/>
      <c r="U410" s="590"/>
      <c r="V410" s="590"/>
      <c r="W410" s="590"/>
      <c r="X410" s="590"/>
      <c r="Y410" s="590"/>
      <c r="Z410" s="590"/>
    </row>
    <row r="411" spans="1:26" ht="15.75" customHeight="1">
      <c r="A411" s="590"/>
      <c r="B411" s="590"/>
      <c r="C411" s="590"/>
      <c r="D411" s="590"/>
      <c r="E411" s="590"/>
      <c r="F411" s="590"/>
      <c r="G411" s="590"/>
      <c r="H411" s="590"/>
      <c r="I411" s="590"/>
      <c r="J411" s="590"/>
      <c r="K411" s="590"/>
      <c r="L411" s="590"/>
      <c r="M411" s="590"/>
      <c r="N411" s="590"/>
      <c r="O411" s="590"/>
      <c r="P411" s="590"/>
      <c r="Q411" s="590"/>
      <c r="R411" s="590"/>
      <c r="S411" s="590"/>
      <c r="T411" s="590"/>
      <c r="U411" s="590"/>
      <c r="V411" s="590"/>
      <c r="W411" s="590"/>
      <c r="X411" s="590"/>
      <c r="Y411" s="590"/>
      <c r="Z411" s="590"/>
    </row>
    <row r="412" spans="1:26" ht="15.75" customHeight="1">
      <c r="A412" s="590"/>
      <c r="B412" s="590"/>
      <c r="C412" s="590"/>
      <c r="D412" s="590"/>
      <c r="E412" s="590"/>
      <c r="F412" s="590"/>
      <c r="G412" s="590"/>
      <c r="H412" s="590"/>
      <c r="I412" s="590"/>
      <c r="J412" s="590"/>
      <c r="K412" s="590"/>
      <c r="L412" s="590"/>
      <c r="M412" s="590"/>
      <c r="N412" s="590"/>
      <c r="O412" s="590"/>
      <c r="P412" s="590"/>
      <c r="Q412" s="590"/>
      <c r="R412" s="590"/>
      <c r="S412" s="590"/>
      <c r="T412" s="590"/>
      <c r="U412" s="590"/>
      <c r="V412" s="590"/>
      <c r="W412" s="590"/>
      <c r="X412" s="590"/>
      <c r="Y412" s="590"/>
      <c r="Z412" s="590"/>
    </row>
    <row r="413" spans="1:26" ht="15.75" customHeight="1">
      <c r="A413" s="590"/>
      <c r="B413" s="590"/>
      <c r="C413" s="590"/>
      <c r="D413" s="590"/>
      <c r="E413" s="590"/>
      <c r="F413" s="590"/>
      <c r="G413" s="590"/>
      <c r="H413" s="590"/>
      <c r="I413" s="590"/>
      <c r="J413" s="590"/>
      <c r="K413" s="590"/>
      <c r="L413" s="590"/>
      <c r="M413" s="590"/>
      <c r="N413" s="590"/>
      <c r="O413" s="590"/>
      <c r="P413" s="590"/>
      <c r="Q413" s="590"/>
      <c r="R413" s="590"/>
      <c r="S413" s="590"/>
      <c r="T413" s="590"/>
      <c r="U413" s="590"/>
      <c r="V413" s="590"/>
      <c r="W413" s="590"/>
      <c r="X413" s="590"/>
      <c r="Y413" s="590"/>
      <c r="Z413" s="590"/>
    </row>
    <row r="414" spans="1:26" ht="15.75" customHeight="1">
      <c r="A414" s="590"/>
      <c r="B414" s="590"/>
      <c r="C414" s="590"/>
      <c r="D414" s="590"/>
      <c r="E414" s="590"/>
      <c r="F414" s="590"/>
      <c r="G414" s="590"/>
      <c r="H414" s="590"/>
      <c r="I414" s="590"/>
      <c r="J414" s="590"/>
      <c r="K414" s="590"/>
      <c r="L414" s="590"/>
      <c r="M414" s="590"/>
      <c r="N414" s="590"/>
      <c r="O414" s="590"/>
      <c r="P414" s="590"/>
      <c r="Q414" s="590"/>
      <c r="R414" s="590"/>
      <c r="S414" s="590"/>
      <c r="T414" s="590"/>
      <c r="U414" s="590"/>
      <c r="V414" s="590"/>
      <c r="W414" s="590"/>
      <c r="X414" s="590"/>
      <c r="Y414" s="590"/>
      <c r="Z414" s="590"/>
    </row>
    <row r="415" spans="1:26" ht="15.75" customHeight="1">
      <c r="A415" s="590"/>
      <c r="B415" s="590"/>
      <c r="C415" s="590"/>
      <c r="D415" s="590"/>
      <c r="E415" s="590"/>
      <c r="F415" s="590"/>
      <c r="G415" s="590"/>
      <c r="H415" s="590"/>
      <c r="I415" s="590"/>
      <c r="J415" s="590"/>
      <c r="K415" s="590"/>
      <c r="L415" s="590"/>
      <c r="M415" s="590"/>
      <c r="N415" s="590"/>
      <c r="O415" s="590"/>
      <c r="P415" s="590"/>
      <c r="Q415" s="590"/>
      <c r="R415" s="590"/>
      <c r="S415" s="590"/>
      <c r="T415" s="590"/>
      <c r="U415" s="590"/>
      <c r="V415" s="590"/>
      <c r="W415" s="590"/>
      <c r="X415" s="590"/>
      <c r="Y415" s="590"/>
      <c r="Z415" s="590"/>
    </row>
    <row r="416" spans="1:26" ht="15.75" customHeight="1">
      <c r="A416" s="590"/>
      <c r="B416" s="590"/>
      <c r="C416" s="590"/>
      <c r="D416" s="590"/>
      <c r="E416" s="590"/>
      <c r="F416" s="590"/>
      <c r="G416" s="590"/>
      <c r="H416" s="590"/>
      <c r="I416" s="590"/>
      <c r="J416" s="590"/>
      <c r="K416" s="590"/>
      <c r="L416" s="590"/>
      <c r="M416" s="590"/>
      <c r="N416" s="590"/>
      <c r="O416" s="590"/>
      <c r="P416" s="590"/>
      <c r="Q416" s="590"/>
      <c r="R416" s="590"/>
      <c r="S416" s="590"/>
      <c r="T416" s="590"/>
      <c r="U416" s="590"/>
      <c r="V416" s="590"/>
      <c r="W416" s="590"/>
      <c r="X416" s="590"/>
      <c r="Y416" s="590"/>
      <c r="Z416" s="590"/>
    </row>
    <row r="417" spans="1:26" ht="15.75" customHeight="1">
      <c r="A417" s="590"/>
      <c r="B417" s="590"/>
      <c r="C417" s="590"/>
      <c r="D417" s="590"/>
      <c r="E417" s="590"/>
      <c r="F417" s="590"/>
      <c r="G417" s="590"/>
      <c r="H417" s="590"/>
      <c r="I417" s="590"/>
      <c r="J417" s="590"/>
      <c r="K417" s="590"/>
      <c r="L417" s="590"/>
      <c r="M417" s="590"/>
      <c r="N417" s="590"/>
      <c r="O417" s="590"/>
      <c r="P417" s="590"/>
      <c r="Q417" s="590"/>
      <c r="R417" s="590"/>
      <c r="S417" s="590"/>
      <c r="T417" s="590"/>
      <c r="U417" s="590"/>
      <c r="V417" s="590"/>
      <c r="W417" s="590"/>
      <c r="X417" s="590"/>
      <c r="Y417" s="590"/>
      <c r="Z417" s="590"/>
    </row>
    <row r="418" spans="1:26" ht="15.75" customHeight="1">
      <c r="A418" s="590"/>
      <c r="B418" s="590"/>
      <c r="C418" s="590"/>
      <c r="D418" s="590"/>
      <c r="E418" s="590"/>
      <c r="F418" s="590"/>
      <c r="G418" s="590"/>
      <c r="H418" s="590"/>
      <c r="I418" s="590"/>
      <c r="J418" s="590"/>
      <c r="K418" s="590"/>
      <c r="L418" s="590"/>
      <c r="M418" s="590"/>
      <c r="N418" s="590"/>
      <c r="O418" s="590"/>
      <c r="P418" s="590"/>
      <c r="Q418" s="590"/>
      <c r="R418" s="590"/>
      <c r="S418" s="590"/>
      <c r="T418" s="590"/>
      <c r="U418" s="590"/>
      <c r="V418" s="590"/>
      <c r="W418" s="590"/>
      <c r="X418" s="590"/>
      <c r="Y418" s="590"/>
      <c r="Z418" s="590"/>
    </row>
    <row r="419" spans="1:26" ht="15.75" customHeight="1">
      <c r="A419" s="590"/>
      <c r="B419" s="590"/>
      <c r="C419" s="590"/>
      <c r="D419" s="590"/>
      <c r="E419" s="590"/>
      <c r="F419" s="590"/>
      <c r="G419" s="590"/>
      <c r="H419" s="590"/>
      <c r="I419" s="590"/>
      <c r="J419" s="590"/>
      <c r="K419" s="590"/>
      <c r="L419" s="590"/>
      <c r="M419" s="590"/>
      <c r="N419" s="590"/>
      <c r="O419" s="590"/>
      <c r="P419" s="590"/>
      <c r="Q419" s="590"/>
      <c r="R419" s="590"/>
      <c r="S419" s="590"/>
      <c r="T419" s="590"/>
      <c r="U419" s="590"/>
      <c r="V419" s="590"/>
      <c r="W419" s="590"/>
      <c r="X419" s="590"/>
      <c r="Y419" s="590"/>
      <c r="Z419" s="590"/>
    </row>
    <row r="420" spans="1:26" ht="15.75" customHeight="1">
      <c r="A420" s="590"/>
      <c r="B420" s="590"/>
      <c r="C420" s="590"/>
      <c r="D420" s="590"/>
      <c r="E420" s="590"/>
      <c r="F420" s="590"/>
      <c r="G420" s="590"/>
      <c r="H420" s="590"/>
      <c r="I420" s="590"/>
      <c r="J420" s="590"/>
      <c r="K420" s="590"/>
      <c r="L420" s="590"/>
      <c r="M420" s="590"/>
      <c r="N420" s="590"/>
      <c r="O420" s="590"/>
      <c r="P420" s="590"/>
      <c r="Q420" s="590"/>
      <c r="R420" s="590"/>
      <c r="S420" s="590"/>
      <c r="T420" s="590"/>
      <c r="U420" s="590"/>
      <c r="V420" s="590"/>
      <c r="W420" s="590"/>
      <c r="X420" s="590"/>
      <c r="Y420" s="590"/>
      <c r="Z420" s="590"/>
    </row>
    <row r="421" spans="1:26" ht="15.75" customHeight="1">
      <c r="A421" s="590"/>
      <c r="B421" s="590"/>
      <c r="C421" s="590"/>
      <c r="D421" s="590"/>
      <c r="E421" s="590"/>
      <c r="F421" s="590"/>
      <c r="G421" s="590"/>
      <c r="H421" s="590"/>
      <c r="I421" s="590"/>
      <c r="J421" s="590"/>
      <c r="K421" s="590"/>
      <c r="L421" s="590"/>
      <c r="M421" s="590"/>
      <c r="N421" s="590"/>
      <c r="O421" s="590"/>
      <c r="P421" s="590"/>
      <c r="Q421" s="590"/>
      <c r="R421" s="590"/>
      <c r="S421" s="590"/>
      <c r="T421" s="590"/>
      <c r="U421" s="590"/>
      <c r="V421" s="590"/>
      <c r="W421" s="590"/>
      <c r="X421" s="590"/>
      <c r="Y421" s="590"/>
      <c r="Z421" s="590"/>
    </row>
    <row r="422" spans="1:26" ht="15.75" customHeight="1">
      <c r="A422" s="590"/>
      <c r="B422" s="590"/>
      <c r="C422" s="590"/>
      <c r="D422" s="590"/>
      <c r="E422" s="590"/>
      <c r="F422" s="590"/>
      <c r="G422" s="590"/>
      <c r="H422" s="590"/>
      <c r="I422" s="590"/>
      <c r="J422" s="590"/>
      <c r="K422" s="590"/>
      <c r="L422" s="590"/>
      <c r="M422" s="590"/>
      <c r="N422" s="590"/>
      <c r="O422" s="590"/>
      <c r="P422" s="590"/>
      <c r="Q422" s="590"/>
      <c r="R422" s="590"/>
      <c r="S422" s="590"/>
      <c r="T422" s="590"/>
      <c r="U422" s="590"/>
      <c r="V422" s="590"/>
      <c r="W422" s="590"/>
      <c r="X422" s="590"/>
      <c r="Y422" s="590"/>
      <c r="Z422" s="590"/>
    </row>
    <row r="423" spans="1:26" ht="15.75" customHeight="1">
      <c r="A423" s="590"/>
      <c r="B423" s="590"/>
      <c r="C423" s="590"/>
      <c r="D423" s="590"/>
      <c r="E423" s="590"/>
      <c r="F423" s="590"/>
      <c r="G423" s="590"/>
      <c r="H423" s="590"/>
      <c r="I423" s="590"/>
      <c r="J423" s="590"/>
      <c r="K423" s="590"/>
      <c r="L423" s="590"/>
      <c r="M423" s="590"/>
      <c r="N423" s="590"/>
      <c r="O423" s="590"/>
      <c r="P423" s="590"/>
      <c r="Q423" s="590"/>
      <c r="R423" s="590"/>
      <c r="S423" s="590"/>
      <c r="T423" s="590"/>
      <c r="U423" s="590"/>
      <c r="V423" s="590"/>
      <c r="W423" s="590"/>
      <c r="X423" s="590"/>
      <c r="Y423" s="590"/>
      <c r="Z423" s="590"/>
    </row>
    <row r="424" spans="1:26" ht="15.75" customHeight="1">
      <c r="A424" s="590"/>
      <c r="B424" s="590"/>
      <c r="C424" s="590"/>
      <c r="D424" s="590"/>
      <c r="E424" s="590"/>
      <c r="F424" s="590"/>
      <c r="G424" s="590"/>
      <c r="H424" s="590"/>
      <c r="I424" s="590"/>
      <c r="J424" s="590"/>
      <c r="K424" s="590"/>
      <c r="L424" s="590"/>
      <c r="M424" s="590"/>
      <c r="N424" s="590"/>
      <c r="O424" s="590"/>
      <c r="P424" s="590"/>
      <c r="Q424" s="590"/>
      <c r="R424" s="590"/>
      <c r="S424" s="590"/>
      <c r="T424" s="590"/>
      <c r="U424" s="590"/>
      <c r="V424" s="590"/>
      <c r="W424" s="590"/>
      <c r="X424" s="590"/>
      <c r="Y424" s="590"/>
      <c r="Z424" s="590"/>
    </row>
    <row r="425" spans="1:26" ht="15.75" customHeight="1">
      <c r="A425" s="590"/>
      <c r="B425" s="590"/>
      <c r="C425" s="590"/>
      <c r="D425" s="590"/>
      <c r="E425" s="590"/>
      <c r="F425" s="590"/>
      <c r="G425" s="590"/>
      <c r="H425" s="590"/>
      <c r="I425" s="590"/>
      <c r="J425" s="590"/>
      <c r="K425" s="590"/>
      <c r="L425" s="590"/>
      <c r="M425" s="590"/>
      <c r="N425" s="590"/>
      <c r="O425" s="590"/>
      <c r="P425" s="590"/>
      <c r="Q425" s="590"/>
      <c r="R425" s="590"/>
      <c r="S425" s="590"/>
      <c r="T425" s="590"/>
      <c r="U425" s="590"/>
      <c r="V425" s="590"/>
      <c r="W425" s="590"/>
      <c r="X425" s="590"/>
      <c r="Y425" s="590"/>
      <c r="Z425" s="590"/>
    </row>
    <row r="426" spans="1:26" ht="15.75" customHeight="1">
      <c r="A426" s="590"/>
      <c r="B426" s="590"/>
      <c r="C426" s="590"/>
      <c r="D426" s="590"/>
      <c r="E426" s="590"/>
      <c r="F426" s="590"/>
      <c r="G426" s="590"/>
      <c r="H426" s="590"/>
      <c r="I426" s="590"/>
      <c r="J426" s="590"/>
      <c r="K426" s="590"/>
      <c r="L426" s="590"/>
      <c r="M426" s="590"/>
      <c r="N426" s="590"/>
      <c r="O426" s="590"/>
      <c r="P426" s="590"/>
      <c r="Q426" s="590"/>
      <c r="R426" s="590"/>
      <c r="S426" s="590"/>
      <c r="T426" s="590"/>
      <c r="U426" s="590"/>
      <c r="V426" s="590"/>
      <c r="W426" s="590"/>
      <c r="X426" s="590"/>
      <c r="Y426" s="590"/>
      <c r="Z426" s="590"/>
    </row>
    <row r="427" spans="1:26" ht="15.75" customHeight="1">
      <c r="A427" s="590"/>
      <c r="B427" s="590"/>
      <c r="C427" s="590"/>
      <c r="D427" s="590"/>
      <c r="E427" s="590"/>
      <c r="F427" s="590"/>
      <c r="G427" s="590"/>
      <c r="H427" s="590"/>
      <c r="I427" s="590"/>
      <c r="J427" s="590"/>
      <c r="K427" s="590"/>
      <c r="L427" s="590"/>
      <c r="M427" s="590"/>
      <c r="N427" s="590"/>
      <c r="O427" s="590"/>
      <c r="P427" s="590"/>
      <c r="Q427" s="590"/>
      <c r="R427" s="590"/>
      <c r="S427" s="590"/>
      <c r="T427" s="590"/>
      <c r="U427" s="590"/>
      <c r="V427" s="590"/>
      <c r="W427" s="590"/>
      <c r="X427" s="590"/>
      <c r="Y427" s="590"/>
      <c r="Z427" s="590"/>
    </row>
    <row r="428" spans="1:26" ht="15.75" customHeight="1">
      <c r="A428" s="590"/>
      <c r="B428" s="590"/>
      <c r="C428" s="590"/>
      <c r="D428" s="590"/>
      <c r="E428" s="590"/>
      <c r="F428" s="590"/>
      <c r="G428" s="590"/>
      <c r="H428" s="590"/>
      <c r="I428" s="590"/>
      <c r="J428" s="590"/>
      <c r="K428" s="590"/>
      <c r="L428" s="590"/>
      <c r="M428" s="590"/>
      <c r="N428" s="590"/>
      <c r="O428" s="590"/>
      <c r="P428" s="590"/>
      <c r="Q428" s="590"/>
      <c r="R428" s="590"/>
      <c r="S428" s="590"/>
      <c r="T428" s="590"/>
      <c r="U428" s="590"/>
      <c r="V428" s="590"/>
      <c r="W428" s="590"/>
      <c r="X428" s="590"/>
      <c r="Y428" s="590"/>
      <c r="Z428" s="590"/>
    </row>
    <row r="429" spans="1:26" ht="15.75" customHeight="1">
      <c r="A429" s="590"/>
      <c r="B429" s="590"/>
      <c r="C429" s="590"/>
      <c r="D429" s="590"/>
      <c r="E429" s="590"/>
      <c r="F429" s="590"/>
      <c r="G429" s="590"/>
      <c r="H429" s="590"/>
      <c r="I429" s="590"/>
      <c r="J429" s="590"/>
      <c r="K429" s="590"/>
      <c r="L429" s="590"/>
      <c r="M429" s="590"/>
      <c r="N429" s="590"/>
      <c r="O429" s="590"/>
      <c r="P429" s="590"/>
      <c r="Q429" s="590"/>
      <c r="R429" s="590"/>
      <c r="S429" s="590"/>
      <c r="T429" s="590"/>
      <c r="U429" s="590"/>
      <c r="V429" s="590"/>
      <c r="W429" s="590"/>
      <c r="X429" s="590"/>
      <c r="Y429" s="590"/>
      <c r="Z429" s="590"/>
    </row>
    <row r="430" spans="1:26" ht="15.75" customHeight="1">
      <c r="A430" s="590"/>
      <c r="B430" s="590"/>
      <c r="C430" s="590"/>
      <c r="D430" s="590"/>
      <c r="E430" s="590"/>
      <c r="F430" s="590"/>
      <c r="G430" s="590"/>
      <c r="H430" s="590"/>
      <c r="I430" s="590"/>
      <c r="J430" s="590"/>
      <c r="K430" s="590"/>
      <c r="L430" s="590"/>
      <c r="M430" s="590"/>
      <c r="N430" s="590"/>
      <c r="O430" s="590"/>
      <c r="P430" s="590"/>
      <c r="Q430" s="590"/>
      <c r="R430" s="590"/>
      <c r="S430" s="590"/>
      <c r="T430" s="590"/>
      <c r="U430" s="590"/>
      <c r="V430" s="590"/>
      <c r="W430" s="590"/>
      <c r="X430" s="590"/>
      <c r="Y430" s="590"/>
      <c r="Z430" s="590"/>
    </row>
    <row r="431" spans="1:26" ht="15.75" customHeight="1">
      <c r="A431" s="590"/>
      <c r="B431" s="590"/>
      <c r="C431" s="590"/>
      <c r="D431" s="590"/>
      <c r="E431" s="590"/>
      <c r="F431" s="590"/>
      <c r="G431" s="590"/>
      <c r="H431" s="590"/>
      <c r="I431" s="590"/>
      <c r="J431" s="590"/>
      <c r="K431" s="590"/>
      <c r="L431" s="590"/>
      <c r="M431" s="590"/>
      <c r="N431" s="590"/>
      <c r="O431" s="590"/>
      <c r="P431" s="590"/>
      <c r="Q431" s="590"/>
      <c r="R431" s="590"/>
      <c r="S431" s="590"/>
      <c r="T431" s="590"/>
      <c r="U431" s="590"/>
      <c r="V431" s="590"/>
      <c r="W431" s="590"/>
      <c r="X431" s="590"/>
      <c r="Y431" s="590"/>
      <c r="Z431" s="590"/>
    </row>
    <row r="432" spans="1:26" ht="15.75" customHeight="1">
      <c r="A432" s="590"/>
      <c r="B432" s="590"/>
      <c r="C432" s="590"/>
      <c r="D432" s="590"/>
      <c r="E432" s="590"/>
      <c r="F432" s="590"/>
      <c r="G432" s="590"/>
      <c r="H432" s="590"/>
      <c r="I432" s="590"/>
      <c r="J432" s="590"/>
      <c r="K432" s="590"/>
      <c r="L432" s="590"/>
      <c r="M432" s="590"/>
      <c r="N432" s="590"/>
      <c r="O432" s="590"/>
      <c r="P432" s="590"/>
      <c r="Q432" s="590"/>
      <c r="R432" s="590"/>
      <c r="S432" s="590"/>
      <c r="T432" s="590"/>
      <c r="U432" s="590"/>
      <c r="V432" s="590"/>
      <c r="W432" s="590"/>
      <c r="X432" s="590"/>
      <c r="Y432" s="590"/>
      <c r="Z432" s="590"/>
    </row>
    <row r="433" spans="1:26" ht="15.75" customHeight="1">
      <c r="A433" s="590"/>
      <c r="B433" s="590"/>
      <c r="C433" s="590"/>
      <c r="D433" s="590"/>
      <c r="E433" s="590"/>
      <c r="F433" s="590"/>
      <c r="G433" s="590"/>
      <c r="H433" s="590"/>
      <c r="I433" s="590"/>
      <c r="J433" s="590"/>
      <c r="K433" s="590"/>
      <c r="L433" s="590"/>
      <c r="M433" s="590"/>
      <c r="N433" s="590"/>
      <c r="O433" s="590"/>
      <c r="P433" s="590"/>
      <c r="Q433" s="590"/>
      <c r="R433" s="590"/>
      <c r="S433" s="590"/>
      <c r="T433" s="590"/>
      <c r="U433" s="590"/>
      <c r="V433" s="590"/>
      <c r="W433" s="590"/>
      <c r="X433" s="590"/>
      <c r="Y433" s="590"/>
      <c r="Z433" s="590"/>
    </row>
    <row r="434" spans="1:26" ht="15.75" customHeight="1">
      <c r="A434" s="590"/>
      <c r="B434" s="590"/>
      <c r="C434" s="590"/>
      <c r="D434" s="590"/>
      <c r="E434" s="590"/>
      <c r="F434" s="590"/>
      <c r="G434" s="590"/>
      <c r="H434" s="590"/>
      <c r="I434" s="590"/>
      <c r="J434" s="590"/>
      <c r="K434" s="590"/>
      <c r="L434" s="590"/>
      <c r="M434" s="590"/>
      <c r="N434" s="590"/>
      <c r="O434" s="590"/>
      <c r="P434" s="590"/>
      <c r="Q434" s="590"/>
      <c r="R434" s="590"/>
      <c r="S434" s="590"/>
      <c r="T434" s="590"/>
      <c r="U434" s="590"/>
      <c r="V434" s="590"/>
      <c r="W434" s="590"/>
      <c r="X434" s="590"/>
      <c r="Y434" s="590"/>
      <c r="Z434" s="590"/>
    </row>
    <row r="435" spans="1:26" ht="15.75" customHeight="1">
      <c r="A435" s="590"/>
      <c r="B435" s="590"/>
      <c r="C435" s="590"/>
      <c r="D435" s="590"/>
      <c r="E435" s="590"/>
      <c r="F435" s="590"/>
      <c r="G435" s="590"/>
      <c r="H435" s="590"/>
      <c r="I435" s="590"/>
      <c r="J435" s="590"/>
      <c r="K435" s="590"/>
      <c r="L435" s="590"/>
      <c r="M435" s="590"/>
      <c r="N435" s="590"/>
      <c r="O435" s="590"/>
      <c r="P435" s="590"/>
      <c r="Q435" s="590"/>
      <c r="R435" s="590"/>
      <c r="S435" s="590"/>
      <c r="T435" s="590"/>
      <c r="U435" s="590"/>
      <c r="V435" s="590"/>
      <c r="W435" s="590"/>
      <c r="X435" s="590"/>
      <c r="Y435" s="590"/>
      <c r="Z435" s="590"/>
    </row>
    <row r="436" spans="1:26" ht="15.75" customHeight="1">
      <c r="A436" s="590"/>
      <c r="B436" s="590"/>
      <c r="C436" s="590"/>
      <c r="D436" s="590"/>
      <c r="E436" s="590"/>
      <c r="F436" s="590"/>
      <c r="G436" s="590"/>
      <c r="H436" s="590"/>
      <c r="I436" s="590"/>
      <c r="J436" s="590"/>
      <c r="K436" s="590"/>
      <c r="L436" s="590"/>
      <c r="M436" s="590"/>
      <c r="N436" s="590"/>
      <c r="O436" s="590"/>
      <c r="P436" s="590"/>
      <c r="Q436" s="590"/>
      <c r="R436" s="590"/>
      <c r="S436" s="590"/>
      <c r="T436" s="590"/>
      <c r="U436" s="590"/>
      <c r="V436" s="590"/>
      <c r="W436" s="590"/>
      <c r="X436" s="590"/>
      <c r="Y436" s="590"/>
      <c r="Z436" s="590"/>
    </row>
    <row r="437" spans="1:26" ht="15.75" customHeight="1">
      <c r="A437" s="590"/>
      <c r="B437" s="590"/>
      <c r="C437" s="590"/>
      <c r="D437" s="590"/>
      <c r="E437" s="590"/>
      <c r="F437" s="590"/>
      <c r="G437" s="590"/>
      <c r="H437" s="590"/>
      <c r="I437" s="590"/>
      <c r="J437" s="590"/>
      <c r="K437" s="590"/>
      <c r="L437" s="590"/>
      <c r="M437" s="590"/>
      <c r="N437" s="590"/>
      <c r="O437" s="590"/>
      <c r="P437" s="590"/>
      <c r="Q437" s="590"/>
      <c r="R437" s="590"/>
      <c r="S437" s="590"/>
      <c r="T437" s="590"/>
      <c r="U437" s="590"/>
      <c r="V437" s="590"/>
      <c r="W437" s="590"/>
      <c r="X437" s="590"/>
      <c r="Y437" s="590"/>
      <c r="Z437" s="590"/>
    </row>
    <row r="438" spans="1:26" ht="15.75" customHeight="1">
      <c r="A438" s="590"/>
      <c r="B438" s="590"/>
      <c r="C438" s="590"/>
      <c r="D438" s="590"/>
      <c r="E438" s="590"/>
      <c r="F438" s="590"/>
      <c r="G438" s="590"/>
      <c r="H438" s="590"/>
      <c r="I438" s="590"/>
      <c r="J438" s="590"/>
      <c r="K438" s="590"/>
      <c r="L438" s="590"/>
      <c r="M438" s="590"/>
      <c r="N438" s="590"/>
      <c r="O438" s="590"/>
      <c r="P438" s="590"/>
      <c r="Q438" s="590"/>
      <c r="R438" s="590"/>
      <c r="S438" s="590"/>
      <c r="T438" s="590"/>
      <c r="U438" s="590"/>
      <c r="V438" s="590"/>
      <c r="W438" s="590"/>
      <c r="X438" s="590"/>
      <c r="Y438" s="590"/>
      <c r="Z438" s="590"/>
    </row>
    <row r="439" spans="1:26" ht="15.75" customHeight="1">
      <c r="A439" s="590"/>
      <c r="B439" s="590"/>
      <c r="C439" s="590"/>
      <c r="D439" s="590"/>
      <c r="E439" s="590"/>
      <c r="F439" s="590"/>
      <c r="G439" s="590"/>
      <c r="H439" s="590"/>
      <c r="I439" s="590"/>
      <c r="J439" s="590"/>
      <c r="K439" s="590"/>
      <c r="L439" s="590"/>
      <c r="M439" s="590"/>
      <c r="N439" s="590"/>
      <c r="O439" s="590"/>
      <c r="P439" s="590"/>
      <c r="Q439" s="590"/>
      <c r="R439" s="590"/>
      <c r="S439" s="590"/>
      <c r="T439" s="590"/>
      <c r="U439" s="590"/>
      <c r="V439" s="590"/>
      <c r="W439" s="590"/>
      <c r="X439" s="590"/>
      <c r="Y439" s="590"/>
      <c r="Z439" s="590"/>
    </row>
    <row r="440" spans="1:26" ht="15.75" customHeight="1">
      <c r="A440" s="590"/>
      <c r="B440" s="590"/>
      <c r="C440" s="590"/>
      <c r="D440" s="590"/>
      <c r="E440" s="590"/>
      <c r="F440" s="590"/>
      <c r="G440" s="590"/>
      <c r="H440" s="590"/>
      <c r="I440" s="590"/>
      <c r="J440" s="590"/>
      <c r="K440" s="590"/>
      <c r="L440" s="590"/>
      <c r="M440" s="590"/>
      <c r="N440" s="590"/>
      <c r="O440" s="590"/>
      <c r="P440" s="590"/>
      <c r="Q440" s="590"/>
      <c r="R440" s="590"/>
      <c r="S440" s="590"/>
      <c r="T440" s="590"/>
      <c r="U440" s="590"/>
      <c r="V440" s="590"/>
      <c r="W440" s="590"/>
      <c r="X440" s="590"/>
      <c r="Y440" s="590"/>
      <c r="Z440" s="590"/>
    </row>
    <row r="441" spans="1:26" ht="15.75" customHeight="1">
      <c r="A441" s="590"/>
      <c r="B441" s="590"/>
      <c r="C441" s="590"/>
      <c r="D441" s="590"/>
      <c r="E441" s="590"/>
      <c r="F441" s="590"/>
      <c r="G441" s="590"/>
      <c r="H441" s="590"/>
      <c r="I441" s="590"/>
      <c r="J441" s="590"/>
      <c r="K441" s="590"/>
      <c r="L441" s="590"/>
      <c r="M441" s="590"/>
      <c r="N441" s="590"/>
      <c r="O441" s="590"/>
      <c r="P441" s="590"/>
      <c r="Q441" s="590"/>
      <c r="R441" s="590"/>
      <c r="S441" s="590"/>
      <c r="T441" s="590"/>
      <c r="U441" s="590"/>
      <c r="V441" s="590"/>
      <c r="W441" s="590"/>
      <c r="X441" s="590"/>
      <c r="Y441" s="590"/>
      <c r="Z441" s="590"/>
    </row>
    <row r="442" spans="1:26" ht="15.75" customHeight="1">
      <c r="A442" s="590"/>
      <c r="B442" s="590"/>
      <c r="C442" s="590"/>
      <c r="D442" s="590"/>
      <c r="E442" s="590"/>
      <c r="F442" s="590"/>
      <c r="G442" s="590"/>
      <c r="H442" s="590"/>
      <c r="I442" s="590"/>
      <c r="J442" s="590"/>
      <c r="K442" s="590"/>
      <c r="L442" s="590"/>
      <c r="M442" s="590"/>
      <c r="N442" s="590"/>
      <c r="O442" s="590"/>
      <c r="P442" s="590"/>
      <c r="Q442" s="590"/>
      <c r="R442" s="590"/>
      <c r="S442" s="590"/>
      <c r="T442" s="590"/>
      <c r="U442" s="590"/>
      <c r="V442" s="590"/>
      <c r="W442" s="590"/>
      <c r="X442" s="590"/>
      <c r="Y442" s="590"/>
      <c r="Z442" s="590"/>
    </row>
    <row r="443" spans="1:26" ht="15.75" customHeight="1">
      <c r="A443" s="590"/>
      <c r="B443" s="590"/>
      <c r="C443" s="590"/>
      <c r="D443" s="590"/>
      <c r="E443" s="590"/>
      <c r="F443" s="590"/>
      <c r="G443" s="590"/>
      <c r="H443" s="590"/>
      <c r="I443" s="590"/>
      <c r="J443" s="590"/>
      <c r="K443" s="590"/>
      <c r="L443" s="590"/>
      <c r="M443" s="590"/>
      <c r="N443" s="590"/>
      <c r="O443" s="590"/>
      <c r="P443" s="590"/>
      <c r="Q443" s="590"/>
      <c r="R443" s="590"/>
      <c r="S443" s="590"/>
      <c r="T443" s="590"/>
      <c r="U443" s="590"/>
      <c r="V443" s="590"/>
      <c r="W443" s="590"/>
      <c r="X443" s="590"/>
      <c r="Y443" s="590"/>
      <c r="Z443" s="590"/>
    </row>
    <row r="444" spans="1:26" ht="15.75" customHeight="1">
      <c r="A444" s="590"/>
      <c r="B444" s="590"/>
      <c r="C444" s="590"/>
      <c r="D444" s="590"/>
      <c r="E444" s="590"/>
      <c r="F444" s="590"/>
      <c r="G444" s="590"/>
      <c r="H444" s="590"/>
      <c r="I444" s="590"/>
      <c r="J444" s="590"/>
      <c r="K444" s="590"/>
      <c r="L444" s="590"/>
      <c r="M444" s="590"/>
      <c r="N444" s="590"/>
      <c r="O444" s="590"/>
      <c r="P444" s="590"/>
      <c r="Q444" s="590"/>
      <c r="R444" s="590"/>
      <c r="S444" s="590"/>
      <c r="T444" s="590"/>
      <c r="U444" s="590"/>
      <c r="V444" s="590"/>
      <c r="W444" s="590"/>
      <c r="X444" s="590"/>
      <c r="Y444" s="590"/>
      <c r="Z444" s="590"/>
    </row>
    <row r="445" spans="1:26" ht="15.75" customHeight="1">
      <c r="A445" s="590"/>
      <c r="B445" s="590"/>
      <c r="C445" s="590"/>
      <c r="D445" s="590"/>
      <c r="E445" s="590"/>
      <c r="F445" s="590"/>
      <c r="G445" s="590"/>
      <c r="H445" s="590"/>
      <c r="I445" s="590"/>
      <c r="J445" s="590"/>
      <c r="K445" s="590"/>
      <c r="L445" s="590"/>
      <c r="M445" s="590"/>
      <c r="N445" s="590"/>
      <c r="O445" s="590"/>
      <c r="P445" s="590"/>
      <c r="Q445" s="590"/>
      <c r="R445" s="590"/>
      <c r="S445" s="590"/>
      <c r="T445" s="590"/>
      <c r="U445" s="590"/>
      <c r="V445" s="590"/>
      <c r="W445" s="590"/>
      <c r="X445" s="590"/>
      <c r="Y445" s="590"/>
      <c r="Z445" s="590"/>
    </row>
    <row r="446" spans="1:26" ht="15.75" customHeight="1">
      <c r="A446" s="590"/>
      <c r="B446" s="590"/>
      <c r="C446" s="590"/>
      <c r="D446" s="590"/>
      <c r="E446" s="590"/>
      <c r="F446" s="590"/>
      <c r="G446" s="590"/>
      <c r="H446" s="590"/>
      <c r="I446" s="590"/>
      <c r="J446" s="590"/>
      <c r="K446" s="590"/>
      <c r="L446" s="590"/>
      <c r="M446" s="590"/>
      <c r="N446" s="590"/>
      <c r="O446" s="590"/>
      <c r="P446" s="590"/>
      <c r="Q446" s="590"/>
      <c r="R446" s="590"/>
      <c r="S446" s="590"/>
      <c r="T446" s="590"/>
      <c r="U446" s="590"/>
      <c r="V446" s="590"/>
      <c r="W446" s="590"/>
      <c r="X446" s="590"/>
      <c r="Y446" s="590"/>
      <c r="Z446" s="590"/>
    </row>
    <row r="447" spans="1:26" ht="15.75" customHeight="1">
      <c r="A447" s="590"/>
      <c r="B447" s="590"/>
      <c r="C447" s="590"/>
      <c r="D447" s="590"/>
      <c r="E447" s="590"/>
      <c r="F447" s="590"/>
      <c r="G447" s="590"/>
      <c r="H447" s="590"/>
      <c r="I447" s="590"/>
      <c r="J447" s="590"/>
      <c r="K447" s="590"/>
      <c r="L447" s="590"/>
      <c r="M447" s="590"/>
      <c r="N447" s="590"/>
      <c r="O447" s="590"/>
      <c r="P447" s="590"/>
      <c r="Q447" s="590"/>
      <c r="R447" s="590"/>
      <c r="S447" s="590"/>
      <c r="T447" s="590"/>
      <c r="U447" s="590"/>
      <c r="V447" s="590"/>
      <c r="W447" s="590"/>
      <c r="X447" s="590"/>
      <c r="Y447" s="590"/>
      <c r="Z447" s="590"/>
    </row>
    <row r="448" spans="1:26" ht="15.75" customHeight="1">
      <c r="A448" s="590"/>
      <c r="B448" s="590"/>
      <c r="C448" s="590"/>
      <c r="D448" s="590"/>
      <c r="E448" s="590"/>
      <c r="F448" s="590"/>
      <c r="G448" s="590"/>
      <c r="H448" s="590"/>
      <c r="I448" s="590"/>
      <c r="J448" s="590"/>
      <c r="K448" s="590"/>
      <c r="L448" s="590"/>
      <c r="M448" s="590"/>
      <c r="N448" s="590"/>
      <c r="O448" s="590"/>
      <c r="P448" s="590"/>
      <c r="Q448" s="590"/>
      <c r="R448" s="590"/>
      <c r="S448" s="590"/>
      <c r="T448" s="590"/>
      <c r="U448" s="590"/>
      <c r="V448" s="590"/>
      <c r="W448" s="590"/>
      <c r="X448" s="590"/>
      <c r="Y448" s="590"/>
      <c r="Z448" s="590"/>
    </row>
    <row r="449" spans="1:26" ht="15.75" customHeight="1">
      <c r="A449" s="590"/>
      <c r="B449" s="590"/>
      <c r="C449" s="590"/>
      <c r="D449" s="590"/>
      <c r="E449" s="590"/>
      <c r="F449" s="590"/>
      <c r="G449" s="590"/>
      <c r="H449" s="590"/>
      <c r="I449" s="590"/>
      <c r="J449" s="590"/>
      <c r="K449" s="590"/>
      <c r="L449" s="590"/>
      <c r="M449" s="590"/>
      <c r="N449" s="590"/>
      <c r="O449" s="590"/>
      <c r="P449" s="590"/>
      <c r="Q449" s="590"/>
      <c r="R449" s="590"/>
      <c r="S449" s="590"/>
      <c r="T449" s="590"/>
      <c r="U449" s="590"/>
      <c r="V449" s="590"/>
      <c r="W449" s="590"/>
      <c r="X449" s="590"/>
      <c r="Y449" s="590"/>
      <c r="Z449" s="590"/>
    </row>
    <row r="450" spans="1:26" ht="15.75" customHeight="1">
      <c r="A450" s="590"/>
      <c r="B450" s="590"/>
      <c r="C450" s="590"/>
      <c r="D450" s="590"/>
      <c r="E450" s="590"/>
      <c r="F450" s="590"/>
      <c r="G450" s="590"/>
      <c r="H450" s="590"/>
      <c r="I450" s="590"/>
      <c r="J450" s="590"/>
      <c r="K450" s="590"/>
      <c r="L450" s="590"/>
      <c r="M450" s="590"/>
      <c r="N450" s="590"/>
      <c r="O450" s="590"/>
      <c r="P450" s="590"/>
      <c r="Q450" s="590"/>
      <c r="R450" s="590"/>
      <c r="S450" s="590"/>
      <c r="T450" s="590"/>
      <c r="U450" s="590"/>
      <c r="V450" s="590"/>
      <c r="W450" s="590"/>
      <c r="X450" s="590"/>
      <c r="Y450" s="590"/>
      <c r="Z450" s="590"/>
    </row>
    <row r="451" spans="1:26" ht="15.75" customHeight="1">
      <c r="A451" s="590"/>
      <c r="B451" s="590"/>
      <c r="C451" s="590"/>
      <c r="D451" s="590"/>
      <c r="E451" s="590"/>
      <c r="F451" s="590"/>
      <c r="G451" s="590"/>
      <c r="H451" s="590"/>
      <c r="I451" s="590"/>
      <c r="J451" s="590"/>
      <c r="K451" s="590"/>
      <c r="L451" s="590"/>
      <c r="M451" s="590"/>
      <c r="N451" s="590"/>
      <c r="O451" s="590"/>
      <c r="P451" s="590"/>
      <c r="Q451" s="590"/>
      <c r="R451" s="590"/>
      <c r="S451" s="590"/>
      <c r="T451" s="590"/>
      <c r="U451" s="590"/>
      <c r="V451" s="590"/>
      <c r="W451" s="590"/>
      <c r="X451" s="590"/>
      <c r="Y451" s="590"/>
      <c r="Z451" s="590"/>
    </row>
    <row r="452" spans="1:26" ht="15.75" customHeight="1">
      <c r="A452" s="590"/>
      <c r="B452" s="590"/>
      <c r="C452" s="590"/>
      <c r="D452" s="590"/>
      <c r="E452" s="590"/>
      <c r="F452" s="590"/>
      <c r="G452" s="590"/>
      <c r="H452" s="590"/>
      <c r="I452" s="590"/>
      <c r="J452" s="590"/>
      <c r="K452" s="590"/>
      <c r="L452" s="590"/>
      <c r="M452" s="590"/>
      <c r="N452" s="590"/>
      <c r="O452" s="590"/>
      <c r="P452" s="590"/>
      <c r="Q452" s="590"/>
      <c r="R452" s="590"/>
      <c r="S452" s="590"/>
      <c r="T452" s="590"/>
      <c r="U452" s="590"/>
      <c r="V452" s="590"/>
      <c r="W452" s="590"/>
      <c r="X452" s="590"/>
      <c r="Y452" s="590"/>
      <c r="Z452" s="590"/>
    </row>
    <row r="453" spans="1:26" ht="15.75" customHeight="1">
      <c r="A453" s="590"/>
      <c r="B453" s="590"/>
      <c r="C453" s="590"/>
      <c r="D453" s="590"/>
      <c r="E453" s="590"/>
      <c r="F453" s="590"/>
      <c r="G453" s="590"/>
      <c r="H453" s="590"/>
      <c r="I453" s="590"/>
      <c r="J453" s="590"/>
      <c r="K453" s="590"/>
      <c r="L453" s="590"/>
      <c r="M453" s="590"/>
      <c r="N453" s="590"/>
      <c r="O453" s="590"/>
      <c r="P453" s="590"/>
      <c r="Q453" s="590"/>
      <c r="R453" s="590"/>
      <c r="S453" s="590"/>
      <c r="T453" s="590"/>
      <c r="U453" s="590"/>
      <c r="V453" s="590"/>
      <c r="W453" s="590"/>
      <c r="X453" s="590"/>
      <c r="Y453" s="590"/>
      <c r="Z453" s="590"/>
    </row>
    <row r="454" spans="1:26" ht="15.75" customHeight="1">
      <c r="A454" s="590"/>
      <c r="B454" s="590"/>
      <c r="C454" s="590"/>
      <c r="D454" s="590"/>
      <c r="E454" s="590"/>
      <c r="F454" s="590"/>
      <c r="G454" s="590"/>
      <c r="H454" s="590"/>
      <c r="I454" s="590"/>
      <c r="J454" s="590"/>
      <c r="K454" s="590"/>
      <c r="L454" s="590"/>
      <c r="M454" s="590"/>
      <c r="N454" s="590"/>
      <c r="O454" s="590"/>
      <c r="P454" s="590"/>
      <c r="Q454" s="590"/>
      <c r="R454" s="590"/>
      <c r="S454" s="590"/>
      <c r="T454" s="590"/>
      <c r="U454" s="590"/>
      <c r="V454" s="590"/>
      <c r="W454" s="590"/>
      <c r="X454" s="590"/>
      <c r="Y454" s="590"/>
      <c r="Z454" s="590"/>
    </row>
    <row r="455" spans="1:26" ht="15.75" customHeight="1">
      <c r="A455" s="590"/>
      <c r="B455" s="590"/>
      <c r="C455" s="590"/>
      <c r="D455" s="590"/>
      <c r="E455" s="590"/>
      <c r="F455" s="590"/>
      <c r="G455" s="590"/>
      <c r="H455" s="590"/>
      <c r="I455" s="590"/>
      <c r="J455" s="590"/>
      <c r="K455" s="590"/>
      <c r="L455" s="590"/>
      <c r="M455" s="590"/>
      <c r="N455" s="590"/>
      <c r="O455" s="590"/>
      <c r="P455" s="590"/>
      <c r="Q455" s="590"/>
      <c r="R455" s="590"/>
      <c r="S455" s="590"/>
      <c r="T455" s="590"/>
      <c r="U455" s="590"/>
      <c r="V455" s="590"/>
      <c r="W455" s="590"/>
      <c r="X455" s="590"/>
      <c r="Y455" s="590"/>
      <c r="Z455" s="590"/>
    </row>
    <row r="456" spans="1:26" ht="15.75" customHeight="1">
      <c r="A456" s="590"/>
      <c r="B456" s="590"/>
      <c r="C456" s="590"/>
      <c r="D456" s="590"/>
      <c r="E456" s="590"/>
      <c r="F456" s="590"/>
      <c r="G456" s="590"/>
      <c r="H456" s="590"/>
      <c r="I456" s="590"/>
      <c r="J456" s="590"/>
      <c r="K456" s="590"/>
      <c r="L456" s="590"/>
      <c r="M456" s="590"/>
      <c r="N456" s="590"/>
      <c r="O456" s="590"/>
      <c r="P456" s="590"/>
      <c r="Q456" s="590"/>
      <c r="R456" s="590"/>
      <c r="S456" s="590"/>
      <c r="T456" s="590"/>
      <c r="U456" s="590"/>
      <c r="V456" s="590"/>
      <c r="W456" s="590"/>
      <c r="X456" s="590"/>
      <c r="Y456" s="590"/>
      <c r="Z456" s="590"/>
    </row>
    <row r="457" spans="1:26" ht="15.75" customHeight="1">
      <c r="A457" s="590"/>
      <c r="B457" s="590"/>
      <c r="C457" s="590"/>
      <c r="D457" s="590"/>
      <c r="E457" s="590"/>
      <c r="F457" s="590"/>
      <c r="G457" s="590"/>
      <c r="H457" s="590"/>
      <c r="I457" s="590"/>
      <c r="J457" s="590"/>
      <c r="K457" s="590"/>
      <c r="L457" s="590"/>
      <c r="M457" s="590"/>
      <c r="N457" s="590"/>
      <c r="O457" s="590"/>
      <c r="P457" s="590"/>
      <c r="Q457" s="590"/>
      <c r="R457" s="590"/>
      <c r="S457" s="590"/>
      <c r="T457" s="590"/>
      <c r="U457" s="590"/>
      <c r="V457" s="590"/>
      <c r="W457" s="590"/>
      <c r="X457" s="590"/>
      <c r="Y457" s="590"/>
      <c r="Z457" s="590"/>
    </row>
    <row r="458" spans="1:26" ht="15.75" customHeight="1">
      <c r="A458" s="590"/>
      <c r="B458" s="590"/>
      <c r="C458" s="590"/>
      <c r="D458" s="590"/>
      <c r="E458" s="590"/>
      <c r="F458" s="590"/>
      <c r="G458" s="590"/>
      <c r="H458" s="590"/>
      <c r="I458" s="590"/>
      <c r="J458" s="590"/>
      <c r="K458" s="590"/>
      <c r="L458" s="590"/>
      <c r="M458" s="590"/>
      <c r="N458" s="590"/>
      <c r="O458" s="590"/>
      <c r="P458" s="590"/>
      <c r="Q458" s="590"/>
      <c r="R458" s="590"/>
      <c r="S458" s="590"/>
      <c r="T458" s="590"/>
      <c r="U458" s="590"/>
      <c r="V458" s="590"/>
      <c r="W458" s="590"/>
      <c r="X458" s="590"/>
      <c r="Y458" s="590"/>
      <c r="Z458" s="590"/>
    </row>
    <row r="459" spans="1:26" ht="15.75" customHeight="1">
      <c r="A459" s="590"/>
      <c r="B459" s="590"/>
      <c r="C459" s="590"/>
      <c r="D459" s="590"/>
      <c r="E459" s="590"/>
      <c r="F459" s="590"/>
      <c r="G459" s="590"/>
      <c r="H459" s="590"/>
      <c r="I459" s="590"/>
      <c r="J459" s="590"/>
      <c r="K459" s="590"/>
      <c r="L459" s="590"/>
      <c r="M459" s="590"/>
      <c r="N459" s="590"/>
      <c r="O459" s="590"/>
      <c r="P459" s="590"/>
      <c r="Q459" s="590"/>
      <c r="R459" s="590"/>
      <c r="S459" s="590"/>
      <c r="T459" s="590"/>
      <c r="U459" s="590"/>
      <c r="V459" s="590"/>
      <c r="W459" s="590"/>
      <c r="X459" s="590"/>
      <c r="Y459" s="590"/>
      <c r="Z459" s="590"/>
    </row>
    <row r="460" spans="1:26" ht="15.75" customHeight="1">
      <c r="A460" s="590"/>
      <c r="B460" s="590"/>
      <c r="C460" s="590"/>
      <c r="D460" s="590"/>
      <c r="E460" s="590"/>
      <c r="F460" s="590"/>
      <c r="G460" s="590"/>
      <c r="H460" s="590"/>
      <c r="I460" s="590"/>
      <c r="J460" s="590"/>
      <c r="K460" s="590"/>
      <c r="L460" s="590"/>
      <c r="M460" s="590"/>
      <c r="N460" s="590"/>
      <c r="O460" s="590"/>
      <c r="P460" s="590"/>
      <c r="Q460" s="590"/>
      <c r="R460" s="590"/>
      <c r="S460" s="590"/>
      <c r="T460" s="590"/>
      <c r="U460" s="590"/>
      <c r="V460" s="590"/>
      <c r="W460" s="590"/>
      <c r="X460" s="590"/>
      <c r="Y460" s="590"/>
      <c r="Z460" s="590"/>
    </row>
    <row r="461" spans="1:26" ht="15.75" customHeight="1">
      <c r="A461" s="590"/>
      <c r="B461" s="590"/>
      <c r="C461" s="590"/>
      <c r="D461" s="590"/>
      <c r="E461" s="590"/>
      <c r="F461" s="590"/>
      <c r="G461" s="590"/>
      <c r="H461" s="590"/>
      <c r="I461" s="590"/>
      <c r="J461" s="590"/>
      <c r="K461" s="590"/>
      <c r="L461" s="590"/>
      <c r="M461" s="590"/>
      <c r="N461" s="590"/>
      <c r="O461" s="590"/>
      <c r="P461" s="590"/>
      <c r="Q461" s="590"/>
      <c r="R461" s="590"/>
      <c r="S461" s="590"/>
      <c r="T461" s="590"/>
      <c r="U461" s="590"/>
      <c r="V461" s="590"/>
      <c r="W461" s="590"/>
      <c r="X461" s="590"/>
      <c r="Y461" s="590"/>
      <c r="Z461" s="590"/>
    </row>
    <row r="462" spans="1:26" ht="15.75" customHeight="1">
      <c r="A462" s="590"/>
      <c r="B462" s="590"/>
      <c r="C462" s="590"/>
      <c r="D462" s="590"/>
      <c r="E462" s="590"/>
      <c r="F462" s="590"/>
      <c r="G462" s="590"/>
      <c r="H462" s="590"/>
      <c r="I462" s="590"/>
      <c r="J462" s="590"/>
      <c r="K462" s="590"/>
      <c r="L462" s="590"/>
      <c r="M462" s="590"/>
      <c r="N462" s="590"/>
      <c r="O462" s="590"/>
      <c r="P462" s="590"/>
      <c r="Q462" s="590"/>
      <c r="R462" s="590"/>
      <c r="S462" s="590"/>
      <c r="T462" s="590"/>
      <c r="U462" s="590"/>
      <c r="V462" s="590"/>
      <c r="W462" s="590"/>
      <c r="X462" s="590"/>
      <c r="Y462" s="590"/>
      <c r="Z462" s="590"/>
    </row>
    <row r="463" spans="1:26" ht="15.75" customHeight="1">
      <c r="A463" s="590"/>
      <c r="B463" s="590"/>
      <c r="C463" s="590"/>
      <c r="D463" s="590"/>
      <c r="E463" s="590"/>
      <c r="F463" s="590"/>
      <c r="G463" s="590"/>
      <c r="H463" s="590"/>
      <c r="I463" s="590"/>
      <c r="J463" s="590"/>
      <c r="K463" s="590"/>
      <c r="L463" s="590"/>
      <c r="M463" s="590"/>
      <c r="N463" s="590"/>
      <c r="O463" s="590"/>
      <c r="P463" s="590"/>
      <c r="Q463" s="590"/>
      <c r="R463" s="590"/>
      <c r="S463" s="590"/>
      <c r="T463" s="590"/>
      <c r="U463" s="590"/>
      <c r="V463" s="590"/>
      <c r="W463" s="590"/>
      <c r="X463" s="590"/>
      <c r="Y463" s="590"/>
      <c r="Z463" s="590"/>
    </row>
    <row r="464" spans="1:26" ht="15.75" customHeight="1">
      <c r="A464" s="590"/>
      <c r="B464" s="590"/>
      <c r="C464" s="590"/>
      <c r="D464" s="590"/>
      <c r="E464" s="590"/>
      <c r="F464" s="590"/>
      <c r="G464" s="590"/>
      <c r="H464" s="590"/>
      <c r="I464" s="590"/>
      <c r="J464" s="590"/>
      <c r="K464" s="590"/>
      <c r="L464" s="590"/>
      <c r="M464" s="590"/>
      <c r="N464" s="590"/>
      <c r="O464" s="590"/>
      <c r="P464" s="590"/>
      <c r="Q464" s="590"/>
      <c r="R464" s="590"/>
      <c r="S464" s="590"/>
      <c r="T464" s="590"/>
      <c r="U464" s="590"/>
      <c r="V464" s="590"/>
      <c r="W464" s="590"/>
      <c r="X464" s="590"/>
      <c r="Y464" s="590"/>
      <c r="Z464" s="590"/>
    </row>
    <row r="465" spans="1:26" ht="15.75" customHeight="1">
      <c r="A465" s="590"/>
      <c r="B465" s="590"/>
      <c r="C465" s="590"/>
      <c r="D465" s="590"/>
      <c r="E465" s="590"/>
      <c r="F465" s="590"/>
      <c r="G465" s="590"/>
      <c r="H465" s="590"/>
      <c r="I465" s="590"/>
      <c r="J465" s="590"/>
      <c r="K465" s="590"/>
      <c r="L465" s="590"/>
      <c r="M465" s="590"/>
      <c r="N465" s="590"/>
      <c r="O465" s="590"/>
      <c r="P465" s="590"/>
      <c r="Q465" s="590"/>
      <c r="R465" s="590"/>
      <c r="S465" s="590"/>
      <c r="T465" s="590"/>
      <c r="U465" s="590"/>
      <c r="V465" s="590"/>
      <c r="W465" s="590"/>
      <c r="X465" s="590"/>
      <c r="Y465" s="590"/>
      <c r="Z465" s="590"/>
    </row>
    <row r="466" spans="1:26" ht="15.75" customHeight="1">
      <c r="A466" s="590"/>
      <c r="B466" s="590"/>
      <c r="C466" s="590"/>
      <c r="D466" s="590"/>
      <c r="E466" s="590"/>
      <c r="F466" s="590"/>
      <c r="G466" s="590"/>
      <c r="H466" s="590"/>
      <c r="I466" s="590"/>
      <c r="J466" s="590"/>
      <c r="K466" s="590"/>
      <c r="L466" s="590"/>
      <c r="M466" s="590"/>
      <c r="N466" s="590"/>
      <c r="O466" s="590"/>
      <c r="P466" s="590"/>
      <c r="Q466" s="590"/>
      <c r="R466" s="590"/>
      <c r="S466" s="590"/>
      <c r="T466" s="590"/>
      <c r="U466" s="590"/>
      <c r="V466" s="590"/>
      <c r="W466" s="590"/>
      <c r="X466" s="590"/>
      <c r="Y466" s="590"/>
      <c r="Z466" s="590"/>
    </row>
    <row r="467" spans="1:26" ht="15.75" customHeight="1">
      <c r="A467" s="590"/>
      <c r="B467" s="590"/>
      <c r="C467" s="590"/>
      <c r="D467" s="590"/>
      <c r="E467" s="590"/>
      <c r="F467" s="590"/>
      <c r="G467" s="590"/>
      <c r="H467" s="590"/>
      <c r="I467" s="590"/>
      <c r="J467" s="590"/>
      <c r="K467" s="590"/>
      <c r="L467" s="590"/>
      <c r="M467" s="590"/>
      <c r="N467" s="590"/>
      <c r="O467" s="590"/>
      <c r="P467" s="590"/>
      <c r="Q467" s="590"/>
      <c r="R467" s="590"/>
      <c r="S467" s="590"/>
      <c r="T467" s="590"/>
      <c r="U467" s="590"/>
      <c r="V467" s="590"/>
      <c r="W467" s="590"/>
      <c r="X467" s="590"/>
      <c r="Y467" s="590"/>
      <c r="Z467" s="590"/>
    </row>
    <row r="468" spans="1:26" ht="15.75" customHeight="1">
      <c r="A468" s="590"/>
      <c r="B468" s="590"/>
      <c r="C468" s="590"/>
      <c r="D468" s="590"/>
      <c r="E468" s="590"/>
      <c r="F468" s="590"/>
      <c r="G468" s="590"/>
      <c r="H468" s="590"/>
      <c r="I468" s="590"/>
      <c r="J468" s="590"/>
      <c r="K468" s="590"/>
      <c r="L468" s="590"/>
      <c r="M468" s="590"/>
      <c r="N468" s="590"/>
      <c r="O468" s="590"/>
      <c r="P468" s="590"/>
      <c r="Q468" s="590"/>
      <c r="R468" s="590"/>
      <c r="S468" s="590"/>
      <c r="T468" s="590"/>
      <c r="U468" s="590"/>
      <c r="V468" s="590"/>
      <c r="W468" s="590"/>
      <c r="X468" s="590"/>
      <c r="Y468" s="590"/>
      <c r="Z468" s="590"/>
    </row>
    <row r="469" spans="1:26" ht="15.75" customHeight="1">
      <c r="A469" s="590"/>
      <c r="B469" s="590"/>
      <c r="C469" s="590"/>
      <c r="D469" s="590"/>
      <c r="E469" s="590"/>
      <c r="F469" s="590"/>
      <c r="G469" s="590"/>
      <c r="H469" s="590"/>
      <c r="I469" s="590"/>
      <c r="J469" s="590"/>
      <c r="K469" s="590"/>
      <c r="L469" s="590"/>
      <c r="M469" s="590"/>
      <c r="N469" s="590"/>
      <c r="O469" s="590"/>
      <c r="P469" s="590"/>
      <c r="Q469" s="590"/>
      <c r="R469" s="590"/>
      <c r="S469" s="590"/>
      <c r="T469" s="590"/>
      <c r="U469" s="590"/>
      <c r="V469" s="590"/>
      <c r="W469" s="590"/>
      <c r="X469" s="590"/>
      <c r="Y469" s="590"/>
      <c r="Z469" s="590"/>
    </row>
    <row r="470" spans="1:26" ht="15.75" customHeight="1">
      <c r="A470" s="590"/>
      <c r="B470" s="590"/>
      <c r="C470" s="590"/>
      <c r="D470" s="590"/>
      <c r="E470" s="590"/>
      <c r="F470" s="590"/>
      <c r="G470" s="590"/>
      <c r="H470" s="590"/>
      <c r="I470" s="590"/>
      <c r="J470" s="590"/>
      <c r="K470" s="590"/>
      <c r="L470" s="590"/>
      <c r="M470" s="590"/>
      <c r="N470" s="590"/>
      <c r="O470" s="590"/>
      <c r="P470" s="590"/>
      <c r="Q470" s="590"/>
      <c r="R470" s="590"/>
      <c r="S470" s="590"/>
      <c r="T470" s="590"/>
      <c r="U470" s="590"/>
      <c r="V470" s="590"/>
      <c r="W470" s="590"/>
      <c r="X470" s="590"/>
      <c r="Y470" s="590"/>
      <c r="Z470" s="590"/>
    </row>
    <row r="471" spans="1:26" ht="15.75" customHeight="1">
      <c r="A471" s="590"/>
      <c r="B471" s="590"/>
      <c r="C471" s="590"/>
      <c r="D471" s="590"/>
      <c r="E471" s="590"/>
      <c r="F471" s="590"/>
      <c r="G471" s="590"/>
      <c r="H471" s="590"/>
      <c r="I471" s="590"/>
      <c r="J471" s="590"/>
      <c r="K471" s="590"/>
      <c r="L471" s="590"/>
      <c r="M471" s="590"/>
      <c r="N471" s="590"/>
      <c r="O471" s="590"/>
      <c r="P471" s="590"/>
      <c r="Q471" s="590"/>
      <c r="R471" s="590"/>
      <c r="S471" s="590"/>
      <c r="T471" s="590"/>
      <c r="U471" s="590"/>
      <c r="V471" s="590"/>
      <c r="W471" s="590"/>
      <c r="X471" s="590"/>
      <c r="Y471" s="590"/>
      <c r="Z471" s="590"/>
    </row>
    <row r="472" spans="1:26" ht="15.75" customHeight="1">
      <c r="A472" s="590"/>
      <c r="B472" s="590"/>
      <c r="C472" s="590"/>
      <c r="D472" s="590"/>
      <c r="E472" s="590"/>
      <c r="F472" s="590"/>
      <c r="G472" s="590"/>
      <c r="H472" s="590"/>
      <c r="I472" s="590"/>
      <c r="J472" s="590"/>
      <c r="K472" s="590"/>
      <c r="L472" s="590"/>
      <c r="M472" s="590"/>
      <c r="N472" s="590"/>
      <c r="O472" s="590"/>
      <c r="P472" s="590"/>
      <c r="Q472" s="590"/>
      <c r="R472" s="590"/>
      <c r="S472" s="590"/>
      <c r="T472" s="590"/>
      <c r="U472" s="590"/>
      <c r="V472" s="590"/>
      <c r="W472" s="590"/>
      <c r="X472" s="590"/>
      <c r="Y472" s="590"/>
      <c r="Z472" s="590"/>
    </row>
    <row r="473" spans="1:26" ht="15.75" customHeight="1">
      <c r="A473" s="590"/>
      <c r="B473" s="590"/>
      <c r="C473" s="590"/>
      <c r="D473" s="590"/>
      <c r="E473" s="590"/>
      <c r="F473" s="590"/>
      <c r="G473" s="590"/>
      <c r="H473" s="590"/>
      <c r="I473" s="590"/>
      <c r="J473" s="590"/>
      <c r="K473" s="590"/>
      <c r="L473" s="590"/>
      <c r="M473" s="590"/>
      <c r="N473" s="590"/>
      <c r="O473" s="590"/>
      <c r="P473" s="590"/>
      <c r="Q473" s="590"/>
      <c r="R473" s="590"/>
      <c r="S473" s="590"/>
      <c r="T473" s="590"/>
      <c r="U473" s="590"/>
      <c r="V473" s="590"/>
      <c r="W473" s="590"/>
      <c r="X473" s="590"/>
      <c r="Y473" s="590"/>
      <c r="Z473" s="590"/>
    </row>
    <row r="474" spans="1:26" ht="15.75" customHeight="1">
      <c r="A474" s="590"/>
      <c r="B474" s="590"/>
      <c r="C474" s="590"/>
      <c r="D474" s="590"/>
      <c r="E474" s="590"/>
      <c r="F474" s="590"/>
      <c r="G474" s="590"/>
      <c r="H474" s="590"/>
      <c r="I474" s="590"/>
      <c r="J474" s="590"/>
      <c r="K474" s="590"/>
      <c r="L474" s="590"/>
      <c r="M474" s="590"/>
      <c r="N474" s="590"/>
      <c r="O474" s="590"/>
      <c r="P474" s="590"/>
      <c r="Q474" s="590"/>
      <c r="R474" s="590"/>
      <c r="S474" s="590"/>
      <c r="T474" s="590"/>
      <c r="U474" s="590"/>
      <c r="V474" s="590"/>
      <c r="W474" s="590"/>
      <c r="X474" s="590"/>
      <c r="Y474" s="590"/>
      <c r="Z474" s="590"/>
    </row>
    <row r="475" spans="1:26" ht="15.75" customHeight="1">
      <c r="A475" s="590"/>
      <c r="B475" s="590"/>
      <c r="C475" s="590"/>
      <c r="D475" s="590"/>
      <c r="E475" s="590"/>
      <c r="F475" s="590"/>
      <c r="G475" s="590"/>
      <c r="H475" s="590"/>
      <c r="I475" s="590"/>
      <c r="J475" s="590"/>
      <c r="K475" s="590"/>
      <c r="L475" s="590"/>
      <c r="M475" s="590"/>
      <c r="N475" s="590"/>
      <c r="O475" s="590"/>
      <c r="P475" s="590"/>
      <c r="Q475" s="590"/>
      <c r="R475" s="590"/>
      <c r="S475" s="590"/>
      <c r="T475" s="590"/>
      <c r="U475" s="590"/>
      <c r="V475" s="590"/>
      <c r="W475" s="590"/>
      <c r="X475" s="590"/>
      <c r="Y475" s="590"/>
      <c r="Z475" s="590"/>
    </row>
    <row r="476" spans="1:26" ht="15.75" customHeight="1">
      <c r="A476" s="590"/>
      <c r="B476" s="590"/>
      <c r="C476" s="590"/>
      <c r="D476" s="590"/>
      <c r="E476" s="590"/>
      <c r="F476" s="590"/>
      <c r="G476" s="590"/>
      <c r="H476" s="590"/>
      <c r="I476" s="590"/>
      <c r="J476" s="590"/>
      <c r="K476" s="590"/>
      <c r="L476" s="590"/>
      <c r="M476" s="590"/>
      <c r="N476" s="590"/>
      <c r="O476" s="590"/>
      <c r="P476" s="590"/>
      <c r="Q476" s="590"/>
      <c r="R476" s="590"/>
      <c r="S476" s="590"/>
      <c r="T476" s="590"/>
      <c r="U476" s="590"/>
      <c r="V476" s="590"/>
      <c r="W476" s="590"/>
      <c r="X476" s="590"/>
      <c r="Y476" s="590"/>
      <c r="Z476" s="590"/>
    </row>
    <row r="477" spans="1:26" ht="15.75" customHeight="1">
      <c r="A477" s="590"/>
      <c r="B477" s="590"/>
      <c r="C477" s="590"/>
      <c r="D477" s="590"/>
      <c r="E477" s="590"/>
      <c r="F477" s="590"/>
      <c r="G477" s="590"/>
      <c r="H477" s="590"/>
      <c r="I477" s="590"/>
      <c r="J477" s="590"/>
      <c r="K477" s="590"/>
      <c r="L477" s="590"/>
      <c r="M477" s="590"/>
      <c r="N477" s="590"/>
      <c r="O477" s="590"/>
      <c r="P477" s="590"/>
      <c r="Q477" s="590"/>
      <c r="R477" s="590"/>
      <c r="S477" s="590"/>
      <c r="T477" s="590"/>
      <c r="U477" s="590"/>
      <c r="V477" s="590"/>
      <c r="W477" s="590"/>
      <c r="X477" s="590"/>
      <c r="Y477" s="590"/>
      <c r="Z477" s="590"/>
    </row>
    <row r="478" spans="1:26" ht="15.75" customHeight="1">
      <c r="A478" s="590"/>
      <c r="B478" s="590"/>
      <c r="C478" s="590"/>
      <c r="D478" s="590"/>
      <c r="E478" s="590"/>
      <c r="F478" s="590"/>
      <c r="G478" s="590"/>
      <c r="H478" s="590"/>
      <c r="I478" s="590"/>
      <c r="J478" s="590"/>
      <c r="K478" s="590"/>
      <c r="L478" s="590"/>
      <c r="M478" s="590"/>
      <c r="N478" s="590"/>
      <c r="O478" s="590"/>
      <c r="P478" s="590"/>
      <c r="Q478" s="590"/>
      <c r="R478" s="590"/>
      <c r="S478" s="590"/>
      <c r="T478" s="590"/>
      <c r="U478" s="590"/>
      <c r="V478" s="590"/>
      <c r="W478" s="590"/>
      <c r="X478" s="590"/>
      <c r="Y478" s="590"/>
      <c r="Z478" s="590"/>
    </row>
    <row r="479" spans="1:26" ht="15.75" customHeight="1">
      <c r="A479" s="590"/>
      <c r="B479" s="590"/>
      <c r="C479" s="590"/>
      <c r="D479" s="590"/>
      <c r="E479" s="590"/>
      <c r="F479" s="590"/>
      <c r="G479" s="590"/>
      <c r="H479" s="590"/>
      <c r="I479" s="590"/>
      <c r="J479" s="590"/>
      <c r="K479" s="590"/>
      <c r="L479" s="590"/>
      <c r="M479" s="590"/>
      <c r="N479" s="590"/>
      <c r="O479" s="590"/>
      <c r="P479" s="590"/>
      <c r="Q479" s="590"/>
      <c r="R479" s="590"/>
      <c r="S479" s="590"/>
      <c r="T479" s="590"/>
      <c r="U479" s="590"/>
      <c r="V479" s="590"/>
      <c r="W479" s="590"/>
      <c r="X479" s="590"/>
      <c r="Y479" s="590"/>
      <c r="Z479" s="590"/>
    </row>
    <row r="480" spans="1:26" ht="15.75" customHeight="1">
      <c r="A480" s="590"/>
      <c r="B480" s="590"/>
      <c r="C480" s="590"/>
      <c r="D480" s="590"/>
      <c r="E480" s="590"/>
      <c r="F480" s="590"/>
      <c r="G480" s="590"/>
      <c r="H480" s="590"/>
      <c r="I480" s="590"/>
      <c r="J480" s="590"/>
      <c r="K480" s="590"/>
      <c r="L480" s="590"/>
      <c r="M480" s="590"/>
      <c r="N480" s="590"/>
      <c r="O480" s="590"/>
      <c r="P480" s="590"/>
      <c r="Q480" s="590"/>
      <c r="R480" s="590"/>
      <c r="S480" s="590"/>
      <c r="T480" s="590"/>
      <c r="U480" s="590"/>
      <c r="V480" s="590"/>
      <c r="W480" s="590"/>
      <c r="X480" s="590"/>
      <c r="Y480" s="590"/>
      <c r="Z480" s="590"/>
    </row>
    <row r="481" spans="1:26" ht="15.75" customHeight="1">
      <c r="A481" s="590"/>
      <c r="B481" s="590"/>
      <c r="C481" s="590"/>
      <c r="D481" s="590"/>
      <c r="E481" s="590"/>
      <c r="F481" s="590"/>
      <c r="G481" s="590"/>
      <c r="H481" s="590"/>
      <c r="I481" s="590"/>
      <c r="J481" s="590"/>
      <c r="K481" s="590"/>
      <c r="L481" s="590"/>
      <c r="M481" s="590"/>
      <c r="N481" s="590"/>
      <c r="O481" s="590"/>
      <c r="P481" s="590"/>
      <c r="Q481" s="590"/>
      <c r="R481" s="590"/>
      <c r="S481" s="590"/>
      <c r="T481" s="590"/>
      <c r="U481" s="590"/>
      <c r="V481" s="590"/>
      <c r="W481" s="590"/>
      <c r="X481" s="590"/>
      <c r="Y481" s="590"/>
      <c r="Z481" s="590"/>
    </row>
    <row r="482" spans="1:26" ht="15.75" customHeight="1">
      <c r="A482" s="590"/>
      <c r="B482" s="590"/>
      <c r="C482" s="590"/>
      <c r="D482" s="590"/>
      <c r="E482" s="590"/>
      <c r="F482" s="590"/>
      <c r="G482" s="590"/>
      <c r="H482" s="590"/>
      <c r="I482" s="590"/>
      <c r="J482" s="590"/>
      <c r="K482" s="590"/>
      <c r="L482" s="590"/>
      <c r="M482" s="590"/>
      <c r="N482" s="590"/>
      <c r="O482" s="590"/>
      <c r="P482" s="590"/>
      <c r="Q482" s="590"/>
      <c r="R482" s="590"/>
      <c r="S482" s="590"/>
      <c r="T482" s="590"/>
      <c r="U482" s="590"/>
      <c r="V482" s="590"/>
      <c r="W482" s="590"/>
      <c r="X482" s="590"/>
      <c r="Y482" s="590"/>
      <c r="Z482" s="590"/>
    </row>
    <row r="483" spans="1:26" ht="15.75" customHeight="1">
      <c r="A483" s="590"/>
      <c r="B483" s="590"/>
      <c r="C483" s="590"/>
      <c r="D483" s="590"/>
      <c r="E483" s="590"/>
      <c r="F483" s="590"/>
      <c r="G483" s="590"/>
      <c r="H483" s="590"/>
      <c r="I483" s="590"/>
      <c r="J483" s="590"/>
      <c r="K483" s="590"/>
      <c r="L483" s="590"/>
      <c r="M483" s="590"/>
      <c r="N483" s="590"/>
      <c r="O483" s="590"/>
      <c r="P483" s="590"/>
      <c r="Q483" s="590"/>
      <c r="R483" s="590"/>
      <c r="S483" s="590"/>
      <c r="T483" s="590"/>
      <c r="U483" s="590"/>
      <c r="V483" s="590"/>
      <c r="W483" s="590"/>
      <c r="X483" s="590"/>
      <c r="Y483" s="590"/>
      <c r="Z483" s="590"/>
    </row>
    <row r="484" spans="1:26" ht="15.75" customHeight="1">
      <c r="A484" s="590"/>
      <c r="B484" s="590"/>
      <c r="C484" s="590"/>
      <c r="D484" s="590"/>
      <c r="E484" s="590"/>
      <c r="F484" s="590"/>
      <c r="G484" s="590"/>
      <c r="H484" s="590"/>
      <c r="I484" s="590"/>
      <c r="J484" s="590"/>
      <c r="K484" s="590"/>
      <c r="L484" s="590"/>
      <c r="M484" s="590"/>
      <c r="N484" s="590"/>
      <c r="O484" s="590"/>
      <c r="P484" s="590"/>
      <c r="Q484" s="590"/>
      <c r="R484" s="590"/>
      <c r="S484" s="590"/>
      <c r="T484" s="590"/>
      <c r="U484" s="590"/>
      <c r="V484" s="590"/>
      <c r="W484" s="590"/>
      <c r="X484" s="590"/>
      <c r="Y484" s="590"/>
      <c r="Z484" s="590"/>
    </row>
    <row r="485" spans="1:26" ht="15.75" customHeight="1">
      <c r="A485" s="590"/>
      <c r="B485" s="590"/>
      <c r="C485" s="590"/>
      <c r="D485" s="590"/>
      <c r="E485" s="590"/>
      <c r="F485" s="590"/>
      <c r="G485" s="590"/>
      <c r="H485" s="590"/>
      <c r="I485" s="590"/>
      <c r="J485" s="590"/>
      <c r="K485" s="590"/>
      <c r="L485" s="590"/>
      <c r="M485" s="590"/>
      <c r="N485" s="590"/>
      <c r="O485" s="590"/>
      <c r="P485" s="590"/>
      <c r="Q485" s="590"/>
      <c r="R485" s="590"/>
      <c r="S485" s="590"/>
      <c r="T485" s="590"/>
      <c r="U485" s="590"/>
      <c r="V485" s="590"/>
      <c r="W485" s="590"/>
      <c r="X485" s="590"/>
      <c r="Y485" s="590"/>
      <c r="Z485" s="590"/>
    </row>
    <row r="486" spans="1:26" ht="15.75" customHeight="1">
      <c r="A486" s="590"/>
      <c r="B486" s="590"/>
      <c r="C486" s="590"/>
      <c r="D486" s="590"/>
      <c r="E486" s="590"/>
      <c r="F486" s="590"/>
      <c r="G486" s="590"/>
      <c r="H486" s="590"/>
      <c r="I486" s="590"/>
      <c r="J486" s="590"/>
      <c r="K486" s="590"/>
      <c r="L486" s="590"/>
      <c r="M486" s="590"/>
      <c r="N486" s="590"/>
      <c r="O486" s="590"/>
      <c r="P486" s="590"/>
      <c r="Q486" s="590"/>
      <c r="R486" s="590"/>
      <c r="S486" s="590"/>
      <c r="T486" s="590"/>
      <c r="U486" s="590"/>
      <c r="V486" s="590"/>
      <c r="W486" s="590"/>
      <c r="X486" s="590"/>
      <c r="Y486" s="590"/>
      <c r="Z486" s="590"/>
    </row>
    <row r="487" spans="1:26" ht="15.75" customHeight="1">
      <c r="A487" s="590"/>
      <c r="B487" s="590"/>
      <c r="C487" s="590"/>
      <c r="D487" s="590"/>
      <c r="E487" s="590"/>
      <c r="F487" s="590"/>
      <c r="G487" s="590"/>
      <c r="H487" s="590"/>
      <c r="I487" s="590"/>
      <c r="J487" s="590"/>
      <c r="K487" s="590"/>
      <c r="L487" s="590"/>
      <c r="M487" s="590"/>
      <c r="N487" s="590"/>
      <c r="O487" s="590"/>
      <c r="P487" s="590"/>
      <c r="Q487" s="590"/>
      <c r="R487" s="590"/>
      <c r="S487" s="590"/>
      <c r="T487" s="590"/>
      <c r="U487" s="590"/>
      <c r="V487" s="590"/>
      <c r="W487" s="590"/>
      <c r="X487" s="590"/>
      <c r="Y487" s="590"/>
      <c r="Z487" s="590"/>
    </row>
    <row r="488" spans="1:26" ht="15.75" customHeight="1">
      <c r="A488" s="590"/>
      <c r="B488" s="590"/>
      <c r="C488" s="590"/>
      <c r="D488" s="590"/>
      <c r="E488" s="590"/>
      <c r="F488" s="590"/>
      <c r="G488" s="590"/>
      <c r="H488" s="590"/>
      <c r="I488" s="590"/>
      <c r="J488" s="590"/>
      <c r="K488" s="590"/>
      <c r="L488" s="590"/>
      <c r="M488" s="590"/>
      <c r="N488" s="590"/>
      <c r="O488" s="590"/>
      <c r="P488" s="590"/>
      <c r="Q488" s="590"/>
      <c r="R488" s="590"/>
      <c r="S488" s="590"/>
      <c r="T488" s="590"/>
      <c r="U488" s="590"/>
      <c r="V488" s="590"/>
      <c r="W488" s="590"/>
      <c r="X488" s="590"/>
      <c r="Y488" s="590"/>
      <c r="Z488" s="590"/>
    </row>
    <row r="489" spans="1:26" ht="15.75" customHeight="1">
      <c r="A489" s="590"/>
      <c r="B489" s="590"/>
      <c r="C489" s="590"/>
      <c r="D489" s="590"/>
      <c r="E489" s="590"/>
      <c r="F489" s="590"/>
      <c r="G489" s="590"/>
      <c r="H489" s="590"/>
      <c r="I489" s="590"/>
      <c r="J489" s="590"/>
      <c r="K489" s="590"/>
      <c r="L489" s="590"/>
      <c r="M489" s="590"/>
      <c r="N489" s="590"/>
      <c r="O489" s="590"/>
      <c r="P489" s="590"/>
      <c r="Q489" s="590"/>
      <c r="R489" s="590"/>
      <c r="S489" s="590"/>
      <c r="T489" s="590"/>
      <c r="U489" s="590"/>
      <c r="V489" s="590"/>
      <c r="W489" s="590"/>
      <c r="X489" s="590"/>
      <c r="Y489" s="590"/>
      <c r="Z489" s="590"/>
    </row>
    <row r="490" spans="1:26" ht="15.75" customHeight="1">
      <c r="A490" s="590"/>
      <c r="B490" s="590"/>
      <c r="C490" s="590"/>
      <c r="D490" s="590"/>
      <c r="E490" s="590"/>
      <c r="F490" s="590"/>
      <c r="G490" s="590"/>
      <c r="H490" s="590"/>
      <c r="I490" s="590"/>
      <c r="J490" s="590"/>
      <c r="K490" s="590"/>
      <c r="L490" s="590"/>
      <c r="M490" s="590"/>
      <c r="N490" s="590"/>
      <c r="O490" s="590"/>
      <c r="P490" s="590"/>
      <c r="Q490" s="590"/>
      <c r="R490" s="590"/>
      <c r="S490" s="590"/>
      <c r="T490" s="590"/>
      <c r="U490" s="590"/>
      <c r="V490" s="590"/>
      <c r="W490" s="590"/>
      <c r="X490" s="590"/>
      <c r="Y490" s="590"/>
      <c r="Z490" s="590"/>
    </row>
    <row r="491" spans="1:26" ht="15.75" customHeight="1">
      <c r="A491" s="590"/>
      <c r="B491" s="590"/>
      <c r="C491" s="590"/>
      <c r="D491" s="590"/>
      <c r="E491" s="590"/>
      <c r="F491" s="590"/>
      <c r="G491" s="590"/>
      <c r="H491" s="590"/>
      <c r="I491" s="590"/>
      <c r="J491" s="590"/>
      <c r="K491" s="590"/>
      <c r="L491" s="590"/>
      <c r="M491" s="590"/>
      <c r="N491" s="590"/>
      <c r="O491" s="590"/>
      <c r="P491" s="590"/>
      <c r="Q491" s="590"/>
      <c r="R491" s="590"/>
      <c r="S491" s="590"/>
      <c r="T491" s="590"/>
      <c r="U491" s="590"/>
      <c r="V491" s="590"/>
      <c r="W491" s="590"/>
      <c r="X491" s="590"/>
      <c r="Y491" s="590"/>
      <c r="Z491" s="590"/>
    </row>
    <row r="492" spans="1:26" ht="15.75" customHeight="1">
      <c r="A492" s="590"/>
      <c r="B492" s="590"/>
      <c r="C492" s="590"/>
      <c r="D492" s="590"/>
      <c r="E492" s="590"/>
      <c r="F492" s="590"/>
      <c r="G492" s="590"/>
      <c r="H492" s="590"/>
      <c r="I492" s="590"/>
      <c r="J492" s="590"/>
      <c r="K492" s="590"/>
      <c r="L492" s="590"/>
      <c r="M492" s="590"/>
      <c r="N492" s="590"/>
      <c r="O492" s="590"/>
      <c r="P492" s="590"/>
      <c r="Q492" s="590"/>
      <c r="R492" s="590"/>
      <c r="S492" s="590"/>
      <c r="T492" s="590"/>
      <c r="U492" s="590"/>
      <c r="V492" s="590"/>
      <c r="W492" s="590"/>
      <c r="X492" s="590"/>
      <c r="Y492" s="590"/>
      <c r="Z492" s="590"/>
    </row>
    <row r="493" spans="1:26" ht="15.75" customHeight="1">
      <c r="A493" s="590"/>
      <c r="B493" s="590"/>
      <c r="C493" s="590"/>
      <c r="D493" s="590"/>
      <c r="E493" s="590"/>
      <c r="F493" s="590"/>
      <c r="G493" s="590"/>
      <c r="H493" s="590"/>
      <c r="I493" s="590"/>
      <c r="J493" s="590"/>
      <c r="K493" s="590"/>
      <c r="L493" s="590"/>
      <c r="M493" s="590"/>
      <c r="N493" s="590"/>
      <c r="O493" s="590"/>
      <c r="P493" s="590"/>
      <c r="Q493" s="590"/>
      <c r="R493" s="590"/>
      <c r="S493" s="590"/>
      <c r="T493" s="590"/>
      <c r="U493" s="590"/>
      <c r="V493" s="590"/>
      <c r="W493" s="590"/>
      <c r="X493" s="590"/>
      <c r="Y493" s="590"/>
      <c r="Z493" s="590"/>
    </row>
    <row r="494" spans="1:26" ht="15.75" customHeight="1">
      <c r="A494" s="590"/>
      <c r="B494" s="590"/>
      <c r="C494" s="590"/>
      <c r="D494" s="590"/>
      <c r="E494" s="590"/>
      <c r="F494" s="590"/>
      <c r="G494" s="590"/>
      <c r="H494" s="590"/>
      <c r="I494" s="590"/>
      <c r="J494" s="590"/>
      <c r="K494" s="590"/>
      <c r="L494" s="590"/>
      <c r="M494" s="590"/>
      <c r="N494" s="590"/>
      <c r="O494" s="590"/>
      <c r="P494" s="590"/>
      <c r="Q494" s="590"/>
      <c r="R494" s="590"/>
      <c r="S494" s="590"/>
      <c r="T494" s="590"/>
      <c r="U494" s="590"/>
      <c r="V494" s="590"/>
      <c r="W494" s="590"/>
      <c r="X494" s="590"/>
      <c r="Y494" s="590"/>
      <c r="Z494" s="590"/>
    </row>
    <row r="495" spans="1:26" ht="15.75" customHeight="1">
      <c r="A495" s="590"/>
      <c r="B495" s="590"/>
      <c r="C495" s="590"/>
      <c r="D495" s="590"/>
      <c r="E495" s="590"/>
      <c r="F495" s="590"/>
      <c r="G495" s="590"/>
      <c r="H495" s="590"/>
      <c r="I495" s="590"/>
      <c r="J495" s="590"/>
      <c r="K495" s="590"/>
      <c r="L495" s="590"/>
      <c r="M495" s="590"/>
      <c r="N495" s="590"/>
      <c r="O495" s="590"/>
      <c r="P495" s="590"/>
      <c r="Q495" s="590"/>
      <c r="R495" s="590"/>
      <c r="S495" s="590"/>
      <c r="T495" s="590"/>
      <c r="U495" s="590"/>
      <c r="V495" s="590"/>
      <c r="W495" s="590"/>
      <c r="X495" s="590"/>
      <c r="Y495" s="590"/>
      <c r="Z495" s="590"/>
    </row>
    <row r="496" spans="1:26" ht="15.75" customHeight="1">
      <c r="A496" s="590"/>
      <c r="B496" s="590"/>
      <c r="C496" s="590"/>
      <c r="D496" s="590"/>
      <c r="E496" s="590"/>
      <c r="F496" s="590"/>
      <c r="G496" s="590"/>
      <c r="H496" s="590"/>
      <c r="I496" s="590"/>
      <c r="J496" s="590"/>
      <c r="K496" s="590"/>
      <c r="L496" s="590"/>
      <c r="M496" s="590"/>
      <c r="N496" s="590"/>
      <c r="O496" s="590"/>
      <c r="P496" s="590"/>
      <c r="Q496" s="590"/>
      <c r="R496" s="590"/>
      <c r="S496" s="590"/>
      <c r="T496" s="590"/>
      <c r="U496" s="590"/>
      <c r="V496" s="590"/>
      <c r="W496" s="590"/>
      <c r="X496" s="590"/>
      <c r="Y496" s="590"/>
      <c r="Z496" s="590"/>
    </row>
    <row r="497" spans="1:26" ht="15.75" customHeight="1">
      <c r="A497" s="590"/>
      <c r="B497" s="590"/>
      <c r="C497" s="590"/>
      <c r="D497" s="590"/>
      <c r="E497" s="590"/>
      <c r="F497" s="590"/>
      <c r="G497" s="590"/>
      <c r="H497" s="590"/>
      <c r="I497" s="590"/>
      <c r="J497" s="590"/>
      <c r="K497" s="590"/>
      <c r="L497" s="590"/>
      <c r="M497" s="590"/>
      <c r="N497" s="590"/>
      <c r="O497" s="590"/>
      <c r="P497" s="590"/>
      <c r="Q497" s="590"/>
      <c r="R497" s="590"/>
      <c r="S497" s="590"/>
      <c r="T497" s="590"/>
      <c r="U497" s="590"/>
      <c r="V497" s="590"/>
      <c r="W497" s="590"/>
      <c r="X497" s="590"/>
      <c r="Y497" s="590"/>
      <c r="Z497" s="590"/>
    </row>
    <row r="498" spans="1:26" ht="15.75" customHeight="1">
      <c r="A498" s="590"/>
      <c r="B498" s="590"/>
      <c r="C498" s="590"/>
      <c r="D498" s="590"/>
      <c r="E498" s="590"/>
      <c r="F498" s="590"/>
      <c r="G498" s="590"/>
      <c r="H498" s="590"/>
      <c r="I498" s="590"/>
      <c r="J498" s="590"/>
      <c r="K498" s="590"/>
      <c r="L498" s="590"/>
      <c r="M498" s="590"/>
      <c r="N498" s="590"/>
      <c r="O498" s="590"/>
      <c r="P498" s="590"/>
      <c r="Q498" s="590"/>
      <c r="R498" s="590"/>
      <c r="S498" s="590"/>
      <c r="T498" s="590"/>
      <c r="U498" s="590"/>
      <c r="V498" s="590"/>
      <c r="W498" s="590"/>
      <c r="X498" s="590"/>
      <c r="Y498" s="590"/>
      <c r="Z498" s="590"/>
    </row>
    <row r="499" spans="1:26" ht="15.75" customHeight="1">
      <c r="A499" s="590"/>
      <c r="B499" s="590"/>
      <c r="C499" s="590"/>
      <c r="D499" s="590"/>
      <c r="E499" s="590"/>
      <c r="F499" s="590"/>
      <c r="G499" s="590"/>
      <c r="H499" s="590"/>
      <c r="I499" s="590"/>
      <c r="J499" s="590"/>
      <c r="K499" s="590"/>
      <c r="L499" s="590"/>
      <c r="M499" s="590"/>
      <c r="N499" s="590"/>
      <c r="O499" s="590"/>
      <c r="P499" s="590"/>
      <c r="Q499" s="590"/>
      <c r="R499" s="590"/>
      <c r="S499" s="590"/>
      <c r="T499" s="590"/>
      <c r="U499" s="590"/>
      <c r="V499" s="590"/>
      <c r="W499" s="590"/>
      <c r="X499" s="590"/>
      <c r="Y499" s="590"/>
      <c r="Z499" s="590"/>
    </row>
    <row r="500" spans="1:26" ht="15.75" customHeight="1">
      <c r="A500" s="590"/>
      <c r="B500" s="590"/>
      <c r="C500" s="590"/>
      <c r="D500" s="590"/>
      <c r="E500" s="590"/>
      <c r="F500" s="590"/>
      <c r="G500" s="590"/>
      <c r="H500" s="590"/>
      <c r="I500" s="590"/>
      <c r="J500" s="590"/>
      <c r="K500" s="590"/>
      <c r="L500" s="590"/>
      <c r="M500" s="590"/>
      <c r="N500" s="590"/>
      <c r="O500" s="590"/>
      <c r="P500" s="590"/>
      <c r="Q500" s="590"/>
      <c r="R500" s="590"/>
      <c r="S500" s="590"/>
      <c r="T500" s="590"/>
      <c r="U500" s="590"/>
      <c r="V500" s="590"/>
      <c r="W500" s="590"/>
      <c r="X500" s="590"/>
      <c r="Y500" s="590"/>
      <c r="Z500" s="590"/>
    </row>
    <row r="501" spans="1:26" ht="15.75" customHeight="1">
      <c r="A501" s="590"/>
      <c r="B501" s="590"/>
      <c r="C501" s="590"/>
      <c r="D501" s="590"/>
      <c r="E501" s="590"/>
      <c r="F501" s="590"/>
      <c r="G501" s="590"/>
      <c r="H501" s="590"/>
      <c r="I501" s="590"/>
      <c r="J501" s="590"/>
      <c r="K501" s="590"/>
      <c r="L501" s="590"/>
      <c r="M501" s="590"/>
      <c r="N501" s="590"/>
      <c r="O501" s="590"/>
      <c r="P501" s="590"/>
      <c r="Q501" s="590"/>
      <c r="R501" s="590"/>
      <c r="S501" s="590"/>
      <c r="T501" s="590"/>
      <c r="U501" s="590"/>
      <c r="V501" s="590"/>
      <c r="W501" s="590"/>
      <c r="X501" s="590"/>
      <c r="Y501" s="590"/>
      <c r="Z501" s="590"/>
    </row>
    <row r="502" spans="1:26" ht="15.75" customHeight="1">
      <c r="A502" s="590"/>
      <c r="B502" s="590"/>
      <c r="C502" s="590"/>
      <c r="D502" s="590"/>
      <c r="E502" s="590"/>
      <c r="F502" s="590"/>
      <c r="G502" s="590"/>
      <c r="H502" s="590"/>
      <c r="I502" s="590"/>
      <c r="J502" s="590"/>
      <c r="K502" s="590"/>
      <c r="L502" s="590"/>
      <c r="M502" s="590"/>
      <c r="N502" s="590"/>
      <c r="O502" s="590"/>
      <c r="P502" s="590"/>
      <c r="Q502" s="590"/>
      <c r="R502" s="590"/>
      <c r="S502" s="590"/>
      <c r="T502" s="590"/>
      <c r="U502" s="590"/>
      <c r="V502" s="590"/>
      <c r="W502" s="590"/>
      <c r="X502" s="590"/>
      <c r="Y502" s="590"/>
      <c r="Z502" s="590"/>
    </row>
    <row r="503" spans="1:26" ht="15.75" customHeight="1">
      <c r="A503" s="590"/>
      <c r="B503" s="590"/>
      <c r="C503" s="590"/>
      <c r="D503" s="590"/>
      <c r="E503" s="590"/>
      <c r="F503" s="590"/>
      <c r="G503" s="590"/>
      <c r="H503" s="590"/>
      <c r="I503" s="590"/>
      <c r="J503" s="590"/>
      <c r="K503" s="590"/>
      <c r="L503" s="590"/>
      <c r="M503" s="590"/>
      <c r="N503" s="590"/>
      <c r="O503" s="590"/>
      <c r="P503" s="590"/>
      <c r="Q503" s="590"/>
      <c r="R503" s="590"/>
      <c r="S503" s="590"/>
      <c r="T503" s="590"/>
      <c r="U503" s="590"/>
      <c r="V503" s="590"/>
      <c r="W503" s="590"/>
      <c r="X503" s="590"/>
      <c r="Y503" s="590"/>
      <c r="Z503" s="590"/>
    </row>
    <row r="504" spans="1:26" ht="15.75" customHeight="1">
      <c r="A504" s="590"/>
      <c r="B504" s="590"/>
      <c r="C504" s="590"/>
      <c r="D504" s="590"/>
      <c r="E504" s="590"/>
      <c r="F504" s="590"/>
      <c r="G504" s="590"/>
      <c r="H504" s="590"/>
      <c r="I504" s="590"/>
      <c r="J504" s="590"/>
      <c r="K504" s="590"/>
      <c r="L504" s="590"/>
      <c r="M504" s="590"/>
      <c r="N504" s="590"/>
      <c r="O504" s="590"/>
      <c r="P504" s="590"/>
      <c r="Q504" s="590"/>
      <c r="R504" s="590"/>
      <c r="S504" s="590"/>
      <c r="T504" s="590"/>
      <c r="U504" s="590"/>
      <c r="V504" s="590"/>
      <c r="W504" s="590"/>
      <c r="X504" s="590"/>
      <c r="Y504" s="590"/>
      <c r="Z504" s="590"/>
    </row>
    <row r="505" spans="1:26" ht="15.75" customHeight="1">
      <c r="A505" s="590"/>
      <c r="B505" s="590"/>
      <c r="C505" s="590"/>
      <c r="D505" s="590"/>
      <c r="E505" s="590"/>
      <c r="F505" s="590"/>
      <c r="G505" s="590"/>
      <c r="H505" s="590"/>
      <c r="I505" s="590"/>
      <c r="J505" s="590"/>
      <c r="K505" s="590"/>
      <c r="L505" s="590"/>
      <c r="M505" s="590"/>
      <c r="N505" s="590"/>
      <c r="O505" s="590"/>
      <c r="P505" s="590"/>
      <c r="Q505" s="590"/>
      <c r="R505" s="590"/>
      <c r="S505" s="590"/>
      <c r="T505" s="590"/>
      <c r="U505" s="590"/>
      <c r="V505" s="590"/>
      <c r="W505" s="590"/>
      <c r="X505" s="590"/>
      <c r="Y505" s="590"/>
      <c r="Z505" s="590"/>
    </row>
    <row r="506" spans="1:26" ht="15.75" customHeight="1">
      <c r="A506" s="590"/>
      <c r="B506" s="590"/>
      <c r="C506" s="590"/>
      <c r="D506" s="590"/>
      <c r="E506" s="590"/>
      <c r="F506" s="590"/>
      <c r="G506" s="590"/>
      <c r="H506" s="590"/>
      <c r="I506" s="590"/>
      <c r="J506" s="590"/>
      <c r="K506" s="590"/>
      <c r="L506" s="590"/>
      <c r="M506" s="590"/>
      <c r="N506" s="590"/>
      <c r="O506" s="590"/>
      <c r="P506" s="590"/>
      <c r="Q506" s="590"/>
      <c r="R506" s="590"/>
      <c r="S506" s="590"/>
      <c r="T506" s="590"/>
      <c r="U506" s="590"/>
      <c r="V506" s="590"/>
      <c r="W506" s="590"/>
      <c r="X506" s="590"/>
      <c r="Y506" s="590"/>
      <c r="Z506" s="590"/>
    </row>
    <row r="507" spans="1:26" ht="15.75" customHeight="1">
      <c r="A507" s="590"/>
      <c r="B507" s="590"/>
      <c r="C507" s="590"/>
      <c r="D507" s="590"/>
      <c r="E507" s="590"/>
      <c r="F507" s="590"/>
      <c r="G507" s="590"/>
      <c r="H507" s="590"/>
      <c r="I507" s="590"/>
      <c r="J507" s="590"/>
      <c r="K507" s="590"/>
      <c r="L507" s="590"/>
      <c r="M507" s="590"/>
      <c r="N507" s="590"/>
      <c r="O507" s="590"/>
      <c r="P507" s="590"/>
      <c r="Q507" s="590"/>
      <c r="R507" s="590"/>
      <c r="S507" s="590"/>
      <c r="T507" s="590"/>
      <c r="U507" s="590"/>
      <c r="V507" s="590"/>
      <c r="W507" s="590"/>
      <c r="X507" s="590"/>
      <c r="Y507" s="590"/>
      <c r="Z507" s="590"/>
    </row>
    <row r="508" spans="1:26" ht="15.75" customHeight="1">
      <c r="A508" s="590"/>
      <c r="B508" s="590"/>
      <c r="C508" s="590"/>
      <c r="D508" s="590"/>
      <c r="E508" s="590"/>
      <c r="F508" s="590"/>
      <c r="G508" s="590"/>
      <c r="H508" s="590"/>
      <c r="I508" s="590"/>
      <c r="J508" s="590"/>
      <c r="K508" s="590"/>
      <c r="L508" s="590"/>
      <c r="M508" s="590"/>
      <c r="N508" s="590"/>
      <c r="O508" s="590"/>
      <c r="P508" s="590"/>
      <c r="Q508" s="590"/>
      <c r="R508" s="590"/>
      <c r="S508" s="590"/>
      <c r="T508" s="590"/>
      <c r="U508" s="590"/>
      <c r="V508" s="590"/>
      <c r="W508" s="590"/>
      <c r="X508" s="590"/>
      <c r="Y508" s="590"/>
      <c r="Z508" s="590"/>
    </row>
    <row r="509" spans="1:26" ht="15.75" customHeight="1">
      <c r="A509" s="590"/>
      <c r="B509" s="590"/>
      <c r="C509" s="590"/>
      <c r="D509" s="590"/>
      <c r="E509" s="590"/>
      <c r="F509" s="590"/>
      <c r="G509" s="590"/>
      <c r="H509" s="590"/>
      <c r="I509" s="590"/>
      <c r="J509" s="590"/>
      <c r="K509" s="590"/>
      <c r="L509" s="590"/>
      <c r="M509" s="590"/>
      <c r="N509" s="590"/>
      <c r="O509" s="590"/>
      <c r="P509" s="590"/>
      <c r="Q509" s="590"/>
      <c r="R509" s="590"/>
      <c r="S509" s="590"/>
      <c r="T509" s="590"/>
      <c r="U509" s="590"/>
      <c r="V509" s="590"/>
      <c r="W509" s="590"/>
      <c r="X509" s="590"/>
      <c r="Y509" s="590"/>
      <c r="Z509" s="590"/>
    </row>
    <row r="510" spans="1:26" ht="15.75" customHeight="1">
      <c r="A510" s="590"/>
      <c r="B510" s="590"/>
      <c r="C510" s="590"/>
      <c r="D510" s="590"/>
      <c r="E510" s="590"/>
      <c r="F510" s="590"/>
      <c r="G510" s="590"/>
      <c r="H510" s="590"/>
      <c r="I510" s="590"/>
      <c r="J510" s="590"/>
      <c r="K510" s="590"/>
      <c r="L510" s="590"/>
      <c r="M510" s="590"/>
      <c r="N510" s="590"/>
      <c r="O510" s="590"/>
      <c r="P510" s="590"/>
      <c r="Q510" s="590"/>
      <c r="R510" s="590"/>
      <c r="S510" s="590"/>
      <c r="T510" s="590"/>
      <c r="U510" s="590"/>
      <c r="V510" s="590"/>
      <c r="W510" s="590"/>
      <c r="X510" s="590"/>
      <c r="Y510" s="590"/>
      <c r="Z510" s="590"/>
    </row>
    <row r="511" spans="1:26" ht="15.75" customHeight="1">
      <c r="A511" s="590"/>
      <c r="B511" s="590"/>
      <c r="C511" s="590"/>
      <c r="D511" s="590"/>
      <c r="E511" s="590"/>
      <c r="F511" s="590"/>
      <c r="G511" s="590"/>
      <c r="H511" s="590"/>
      <c r="I511" s="590"/>
      <c r="J511" s="590"/>
      <c r="K511" s="590"/>
      <c r="L511" s="590"/>
      <c r="M511" s="590"/>
      <c r="N511" s="590"/>
      <c r="O511" s="590"/>
      <c r="P511" s="590"/>
      <c r="Q511" s="590"/>
      <c r="R511" s="590"/>
      <c r="S511" s="590"/>
      <c r="T511" s="590"/>
      <c r="U511" s="590"/>
      <c r="V511" s="590"/>
      <c r="W511" s="590"/>
      <c r="X511" s="590"/>
      <c r="Y511" s="590"/>
      <c r="Z511" s="590"/>
    </row>
    <row r="512" spans="1:26" ht="15.75" customHeight="1">
      <c r="A512" s="590"/>
      <c r="B512" s="590"/>
      <c r="C512" s="590"/>
      <c r="D512" s="590"/>
      <c r="E512" s="590"/>
      <c r="F512" s="590"/>
      <c r="G512" s="590"/>
      <c r="H512" s="590"/>
      <c r="I512" s="590"/>
      <c r="J512" s="590"/>
      <c r="K512" s="590"/>
      <c r="L512" s="590"/>
      <c r="M512" s="590"/>
      <c r="N512" s="590"/>
      <c r="O512" s="590"/>
      <c r="P512" s="590"/>
      <c r="Q512" s="590"/>
      <c r="R512" s="590"/>
      <c r="S512" s="590"/>
      <c r="T512" s="590"/>
      <c r="U512" s="590"/>
      <c r="V512" s="590"/>
      <c r="W512" s="590"/>
      <c r="X512" s="590"/>
      <c r="Y512" s="590"/>
      <c r="Z512" s="590"/>
    </row>
    <row r="513" spans="1:26" ht="15.75" customHeight="1">
      <c r="A513" s="590"/>
      <c r="B513" s="590"/>
      <c r="C513" s="590"/>
      <c r="D513" s="590"/>
      <c r="E513" s="590"/>
      <c r="F513" s="590"/>
      <c r="G513" s="590"/>
      <c r="H513" s="590"/>
      <c r="I513" s="590"/>
      <c r="J513" s="590"/>
      <c r="K513" s="590"/>
      <c r="L513" s="590"/>
      <c r="M513" s="590"/>
      <c r="N513" s="590"/>
      <c r="O513" s="590"/>
      <c r="P513" s="590"/>
      <c r="Q513" s="590"/>
      <c r="R513" s="590"/>
      <c r="S513" s="590"/>
      <c r="T513" s="590"/>
      <c r="U513" s="590"/>
      <c r="V513" s="590"/>
      <c r="W513" s="590"/>
      <c r="X513" s="590"/>
      <c r="Y513" s="590"/>
      <c r="Z513" s="590"/>
    </row>
    <row r="514" spans="1:26" ht="15.75" customHeight="1">
      <c r="A514" s="590"/>
      <c r="B514" s="590"/>
      <c r="C514" s="590"/>
      <c r="D514" s="590"/>
      <c r="E514" s="590"/>
      <c r="F514" s="590"/>
      <c r="G514" s="590"/>
      <c r="H514" s="590"/>
      <c r="I514" s="590"/>
      <c r="J514" s="590"/>
      <c r="K514" s="590"/>
      <c r="L514" s="590"/>
      <c r="M514" s="590"/>
      <c r="N514" s="590"/>
      <c r="O514" s="590"/>
      <c r="P514" s="590"/>
      <c r="Q514" s="590"/>
      <c r="R514" s="590"/>
      <c r="S514" s="590"/>
      <c r="T514" s="590"/>
      <c r="U514" s="590"/>
      <c r="V514" s="590"/>
      <c r="W514" s="590"/>
      <c r="X514" s="590"/>
      <c r="Y514" s="590"/>
      <c r="Z514" s="590"/>
    </row>
    <row r="515" spans="1:26" ht="15.75" customHeight="1">
      <c r="A515" s="590"/>
      <c r="B515" s="590"/>
      <c r="C515" s="590"/>
      <c r="D515" s="590"/>
      <c r="E515" s="590"/>
      <c r="F515" s="590"/>
      <c r="G515" s="590"/>
      <c r="H515" s="590"/>
      <c r="I515" s="590"/>
      <c r="J515" s="590"/>
      <c r="K515" s="590"/>
      <c r="L515" s="590"/>
      <c r="M515" s="590"/>
      <c r="N515" s="590"/>
      <c r="O515" s="590"/>
      <c r="P515" s="590"/>
      <c r="Q515" s="590"/>
      <c r="R515" s="590"/>
      <c r="S515" s="590"/>
      <c r="T515" s="590"/>
      <c r="U515" s="590"/>
      <c r="V515" s="590"/>
      <c r="W515" s="590"/>
      <c r="X515" s="590"/>
      <c r="Y515" s="590"/>
      <c r="Z515" s="590"/>
    </row>
    <row r="516" spans="1:26" ht="15.75" customHeight="1">
      <c r="A516" s="590"/>
      <c r="B516" s="590"/>
      <c r="C516" s="590"/>
      <c r="D516" s="590"/>
      <c r="E516" s="590"/>
      <c r="F516" s="590"/>
      <c r="G516" s="590"/>
      <c r="H516" s="590"/>
      <c r="I516" s="590"/>
      <c r="J516" s="590"/>
      <c r="K516" s="590"/>
      <c r="L516" s="590"/>
      <c r="M516" s="590"/>
      <c r="N516" s="590"/>
      <c r="O516" s="590"/>
      <c r="P516" s="590"/>
      <c r="Q516" s="590"/>
      <c r="R516" s="590"/>
      <c r="S516" s="590"/>
      <c r="T516" s="590"/>
      <c r="U516" s="590"/>
      <c r="V516" s="590"/>
      <c r="W516" s="590"/>
      <c r="X516" s="590"/>
      <c r="Y516" s="590"/>
      <c r="Z516" s="590"/>
    </row>
    <row r="517" spans="1:26" ht="15.75" customHeight="1">
      <c r="A517" s="590"/>
      <c r="B517" s="590"/>
      <c r="C517" s="590"/>
      <c r="D517" s="590"/>
      <c r="E517" s="590"/>
      <c r="F517" s="590"/>
      <c r="G517" s="590"/>
      <c r="H517" s="590"/>
      <c r="I517" s="590"/>
      <c r="J517" s="590"/>
      <c r="K517" s="590"/>
      <c r="L517" s="590"/>
      <c r="M517" s="590"/>
      <c r="N517" s="590"/>
      <c r="O517" s="590"/>
      <c r="P517" s="590"/>
      <c r="Q517" s="590"/>
      <c r="R517" s="590"/>
      <c r="S517" s="590"/>
      <c r="T517" s="590"/>
      <c r="U517" s="590"/>
      <c r="V517" s="590"/>
      <c r="W517" s="590"/>
      <c r="X517" s="590"/>
      <c r="Y517" s="590"/>
      <c r="Z517" s="590"/>
    </row>
    <row r="518" spans="1:26" ht="15.75" customHeight="1">
      <c r="A518" s="590"/>
      <c r="B518" s="590"/>
      <c r="C518" s="590"/>
      <c r="D518" s="590"/>
      <c r="E518" s="590"/>
      <c r="F518" s="590"/>
      <c r="G518" s="590"/>
      <c r="H518" s="590"/>
      <c r="I518" s="590"/>
      <c r="J518" s="590"/>
      <c r="K518" s="590"/>
      <c r="L518" s="590"/>
      <c r="M518" s="590"/>
      <c r="N518" s="590"/>
      <c r="O518" s="590"/>
      <c r="P518" s="590"/>
      <c r="Q518" s="590"/>
      <c r="R518" s="590"/>
      <c r="S518" s="590"/>
      <c r="T518" s="590"/>
      <c r="U518" s="590"/>
      <c r="V518" s="590"/>
      <c r="W518" s="590"/>
      <c r="X518" s="590"/>
      <c r="Y518" s="590"/>
      <c r="Z518" s="590"/>
    </row>
    <row r="519" spans="1:26" ht="15.75" customHeight="1">
      <c r="A519" s="590"/>
      <c r="B519" s="590"/>
      <c r="C519" s="590"/>
      <c r="D519" s="590"/>
      <c r="E519" s="590"/>
      <c r="F519" s="590"/>
      <c r="G519" s="590"/>
      <c r="H519" s="590"/>
      <c r="I519" s="590"/>
      <c r="J519" s="590"/>
      <c r="K519" s="590"/>
      <c r="L519" s="590"/>
      <c r="M519" s="590"/>
      <c r="N519" s="590"/>
      <c r="O519" s="590"/>
      <c r="P519" s="590"/>
      <c r="Q519" s="590"/>
      <c r="R519" s="590"/>
      <c r="S519" s="590"/>
      <c r="T519" s="590"/>
      <c r="U519" s="590"/>
      <c r="V519" s="590"/>
      <c r="W519" s="590"/>
      <c r="X519" s="590"/>
      <c r="Y519" s="590"/>
      <c r="Z519" s="590"/>
    </row>
    <row r="520" spans="1:26" ht="15.75" customHeight="1">
      <c r="A520" s="590"/>
      <c r="B520" s="590"/>
      <c r="C520" s="590"/>
      <c r="D520" s="590"/>
      <c r="E520" s="590"/>
      <c r="F520" s="590"/>
      <c r="G520" s="590"/>
      <c r="H520" s="590"/>
      <c r="I520" s="590"/>
      <c r="J520" s="590"/>
      <c r="K520" s="590"/>
      <c r="L520" s="590"/>
      <c r="M520" s="590"/>
      <c r="N520" s="590"/>
      <c r="O520" s="590"/>
      <c r="P520" s="590"/>
      <c r="Q520" s="590"/>
      <c r="R520" s="590"/>
      <c r="S520" s="590"/>
      <c r="T520" s="590"/>
      <c r="U520" s="590"/>
      <c r="V520" s="590"/>
      <c r="W520" s="590"/>
      <c r="X520" s="590"/>
      <c r="Y520" s="590"/>
      <c r="Z520" s="590"/>
    </row>
    <row r="521" spans="1:26" ht="15.75" customHeight="1">
      <c r="A521" s="590"/>
      <c r="B521" s="590"/>
      <c r="C521" s="590"/>
      <c r="D521" s="590"/>
      <c r="E521" s="590"/>
      <c r="F521" s="590"/>
      <c r="G521" s="590"/>
      <c r="H521" s="590"/>
      <c r="I521" s="590"/>
      <c r="J521" s="590"/>
      <c r="K521" s="590"/>
      <c r="L521" s="590"/>
      <c r="M521" s="590"/>
      <c r="N521" s="590"/>
      <c r="O521" s="590"/>
      <c r="P521" s="590"/>
      <c r="Q521" s="590"/>
      <c r="R521" s="590"/>
      <c r="S521" s="590"/>
      <c r="T521" s="590"/>
      <c r="U521" s="590"/>
      <c r="V521" s="590"/>
      <c r="W521" s="590"/>
      <c r="X521" s="590"/>
      <c r="Y521" s="590"/>
      <c r="Z521" s="590"/>
    </row>
    <row r="522" spans="1:26" ht="15.75" customHeight="1">
      <c r="A522" s="590"/>
      <c r="B522" s="590"/>
      <c r="C522" s="590"/>
      <c r="D522" s="590"/>
      <c r="E522" s="590"/>
      <c r="F522" s="590"/>
      <c r="G522" s="590"/>
      <c r="H522" s="590"/>
      <c r="I522" s="590"/>
      <c r="J522" s="590"/>
      <c r="K522" s="590"/>
      <c r="L522" s="590"/>
      <c r="M522" s="590"/>
      <c r="N522" s="590"/>
      <c r="O522" s="590"/>
      <c r="P522" s="590"/>
      <c r="Q522" s="590"/>
      <c r="R522" s="590"/>
      <c r="S522" s="590"/>
      <c r="T522" s="590"/>
      <c r="U522" s="590"/>
      <c r="V522" s="590"/>
      <c r="W522" s="590"/>
      <c r="X522" s="590"/>
      <c r="Y522" s="590"/>
      <c r="Z522" s="590"/>
    </row>
    <row r="523" spans="1:26" ht="15.75" customHeight="1">
      <c r="A523" s="590"/>
      <c r="B523" s="590"/>
      <c r="C523" s="590"/>
      <c r="D523" s="590"/>
      <c r="E523" s="590"/>
      <c r="F523" s="590"/>
      <c r="G523" s="590"/>
      <c r="H523" s="590"/>
      <c r="I523" s="590"/>
      <c r="J523" s="590"/>
      <c r="K523" s="590"/>
      <c r="L523" s="590"/>
      <c r="M523" s="590"/>
      <c r="N523" s="590"/>
      <c r="O523" s="590"/>
      <c r="P523" s="590"/>
      <c r="Q523" s="590"/>
      <c r="R523" s="590"/>
      <c r="S523" s="590"/>
      <c r="T523" s="590"/>
      <c r="U523" s="590"/>
      <c r="V523" s="590"/>
      <c r="W523" s="590"/>
      <c r="X523" s="590"/>
      <c r="Y523" s="590"/>
      <c r="Z523" s="590"/>
    </row>
    <row r="524" spans="1:26" ht="15.75" customHeight="1">
      <c r="A524" s="590"/>
      <c r="B524" s="590"/>
      <c r="C524" s="590"/>
      <c r="D524" s="590"/>
      <c r="E524" s="590"/>
      <c r="F524" s="590"/>
      <c r="G524" s="590"/>
      <c r="H524" s="590"/>
      <c r="I524" s="590"/>
      <c r="J524" s="590"/>
      <c r="K524" s="590"/>
      <c r="L524" s="590"/>
      <c r="M524" s="590"/>
      <c r="N524" s="590"/>
      <c r="O524" s="590"/>
      <c r="P524" s="590"/>
      <c r="Q524" s="590"/>
      <c r="R524" s="590"/>
      <c r="S524" s="590"/>
      <c r="T524" s="590"/>
      <c r="U524" s="590"/>
      <c r="V524" s="590"/>
      <c r="W524" s="590"/>
      <c r="X524" s="590"/>
      <c r="Y524" s="590"/>
      <c r="Z524" s="590"/>
    </row>
    <row r="525" spans="1:26" ht="15.75" customHeight="1">
      <c r="A525" s="590"/>
      <c r="B525" s="590"/>
      <c r="C525" s="590"/>
      <c r="D525" s="590"/>
      <c r="E525" s="590"/>
      <c r="F525" s="590"/>
      <c r="G525" s="590"/>
      <c r="H525" s="590"/>
      <c r="I525" s="590"/>
      <c r="J525" s="590"/>
      <c r="K525" s="590"/>
      <c r="L525" s="590"/>
      <c r="M525" s="590"/>
      <c r="N525" s="590"/>
      <c r="O525" s="590"/>
      <c r="P525" s="590"/>
      <c r="Q525" s="590"/>
      <c r="R525" s="590"/>
      <c r="S525" s="590"/>
      <c r="T525" s="590"/>
      <c r="U525" s="590"/>
      <c r="V525" s="590"/>
      <c r="W525" s="590"/>
      <c r="X525" s="590"/>
      <c r="Y525" s="590"/>
      <c r="Z525" s="590"/>
    </row>
    <row r="526" spans="1:26" ht="15.75" customHeight="1">
      <c r="A526" s="590"/>
      <c r="B526" s="590"/>
      <c r="C526" s="590"/>
      <c r="D526" s="590"/>
      <c r="E526" s="590"/>
      <c r="F526" s="590"/>
      <c r="G526" s="590"/>
      <c r="H526" s="590"/>
      <c r="I526" s="590"/>
      <c r="J526" s="590"/>
      <c r="K526" s="590"/>
      <c r="L526" s="590"/>
      <c r="M526" s="590"/>
      <c r="N526" s="590"/>
      <c r="O526" s="590"/>
      <c r="P526" s="590"/>
      <c r="Q526" s="590"/>
      <c r="R526" s="590"/>
      <c r="S526" s="590"/>
      <c r="T526" s="590"/>
      <c r="U526" s="590"/>
      <c r="V526" s="590"/>
      <c r="W526" s="590"/>
      <c r="X526" s="590"/>
      <c r="Y526" s="590"/>
      <c r="Z526" s="590"/>
    </row>
    <row r="527" spans="1:26" ht="15.75" customHeight="1">
      <c r="A527" s="590"/>
      <c r="B527" s="590"/>
      <c r="C527" s="590"/>
      <c r="D527" s="590"/>
      <c r="E527" s="590"/>
      <c r="F527" s="590"/>
      <c r="G527" s="590"/>
      <c r="H527" s="590"/>
      <c r="I527" s="590"/>
      <c r="J527" s="590"/>
      <c r="K527" s="590"/>
      <c r="L527" s="590"/>
      <c r="M527" s="590"/>
      <c r="N527" s="590"/>
      <c r="O527" s="590"/>
      <c r="P527" s="590"/>
      <c r="Q527" s="590"/>
      <c r="R527" s="590"/>
      <c r="S527" s="590"/>
      <c r="T527" s="590"/>
      <c r="U527" s="590"/>
      <c r="V527" s="590"/>
      <c r="W527" s="590"/>
      <c r="X527" s="590"/>
      <c r="Y527" s="590"/>
      <c r="Z527" s="590"/>
    </row>
    <row r="528" spans="1:26" ht="15.75" customHeight="1">
      <c r="A528" s="590"/>
      <c r="B528" s="590"/>
      <c r="C528" s="590"/>
      <c r="D528" s="590"/>
      <c r="E528" s="590"/>
      <c r="F528" s="590"/>
      <c r="G528" s="590"/>
      <c r="H528" s="590"/>
      <c r="I528" s="590"/>
      <c r="J528" s="590"/>
      <c r="K528" s="590"/>
      <c r="L528" s="590"/>
      <c r="M528" s="590"/>
      <c r="N528" s="590"/>
      <c r="O528" s="590"/>
      <c r="P528" s="590"/>
      <c r="Q528" s="590"/>
      <c r="R528" s="590"/>
      <c r="S528" s="590"/>
      <c r="T528" s="590"/>
      <c r="U528" s="590"/>
      <c r="V528" s="590"/>
      <c r="W528" s="590"/>
      <c r="X528" s="590"/>
      <c r="Y528" s="590"/>
      <c r="Z528" s="590"/>
    </row>
    <row r="529" spans="1:26" ht="15.75" customHeight="1">
      <c r="A529" s="590"/>
      <c r="B529" s="590"/>
      <c r="C529" s="590"/>
      <c r="D529" s="590"/>
      <c r="E529" s="590"/>
      <c r="F529" s="590"/>
      <c r="G529" s="590"/>
      <c r="H529" s="590"/>
      <c r="I529" s="590"/>
      <c r="J529" s="590"/>
      <c r="K529" s="590"/>
      <c r="L529" s="590"/>
      <c r="M529" s="590"/>
      <c r="N529" s="590"/>
      <c r="O529" s="590"/>
      <c r="P529" s="590"/>
      <c r="Q529" s="590"/>
      <c r="R529" s="590"/>
      <c r="S529" s="590"/>
      <c r="T529" s="590"/>
      <c r="U529" s="590"/>
      <c r="V529" s="590"/>
      <c r="W529" s="590"/>
      <c r="X529" s="590"/>
      <c r="Y529" s="590"/>
      <c r="Z529" s="590"/>
    </row>
    <row r="530" spans="1:26" ht="15.75" customHeight="1">
      <c r="A530" s="590"/>
      <c r="B530" s="590"/>
      <c r="C530" s="590"/>
      <c r="D530" s="590"/>
      <c r="E530" s="590"/>
      <c r="F530" s="590"/>
      <c r="G530" s="590"/>
      <c r="H530" s="590"/>
      <c r="I530" s="590"/>
      <c r="J530" s="590"/>
      <c r="K530" s="590"/>
      <c r="L530" s="590"/>
      <c r="M530" s="590"/>
      <c r="N530" s="590"/>
      <c r="O530" s="590"/>
      <c r="P530" s="590"/>
      <c r="Q530" s="590"/>
      <c r="R530" s="590"/>
      <c r="S530" s="590"/>
      <c r="T530" s="590"/>
      <c r="U530" s="590"/>
      <c r="V530" s="590"/>
      <c r="W530" s="590"/>
      <c r="X530" s="590"/>
      <c r="Y530" s="590"/>
      <c r="Z530" s="590"/>
    </row>
    <row r="531" spans="1:26" ht="15.75" customHeight="1">
      <c r="A531" s="590"/>
      <c r="B531" s="590"/>
      <c r="C531" s="590"/>
      <c r="D531" s="590"/>
      <c r="E531" s="590"/>
      <c r="F531" s="590"/>
      <c r="G531" s="590"/>
      <c r="H531" s="590"/>
      <c r="I531" s="590"/>
      <c r="J531" s="590"/>
      <c r="K531" s="590"/>
      <c r="L531" s="590"/>
      <c r="M531" s="590"/>
      <c r="N531" s="590"/>
      <c r="O531" s="590"/>
      <c r="P531" s="590"/>
      <c r="Q531" s="590"/>
      <c r="R531" s="590"/>
      <c r="S531" s="590"/>
      <c r="T531" s="590"/>
      <c r="U531" s="590"/>
      <c r="V531" s="590"/>
      <c r="W531" s="590"/>
      <c r="X531" s="590"/>
      <c r="Y531" s="590"/>
      <c r="Z531" s="590"/>
    </row>
    <row r="532" spans="1:26" ht="15.75" customHeight="1">
      <c r="A532" s="590"/>
      <c r="B532" s="590"/>
      <c r="C532" s="590"/>
      <c r="D532" s="590"/>
      <c r="E532" s="590"/>
      <c r="F532" s="590"/>
      <c r="G532" s="590"/>
      <c r="H532" s="590"/>
      <c r="I532" s="590"/>
      <c r="J532" s="590"/>
      <c r="K532" s="590"/>
      <c r="L532" s="590"/>
      <c r="M532" s="590"/>
      <c r="N532" s="590"/>
      <c r="O532" s="590"/>
      <c r="P532" s="590"/>
      <c r="Q532" s="590"/>
      <c r="R532" s="590"/>
      <c r="S532" s="590"/>
      <c r="T532" s="590"/>
      <c r="U532" s="590"/>
      <c r="V532" s="590"/>
      <c r="W532" s="590"/>
      <c r="X532" s="590"/>
      <c r="Y532" s="590"/>
      <c r="Z532" s="590"/>
    </row>
    <row r="533" spans="1:26" ht="15.75" customHeight="1">
      <c r="A533" s="590"/>
      <c r="B533" s="590"/>
      <c r="C533" s="590"/>
      <c r="D533" s="590"/>
      <c r="E533" s="590"/>
      <c r="F533" s="590"/>
      <c r="G533" s="590"/>
      <c r="H533" s="590"/>
      <c r="I533" s="590"/>
      <c r="J533" s="590"/>
      <c r="K533" s="590"/>
      <c r="L533" s="590"/>
      <c r="M533" s="590"/>
      <c r="N533" s="590"/>
      <c r="O533" s="590"/>
      <c r="P533" s="590"/>
      <c r="Q533" s="590"/>
      <c r="R533" s="590"/>
      <c r="S533" s="590"/>
      <c r="T533" s="590"/>
      <c r="U533" s="590"/>
      <c r="V533" s="590"/>
      <c r="W533" s="590"/>
      <c r="X533" s="590"/>
      <c r="Y533" s="590"/>
      <c r="Z533" s="590"/>
    </row>
    <row r="534" spans="1:26" ht="15.75" customHeight="1">
      <c r="A534" s="590"/>
      <c r="B534" s="590"/>
      <c r="C534" s="590"/>
      <c r="D534" s="590"/>
      <c r="E534" s="590"/>
      <c r="F534" s="590"/>
      <c r="G534" s="590"/>
      <c r="H534" s="590"/>
      <c r="I534" s="590"/>
      <c r="J534" s="590"/>
      <c r="K534" s="590"/>
      <c r="L534" s="590"/>
      <c r="M534" s="590"/>
      <c r="N534" s="590"/>
      <c r="O534" s="590"/>
      <c r="P534" s="590"/>
      <c r="Q534" s="590"/>
      <c r="R534" s="590"/>
      <c r="S534" s="590"/>
      <c r="T534" s="590"/>
      <c r="U534" s="590"/>
      <c r="V534" s="590"/>
      <c r="W534" s="590"/>
      <c r="X534" s="590"/>
      <c r="Y534" s="590"/>
      <c r="Z534" s="590"/>
    </row>
    <row r="535" spans="1:26" ht="15.75" customHeight="1">
      <c r="A535" s="590"/>
      <c r="B535" s="590"/>
      <c r="C535" s="590"/>
      <c r="D535" s="590"/>
      <c r="E535" s="590"/>
      <c r="F535" s="590"/>
      <c r="G535" s="590"/>
      <c r="H535" s="590"/>
      <c r="I535" s="590"/>
      <c r="J535" s="590"/>
      <c r="K535" s="590"/>
      <c r="L535" s="590"/>
      <c r="M535" s="590"/>
      <c r="N535" s="590"/>
      <c r="O535" s="590"/>
      <c r="P535" s="590"/>
      <c r="Q535" s="590"/>
      <c r="R535" s="590"/>
      <c r="S535" s="590"/>
      <c r="T535" s="590"/>
      <c r="U535" s="590"/>
      <c r="V535" s="590"/>
      <c r="W535" s="590"/>
      <c r="X535" s="590"/>
      <c r="Y535" s="590"/>
      <c r="Z535" s="590"/>
    </row>
    <row r="536" spans="1:26" ht="15.75" customHeight="1">
      <c r="A536" s="590"/>
      <c r="B536" s="590"/>
      <c r="C536" s="590"/>
      <c r="D536" s="590"/>
      <c r="E536" s="590"/>
      <c r="F536" s="590"/>
      <c r="G536" s="590"/>
      <c r="H536" s="590"/>
      <c r="I536" s="590"/>
      <c r="J536" s="590"/>
      <c r="K536" s="590"/>
      <c r="L536" s="590"/>
      <c r="M536" s="590"/>
      <c r="N536" s="590"/>
      <c r="O536" s="590"/>
      <c r="P536" s="590"/>
      <c r="Q536" s="590"/>
      <c r="R536" s="590"/>
      <c r="S536" s="590"/>
      <c r="T536" s="590"/>
      <c r="U536" s="590"/>
      <c r="V536" s="590"/>
      <c r="W536" s="590"/>
      <c r="X536" s="590"/>
      <c r="Y536" s="590"/>
      <c r="Z536" s="590"/>
    </row>
    <row r="537" spans="1:26" ht="15.75" customHeight="1">
      <c r="A537" s="590"/>
      <c r="B537" s="590"/>
      <c r="C537" s="590"/>
      <c r="D537" s="590"/>
      <c r="E537" s="590"/>
      <c r="F537" s="590"/>
      <c r="G537" s="590"/>
      <c r="H537" s="590"/>
      <c r="I537" s="590"/>
      <c r="J537" s="590"/>
      <c r="K537" s="590"/>
      <c r="L537" s="590"/>
      <c r="M537" s="590"/>
      <c r="N537" s="590"/>
      <c r="O537" s="590"/>
      <c r="P537" s="590"/>
      <c r="Q537" s="590"/>
      <c r="R537" s="590"/>
      <c r="S537" s="590"/>
      <c r="T537" s="590"/>
      <c r="U537" s="590"/>
      <c r="V537" s="590"/>
      <c r="W537" s="590"/>
      <c r="X537" s="590"/>
      <c r="Y537" s="590"/>
      <c r="Z537" s="590"/>
    </row>
    <row r="538" spans="1:26" ht="15.75" customHeight="1">
      <c r="A538" s="590"/>
      <c r="B538" s="590"/>
      <c r="C538" s="590"/>
      <c r="D538" s="590"/>
      <c r="E538" s="590"/>
      <c r="F538" s="590"/>
      <c r="G538" s="590"/>
      <c r="H538" s="590"/>
      <c r="I538" s="590"/>
      <c r="J538" s="590"/>
      <c r="K538" s="590"/>
      <c r="L538" s="590"/>
      <c r="M538" s="590"/>
      <c r="N538" s="590"/>
      <c r="O538" s="590"/>
      <c r="P538" s="590"/>
      <c r="Q538" s="590"/>
      <c r="R538" s="590"/>
      <c r="S538" s="590"/>
      <c r="T538" s="590"/>
      <c r="U538" s="590"/>
      <c r="V538" s="590"/>
      <c r="W538" s="590"/>
      <c r="X538" s="590"/>
      <c r="Y538" s="590"/>
      <c r="Z538" s="590"/>
    </row>
    <row r="539" spans="1:26" ht="15.75" customHeight="1">
      <c r="A539" s="590"/>
      <c r="B539" s="590"/>
      <c r="C539" s="590"/>
      <c r="D539" s="590"/>
      <c r="E539" s="590"/>
      <c r="F539" s="590"/>
      <c r="G539" s="590"/>
      <c r="H539" s="590"/>
      <c r="I539" s="590"/>
      <c r="J539" s="590"/>
      <c r="K539" s="590"/>
      <c r="L539" s="590"/>
      <c r="M539" s="590"/>
      <c r="N539" s="590"/>
      <c r="O539" s="590"/>
      <c r="P539" s="590"/>
      <c r="Q539" s="590"/>
      <c r="R539" s="590"/>
      <c r="S539" s="590"/>
      <c r="T539" s="590"/>
      <c r="U539" s="590"/>
      <c r="V539" s="590"/>
      <c r="W539" s="590"/>
      <c r="X539" s="590"/>
      <c r="Y539" s="590"/>
      <c r="Z539" s="590"/>
    </row>
    <row r="540" spans="1:26" ht="15.75" customHeight="1">
      <c r="A540" s="590"/>
      <c r="B540" s="590"/>
      <c r="C540" s="590"/>
      <c r="D540" s="590"/>
      <c r="E540" s="590"/>
      <c r="F540" s="590"/>
      <c r="G540" s="590"/>
      <c r="H540" s="590"/>
      <c r="I540" s="590"/>
      <c r="J540" s="590"/>
      <c r="K540" s="590"/>
      <c r="L540" s="590"/>
      <c r="M540" s="590"/>
      <c r="N540" s="590"/>
      <c r="O540" s="590"/>
      <c r="P540" s="590"/>
      <c r="Q540" s="590"/>
      <c r="R540" s="590"/>
      <c r="S540" s="590"/>
      <c r="T540" s="590"/>
      <c r="U540" s="590"/>
      <c r="V540" s="590"/>
      <c r="W540" s="590"/>
      <c r="X540" s="590"/>
      <c r="Y540" s="590"/>
      <c r="Z540" s="590"/>
    </row>
    <row r="541" spans="1:26" ht="15.75" customHeight="1">
      <c r="A541" s="590"/>
      <c r="B541" s="590"/>
      <c r="C541" s="590"/>
      <c r="D541" s="590"/>
      <c r="E541" s="590"/>
      <c r="F541" s="590"/>
      <c r="G541" s="590"/>
      <c r="H541" s="590"/>
      <c r="I541" s="590"/>
      <c r="J541" s="590"/>
      <c r="K541" s="590"/>
      <c r="L541" s="590"/>
      <c r="M541" s="590"/>
      <c r="N541" s="590"/>
      <c r="O541" s="590"/>
      <c r="P541" s="590"/>
      <c r="Q541" s="590"/>
      <c r="R541" s="590"/>
      <c r="S541" s="590"/>
      <c r="T541" s="590"/>
      <c r="U541" s="590"/>
      <c r="V541" s="590"/>
      <c r="W541" s="590"/>
      <c r="X541" s="590"/>
      <c r="Y541" s="590"/>
      <c r="Z541" s="590"/>
    </row>
    <row r="542" spans="1:26" ht="15.75" customHeight="1">
      <c r="A542" s="590"/>
      <c r="B542" s="590"/>
      <c r="C542" s="590"/>
      <c r="D542" s="590"/>
      <c r="E542" s="590"/>
      <c r="F542" s="590"/>
      <c r="G542" s="590"/>
      <c r="H542" s="590"/>
      <c r="I542" s="590"/>
      <c r="J542" s="590"/>
      <c r="K542" s="590"/>
      <c r="L542" s="590"/>
      <c r="M542" s="590"/>
      <c r="N542" s="590"/>
      <c r="O542" s="590"/>
      <c r="P542" s="590"/>
      <c r="Q542" s="590"/>
      <c r="R542" s="590"/>
      <c r="S542" s="590"/>
      <c r="T542" s="590"/>
      <c r="U542" s="590"/>
      <c r="V542" s="590"/>
      <c r="W542" s="590"/>
      <c r="X542" s="590"/>
      <c r="Y542" s="590"/>
      <c r="Z542" s="590"/>
    </row>
    <row r="543" spans="1:26" ht="15.75" customHeight="1">
      <c r="A543" s="590"/>
      <c r="B543" s="590"/>
      <c r="C543" s="590"/>
      <c r="D543" s="590"/>
      <c r="E543" s="590"/>
      <c r="F543" s="590"/>
      <c r="G543" s="590"/>
      <c r="H543" s="590"/>
      <c r="I543" s="590"/>
      <c r="J543" s="590"/>
      <c r="K543" s="590"/>
      <c r="L543" s="590"/>
      <c r="M543" s="590"/>
      <c r="N543" s="590"/>
      <c r="O543" s="590"/>
      <c r="P543" s="590"/>
      <c r="Q543" s="590"/>
      <c r="R543" s="590"/>
      <c r="S543" s="590"/>
      <c r="T543" s="590"/>
      <c r="U543" s="590"/>
      <c r="V543" s="590"/>
      <c r="W543" s="590"/>
      <c r="X543" s="590"/>
      <c r="Y543" s="590"/>
      <c r="Z543" s="590"/>
    </row>
    <row r="544" spans="1:26" ht="15.75" customHeight="1">
      <c r="A544" s="590"/>
      <c r="B544" s="590"/>
      <c r="C544" s="590"/>
      <c r="D544" s="590"/>
      <c r="E544" s="590"/>
      <c r="F544" s="590"/>
      <c r="G544" s="590"/>
      <c r="H544" s="590"/>
      <c r="I544" s="590"/>
      <c r="J544" s="590"/>
      <c r="K544" s="590"/>
      <c r="L544" s="590"/>
      <c r="M544" s="590"/>
      <c r="N544" s="590"/>
      <c r="O544" s="590"/>
      <c r="P544" s="590"/>
      <c r="Q544" s="590"/>
      <c r="R544" s="590"/>
      <c r="S544" s="590"/>
      <c r="T544" s="590"/>
      <c r="U544" s="590"/>
      <c r="V544" s="590"/>
      <c r="W544" s="590"/>
      <c r="X544" s="590"/>
      <c r="Y544" s="590"/>
      <c r="Z544" s="590"/>
    </row>
    <row r="545" spans="1:26" ht="15.75" customHeight="1">
      <c r="A545" s="590"/>
      <c r="B545" s="590"/>
      <c r="C545" s="590"/>
      <c r="D545" s="590"/>
      <c r="E545" s="590"/>
      <c r="F545" s="590"/>
      <c r="G545" s="590"/>
      <c r="H545" s="590"/>
      <c r="I545" s="590"/>
      <c r="J545" s="590"/>
      <c r="K545" s="590"/>
      <c r="L545" s="590"/>
      <c r="M545" s="590"/>
      <c r="N545" s="590"/>
      <c r="O545" s="590"/>
      <c r="P545" s="590"/>
      <c r="Q545" s="590"/>
      <c r="R545" s="590"/>
      <c r="S545" s="590"/>
      <c r="T545" s="590"/>
      <c r="U545" s="590"/>
      <c r="V545" s="590"/>
      <c r="W545" s="590"/>
      <c r="X545" s="590"/>
      <c r="Y545" s="590"/>
      <c r="Z545" s="590"/>
    </row>
    <row r="546" spans="1:26" ht="15.75" customHeight="1">
      <c r="A546" s="590"/>
      <c r="B546" s="590"/>
      <c r="C546" s="590"/>
      <c r="D546" s="590"/>
      <c r="E546" s="590"/>
      <c r="F546" s="590"/>
      <c r="G546" s="590"/>
      <c r="H546" s="590"/>
      <c r="I546" s="590"/>
      <c r="J546" s="590"/>
      <c r="K546" s="590"/>
      <c r="L546" s="590"/>
      <c r="M546" s="590"/>
      <c r="N546" s="590"/>
      <c r="O546" s="590"/>
      <c r="P546" s="590"/>
      <c r="Q546" s="590"/>
      <c r="R546" s="590"/>
      <c r="S546" s="590"/>
      <c r="T546" s="590"/>
      <c r="U546" s="590"/>
      <c r="V546" s="590"/>
      <c r="W546" s="590"/>
      <c r="X546" s="590"/>
      <c r="Y546" s="590"/>
      <c r="Z546" s="590"/>
    </row>
    <row r="547" spans="1:26" ht="15.75" customHeight="1">
      <c r="A547" s="590"/>
      <c r="B547" s="590"/>
      <c r="C547" s="590"/>
      <c r="D547" s="590"/>
      <c r="E547" s="590"/>
      <c r="F547" s="590"/>
      <c r="G547" s="590"/>
      <c r="H547" s="590"/>
      <c r="I547" s="590"/>
      <c r="J547" s="590"/>
      <c r="K547" s="590"/>
      <c r="L547" s="590"/>
      <c r="M547" s="590"/>
      <c r="N547" s="590"/>
      <c r="O547" s="590"/>
      <c r="P547" s="590"/>
      <c r="Q547" s="590"/>
      <c r="R547" s="590"/>
      <c r="S547" s="590"/>
      <c r="T547" s="590"/>
      <c r="U547" s="590"/>
      <c r="V547" s="590"/>
      <c r="W547" s="590"/>
      <c r="X547" s="590"/>
      <c r="Y547" s="590"/>
      <c r="Z547" s="590"/>
    </row>
    <row r="548" spans="1:26" ht="15.75" customHeight="1">
      <c r="A548" s="590"/>
      <c r="B548" s="590"/>
      <c r="C548" s="590"/>
      <c r="D548" s="590"/>
      <c r="E548" s="590"/>
      <c r="F548" s="590"/>
      <c r="G548" s="590"/>
      <c r="H548" s="590"/>
      <c r="I548" s="590"/>
      <c r="J548" s="590"/>
      <c r="K548" s="590"/>
      <c r="L548" s="590"/>
      <c r="M548" s="590"/>
      <c r="N548" s="590"/>
      <c r="O548" s="590"/>
      <c r="P548" s="590"/>
      <c r="Q548" s="590"/>
      <c r="R548" s="590"/>
      <c r="S548" s="590"/>
      <c r="T548" s="590"/>
      <c r="U548" s="590"/>
      <c r="V548" s="590"/>
      <c r="W548" s="590"/>
      <c r="X548" s="590"/>
      <c r="Y548" s="590"/>
      <c r="Z548" s="590"/>
    </row>
    <row r="549" spans="1:26" ht="15.75" customHeight="1">
      <c r="A549" s="590"/>
      <c r="B549" s="590"/>
      <c r="C549" s="590"/>
      <c r="D549" s="590"/>
      <c r="E549" s="590"/>
      <c r="F549" s="590"/>
      <c r="G549" s="590"/>
      <c r="H549" s="590"/>
      <c r="I549" s="590"/>
      <c r="J549" s="590"/>
      <c r="K549" s="590"/>
      <c r="L549" s="590"/>
      <c r="M549" s="590"/>
      <c r="N549" s="590"/>
      <c r="O549" s="590"/>
      <c r="P549" s="590"/>
      <c r="Q549" s="590"/>
      <c r="R549" s="590"/>
      <c r="S549" s="590"/>
      <c r="T549" s="590"/>
      <c r="U549" s="590"/>
      <c r="V549" s="590"/>
      <c r="W549" s="590"/>
      <c r="X549" s="590"/>
      <c r="Y549" s="590"/>
      <c r="Z549" s="590"/>
    </row>
    <row r="550" spans="1:26" ht="15.75" customHeight="1">
      <c r="A550" s="590"/>
      <c r="B550" s="590"/>
      <c r="C550" s="590"/>
      <c r="D550" s="590"/>
      <c r="E550" s="590"/>
      <c r="F550" s="590"/>
      <c r="G550" s="590"/>
      <c r="H550" s="590"/>
      <c r="I550" s="590"/>
      <c r="J550" s="590"/>
      <c r="K550" s="590"/>
      <c r="L550" s="590"/>
      <c r="M550" s="590"/>
      <c r="N550" s="590"/>
      <c r="O550" s="590"/>
      <c r="P550" s="590"/>
      <c r="Q550" s="590"/>
      <c r="R550" s="590"/>
      <c r="S550" s="590"/>
      <c r="T550" s="590"/>
      <c r="U550" s="590"/>
      <c r="V550" s="590"/>
      <c r="W550" s="590"/>
      <c r="X550" s="590"/>
      <c r="Y550" s="590"/>
      <c r="Z550" s="590"/>
    </row>
    <row r="551" spans="1:26" ht="15.75" customHeight="1">
      <c r="A551" s="590"/>
      <c r="B551" s="590"/>
      <c r="C551" s="590"/>
      <c r="D551" s="590"/>
      <c r="E551" s="590"/>
      <c r="F551" s="590"/>
      <c r="G551" s="590"/>
      <c r="H551" s="590"/>
      <c r="I551" s="590"/>
      <c r="J551" s="590"/>
      <c r="K551" s="590"/>
      <c r="L551" s="590"/>
      <c r="M551" s="590"/>
      <c r="N551" s="590"/>
      <c r="O551" s="590"/>
      <c r="P551" s="590"/>
      <c r="Q551" s="590"/>
      <c r="R551" s="590"/>
      <c r="S551" s="590"/>
      <c r="T551" s="590"/>
      <c r="U551" s="590"/>
      <c r="V551" s="590"/>
      <c r="W551" s="590"/>
      <c r="X551" s="590"/>
      <c r="Y551" s="590"/>
      <c r="Z551" s="590"/>
    </row>
    <row r="552" spans="1:26" ht="15.75" customHeight="1">
      <c r="A552" s="590"/>
      <c r="B552" s="590"/>
      <c r="C552" s="590"/>
      <c r="D552" s="590"/>
      <c r="E552" s="590"/>
      <c r="F552" s="590"/>
      <c r="G552" s="590"/>
      <c r="H552" s="590"/>
      <c r="I552" s="590"/>
      <c r="J552" s="590"/>
      <c r="K552" s="590"/>
      <c r="L552" s="590"/>
      <c r="M552" s="590"/>
      <c r="N552" s="590"/>
      <c r="O552" s="590"/>
      <c r="P552" s="590"/>
      <c r="Q552" s="590"/>
      <c r="R552" s="590"/>
      <c r="S552" s="590"/>
      <c r="T552" s="590"/>
      <c r="U552" s="590"/>
      <c r="V552" s="590"/>
      <c r="W552" s="590"/>
      <c r="X552" s="590"/>
      <c r="Y552" s="590"/>
      <c r="Z552" s="590"/>
    </row>
    <row r="553" spans="1:26" ht="15.75" customHeight="1">
      <c r="A553" s="590"/>
      <c r="B553" s="590"/>
      <c r="C553" s="590"/>
      <c r="D553" s="590"/>
      <c r="E553" s="590"/>
      <c r="F553" s="590"/>
      <c r="G553" s="590"/>
      <c r="H553" s="590"/>
      <c r="I553" s="590"/>
      <c r="J553" s="590"/>
      <c r="K553" s="590"/>
      <c r="L553" s="590"/>
      <c r="M553" s="590"/>
      <c r="N553" s="590"/>
      <c r="O553" s="590"/>
      <c r="P553" s="590"/>
      <c r="Q553" s="590"/>
      <c r="R553" s="590"/>
      <c r="S553" s="590"/>
      <c r="T553" s="590"/>
      <c r="U553" s="590"/>
      <c r="V553" s="590"/>
      <c r="W553" s="590"/>
      <c r="X553" s="590"/>
      <c r="Y553" s="590"/>
      <c r="Z553" s="590"/>
    </row>
    <row r="554" spans="1:26" ht="15.75" customHeight="1">
      <c r="A554" s="590"/>
      <c r="B554" s="590"/>
      <c r="C554" s="590"/>
      <c r="D554" s="590"/>
      <c r="E554" s="590"/>
      <c r="F554" s="590"/>
      <c r="G554" s="590"/>
      <c r="H554" s="590"/>
      <c r="I554" s="590"/>
      <c r="J554" s="590"/>
      <c r="K554" s="590"/>
      <c r="L554" s="590"/>
      <c r="M554" s="590"/>
      <c r="N554" s="590"/>
      <c r="O554" s="590"/>
      <c r="P554" s="590"/>
      <c r="Q554" s="590"/>
      <c r="R554" s="590"/>
      <c r="S554" s="590"/>
      <c r="T554" s="590"/>
      <c r="U554" s="590"/>
      <c r="V554" s="590"/>
      <c r="W554" s="590"/>
      <c r="X554" s="590"/>
      <c r="Y554" s="590"/>
      <c r="Z554" s="590"/>
    </row>
    <row r="555" spans="1:26" ht="15.75" customHeight="1">
      <c r="A555" s="590"/>
      <c r="B555" s="590"/>
      <c r="C555" s="590"/>
      <c r="D555" s="590"/>
      <c r="E555" s="590"/>
      <c r="F555" s="590"/>
      <c r="G555" s="590"/>
      <c r="H555" s="590"/>
      <c r="I555" s="590"/>
      <c r="J555" s="590"/>
      <c r="K555" s="590"/>
      <c r="L555" s="590"/>
      <c r="M555" s="590"/>
      <c r="N555" s="590"/>
      <c r="O555" s="590"/>
      <c r="P555" s="590"/>
      <c r="Q555" s="590"/>
      <c r="R555" s="590"/>
      <c r="S555" s="590"/>
      <c r="T555" s="590"/>
      <c r="U555" s="590"/>
      <c r="V555" s="590"/>
      <c r="W555" s="590"/>
      <c r="X555" s="590"/>
      <c r="Y555" s="590"/>
      <c r="Z555" s="590"/>
    </row>
    <row r="556" spans="1:26" ht="15.75" customHeight="1">
      <c r="A556" s="590"/>
      <c r="B556" s="590"/>
      <c r="C556" s="590"/>
      <c r="D556" s="590"/>
      <c r="E556" s="590"/>
      <c r="F556" s="590"/>
      <c r="G556" s="590"/>
      <c r="H556" s="590"/>
      <c r="I556" s="590"/>
      <c r="J556" s="590"/>
      <c r="K556" s="590"/>
      <c r="L556" s="590"/>
      <c r="M556" s="590"/>
      <c r="N556" s="590"/>
      <c r="O556" s="590"/>
      <c r="P556" s="590"/>
      <c r="Q556" s="590"/>
      <c r="R556" s="590"/>
      <c r="S556" s="590"/>
      <c r="T556" s="590"/>
      <c r="U556" s="590"/>
      <c r="V556" s="590"/>
      <c r="W556" s="590"/>
      <c r="X556" s="590"/>
      <c r="Y556" s="590"/>
      <c r="Z556" s="590"/>
    </row>
    <row r="557" spans="1:26" ht="15.75" customHeight="1">
      <c r="A557" s="590"/>
      <c r="B557" s="590"/>
      <c r="C557" s="590"/>
      <c r="D557" s="590"/>
      <c r="E557" s="590"/>
      <c r="F557" s="590"/>
      <c r="G557" s="590"/>
      <c r="H557" s="590"/>
      <c r="I557" s="590"/>
      <c r="J557" s="590"/>
      <c r="K557" s="590"/>
      <c r="L557" s="590"/>
      <c r="M557" s="590"/>
      <c r="N557" s="590"/>
      <c r="O557" s="590"/>
      <c r="P557" s="590"/>
      <c r="Q557" s="590"/>
      <c r="R557" s="590"/>
      <c r="S557" s="590"/>
      <c r="T557" s="590"/>
      <c r="U557" s="590"/>
      <c r="V557" s="590"/>
      <c r="W557" s="590"/>
      <c r="X557" s="590"/>
      <c r="Y557" s="590"/>
      <c r="Z557" s="590"/>
    </row>
    <row r="558" spans="1:26" ht="15.75" customHeight="1">
      <c r="A558" s="590"/>
      <c r="B558" s="590"/>
      <c r="C558" s="590"/>
      <c r="D558" s="590"/>
      <c r="E558" s="590"/>
      <c r="F558" s="590"/>
      <c r="G558" s="590"/>
      <c r="H558" s="590"/>
      <c r="I558" s="590"/>
      <c r="J558" s="590"/>
      <c r="K558" s="590"/>
      <c r="L558" s="590"/>
      <c r="M558" s="590"/>
      <c r="N558" s="590"/>
      <c r="O558" s="590"/>
      <c r="P558" s="590"/>
      <c r="Q558" s="590"/>
      <c r="R558" s="590"/>
      <c r="S558" s="590"/>
      <c r="T558" s="590"/>
      <c r="U558" s="590"/>
      <c r="V558" s="590"/>
      <c r="W558" s="590"/>
      <c r="X558" s="590"/>
      <c r="Y558" s="590"/>
      <c r="Z558" s="590"/>
    </row>
    <row r="559" spans="1:26" ht="15.75" customHeight="1">
      <c r="A559" s="590"/>
      <c r="B559" s="590"/>
      <c r="C559" s="590"/>
      <c r="D559" s="590"/>
      <c r="E559" s="590"/>
      <c r="F559" s="590"/>
      <c r="G559" s="590"/>
      <c r="H559" s="590"/>
      <c r="I559" s="590"/>
      <c r="J559" s="590"/>
      <c r="K559" s="590"/>
      <c r="L559" s="590"/>
      <c r="M559" s="590"/>
      <c r="N559" s="590"/>
      <c r="O559" s="590"/>
      <c r="P559" s="590"/>
      <c r="Q559" s="590"/>
      <c r="R559" s="590"/>
      <c r="S559" s="590"/>
      <c r="T559" s="590"/>
      <c r="U559" s="590"/>
      <c r="V559" s="590"/>
      <c r="W559" s="590"/>
      <c r="X559" s="590"/>
      <c r="Y559" s="590"/>
      <c r="Z559" s="590"/>
    </row>
    <row r="560" spans="1:26" ht="15.75" customHeight="1">
      <c r="A560" s="590"/>
      <c r="B560" s="590"/>
      <c r="C560" s="590"/>
      <c r="D560" s="590"/>
      <c r="E560" s="590"/>
      <c r="F560" s="590"/>
      <c r="G560" s="590"/>
      <c r="H560" s="590"/>
      <c r="I560" s="590"/>
      <c r="J560" s="590"/>
      <c r="K560" s="590"/>
      <c r="L560" s="590"/>
      <c r="M560" s="590"/>
      <c r="N560" s="590"/>
      <c r="O560" s="590"/>
      <c r="P560" s="590"/>
      <c r="Q560" s="590"/>
      <c r="R560" s="590"/>
      <c r="S560" s="590"/>
      <c r="T560" s="590"/>
      <c r="U560" s="590"/>
      <c r="V560" s="590"/>
      <c r="W560" s="590"/>
      <c r="X560" s="590"/>
      <c r="Y560" s="590"/>
      <c r="Z560" s="590"/>
    </row>
    <row r="561" spans="1:26" ht="15.75" customHeight="1">
      <c r="A561" s="590"/>
      <c r="B561" s="590"/>
      <c r="C561" s="590"/>
      <c r="D561" s="590"/>
      <c r="E561" s="590"/>
      <c r="F561" s="590"/>
      <c r="G561" s="590"/>
      <c r="H561" s="590"/>
      <c r="I561" s="590"/>
      <c r="J561" s="590"/>
      <c r="K561" s="590"/>
      <c r="L561" s="590"/>
      <c r="M561" s="590"/>
      <c r="N561" s="590"/>
      <c r="O561" s="590"/>
      <c r="P561" s="590"/>
      <c r="Q561" s="590"/>
      <c r="R561" s="590"/>
      <c r="S561" s="590"/>
      <c r="T561" s="590"/>
      <c r="U561" s="590"/>
      <c r="V561" s="590"/>
      <c r="W561" s="590"/>
      <c r="X561" s="590"/>
      <c r="Y561" s="590"/>
      <c r="Z561" s="590"/>
    </row>
    <row r="562" spans="1:26" ht="15.75" customHeight="1">
      <c r="A562" s="590"/>
      <c r="B562" s="590"/>
      <c r="C562" s="590"/>
      <c r="D562" s="590"/>
      <c r="E562" s="590"/>
      <c r="F562" s="590"/>
      <c r="G562" s="590"/>
      <c r="H562" s="590"/>
      <c r="I562" s="590"/>
      <c r="J562" s="590"/>
      <c r="K562" s="590"/>
      <c r="L562" s="590"/>
      <c r="M562" s="590"/>
      <c r="N562" s="590"/>
      <c r="O562" s="590"/>
      <c r="P562" s="590"/>
      <c r="Q562" s="590"/>
      <c r="R562" s="590"/>
      <c r="S562" s="590"/>
      <c r="T562" s="590"/>
      <c r="U562" s="590"/>
      <c r="V562" s="590"/>
      <c r="W562" s="590"/>
      <c r="X562" s="590"/>
      <c r="Y562" s="590"/>
      <c r="Z562" s="590"/>
    </row>
    <row r="563" spans="1:26" ht="15.75" customHeight="1">
      <c r="A563" s="590"/>
      <c r="B563" s="590"/>
      <c r="C563" s="590"/>
      <c r="D563" s="590"/>
      <c r="E563" s="590"/>
      <c r="F563" s="590"/>
      <c r="G563" s="590"/>
      <c r="H563" s="590"/>
      <c r="I563" s="590"/>
      <c r="J563" s="590"/>
      <c r="K563" s="590"/>
      <c r="L563" s="590"/>
      <c r="M563" s="590"/>
      <c r="N563" s="590"/>
      <c r="O563" s="590"/>
      <c r="P563" s="590"/>
      <c r="Q563" s="590"/>
      <c r="R563" s="590"/>
      <c r="S563" s="590"/>
      <c r="T563" s="590"/>
      <c r="U563" s="590"/>
      <c r="V563" s="590"/>
      <c r="W563" s="590"/>
      <c r="X563" s="590"/>
      <c r="Y563" s="590"/>
      <c r="Z563" s="590"/>
    </row>
    <row r="564" spans="1:26" ht="15.75" customHeight="1">
      <c r="A564" s="590"/>
      <c r="B564" s="590"/>
      <c r="C564" s="590"/>
      <c r="D564" s="590"/>
      <c r="E564" s="590"/>
      <c r="F564" s="590"/>
      <c r="G564" s="590"/>
      <c r="H564" s="590"/>
      <c r="I564" s="590"/>
      <c r="J564" s="590"/>
      <c r="K564" s="590"/>
      <c r="L564" s="590"/>
      <c r="M564" s="590"/>
      <c r="N564" s="590"/>
      <c r="O564" s="590"/>
      <c r="P564" s="590"/>
      <c r="Q564" s="590"/>
      <c r="R564" s="590"/>
      <c r="S564" s="590"/>
      <c r="T564" s="590"/>
      <c r="U564" s="590"/>
      <c r="V564" s="590"/>
      <c r="W564" s="590"/>
      <c r="X564" s="590"/>
      <c r="Y564" s="590"/>
      <c r="Z564" s="590"/>
    </row>
    <row r="565" spans="1:26" ht="15.75" customHeight="1">
      <c r="A565" s="590"/>
      <c r="B565" s="590"/>
      <c r="C565" s="590"/>
      <c r="D565" s="590"/>
      <c r="E565" s="590"/>
      <c r="F565" s="590"/>
      <c r="G565" s="590"/>
      <c r="H565" s="590"/>
      <c r="I565" s="590"/>
      <c r="J565" s="590"/>
      <c r="K565" s="590"/>
      <c r="L565" s="590"/>
      <c r="M565" s="590"/>
      <c r="N565" s="590"/>
      <c r="O565" s="590"/>
      <c r="P565" s="590"/>
      <c r="Q565" s="590"/>
      <c r="R565" s="590"/>
      <c r="S565" s="590"/>
      <c r="T565" s="590"/>
      <c r="U565" s="590"/>
      <c r="V565" s="590"/>
      <c r="W565" s="590"/>
      <c r="X565" s="590"/>
      <c r="Y565" s="590"/>
      <c r="Z565" s="590"/>
    </row>
    <row r="566" spans="1:26" ht="15.75" customHeight="1">
      <c r="A566" s="590"/>
      <c r="B566" s="590"/>
      <c r="C566" s="590"/>
      <c r="D566" s="590"/>
      <c r="E566" s="590"/>
      <c r="F566" s="590"/>
      <c r="G566" s="590"/>
      <c r="H566" s="590"/>
      <c r="I566" s="590"/>
      <c r="J566" s="590"/>
      <c r="K566" s="590"/>
      <c r="L566" s="590"/>
      <c r="M566" s="590"/>
      <c r="N566" s="590"/>
      <c r="O566" s="590"/>
      <c r="P566" s="590"/>
      <c r="Q566" s="590"/>
      <c r="R566" s="590"/>
      <c r="S566" s="590"/>
      <c r="T566" s="590"/>
      <c r="U566" s="590"/>
      <c r="V566" s="590"/>
      <c r="W566" s="590"/>
      <c r="X566" s="590"/>
      <c r="Y566" s="590"/>
      <c r="Z566" s="590"/>
    </row>
    <row r="567" spans="1:26" ht="15.75" customHeight="1">
      <c r="A567" s="590"/>
      <c r="B567" s="590"/>
      <c r="C567" s="590"/>
      <c r="D567" s="590"/>
      <c r="E567" s="590"/>
      <c r="F567" s="590"/>
      <c r="G567" s="590"/>
      <c r="H567" s="590"/>
      <c r="I567" s="590"/>
      <c r="J567" s="590"/>
      <c r="K567" s="590"/>
      <c r="L567" s="590"/>
      <c r="M567" s="590"/>
      <c r="N567" s="590"/>
      <c r="O567" s="590"/>
      <c r="P567" s="590"/>
      <c r="Q567" s="590"/>
      <c r="R567" s="590"/>
      <c r="S567" s="590"/>
      <c r="T567" s="590"/>
      <c r="U567" s="590"/>
      <c r="V567" s="590"/>
      <c r="W567" s="590"/>
      <c r="X567" s="590"/>
      <c r="Y567" s="590"/>
      <c r="Z567" s="590"/>
    </row>
    <row r="568" spans="1:26" ht="15.75" customHeight="1">
      <c r="A568" s="590"/>
      <c r="B568" s="590"/>
      <c r="C568" s="590"/>
      <c r="D568" s="590"/>
      <c r="E568" s="590"/>
      <c r="F568" s="590"/>
      <c r="G568" s="590"/>
      <c r="H568" s="590"/>
      <c r="I568" s="590"/>
      <c r="J568" s="590"/>
      <c r="K568" s="590"/>
      <c r="L568" s="590"/>
      <c r="M568" s="590"/>
      <c r="N568" s="590"/>
      <c r="O568" s="590"/>
      <c r="P568" s="590"/>
      <c r="Q568" s="590"/>
      <c r="R568" s="590"/>
      <c r="S568" s="590"/>
      <c r="T568" s="590"/>
      <c r="U568" s="590"/>
      <c r="V568" s="590"/>
      <c r="W568" s="590"/>
      <c r="X568" s="590"/>
      <c r="Y568" s="590"/>
      <c r="Z568" s="590"/>
    </row>
    <row r="569" spans="1:26" ht="15.75" customHeight="1">
      <c r="A569" s="590"/>
      <c r="B569" s="590"/>
      <c r="C569" s="590"/>
      <c r="D569" s="590"/>
      <c r="E569" s="590"/>
      <c r="F569" s="590"/>
      <c r="G569" s="590"/>
      <c r="H569" s="590"/>
      <c r="I569" s="590"/>
      <c r="J569" s="590"/>
      <c r="K569" s="590"/>
      <c r="L569" s="590"/>
      <c r="M569" s="590"/>
      <c r="N569" s="590"/>
      <c r="O569" s="590"/>
      <c r="P569" s="590"/>
      <c r="Q569" s="590"/>
      <c r="R569" s="590"/>
      <c r="S569" s="590"/>
      <c r="T569" s="590"/>
      <c r="U569" s="590"/>
      <c r="V569" s="590"/>
      <c r="W569" s="590"/>
      <c r="X569" s="590"/>
      <c r="Y569" s="590"/>
      <c r="Z569" s="590"/>
    </row>
    <row r="570" spans="1:26" ht="15.75" customHeight="1">
      <c r="A570" s="590"/>
      <c r="B570" s="590"/>
      <c r="C570" s="590"/>
      <c r="D570" s="590"/>
      <c r="E570" s="590"/>
      <c r="F570" s="590"/>
      <c r="G570" s="590"/>
      <c r="H570" s="590"/>
      <c r="I570" s="590"/>
      <c r="J570" s="590"/>
      <c r="K570" s="590"/>
      <c r="L570" s="590"/>
      <c r="M570" s="590"/>
      <c r="N570" s="590"/>
      <c r="O570" s="590"/>
      <c r="P570" s="590"/>
      <c r="Q570" s="590"/>
      <c r="R570" s="590"/>
      <c r="S570" s="590"/>
      <c r="T570" s="590"/>
      <c r="U570" s="590"/>
      <c r="V570" s="590"/>
      <c r="W570" s="590"/>
      <c r="X570" s="590"/>
      <c r="Y570" s="590"/>
      <c r="Z570" s="590"/>
    </row>
    <row r="571" spans="1:26" ht="15.75" customHeight="1">
      <c r="A571" s="590"/>
      <c r="B571" s="590"/>
      <c r="C571" s="590"/>
      <c r="D571" s="590"/>
      <c r="E571" s="590"/>
      <c r="F571" s="590"/>
      <c r="G571" s="590"/>
      <c r="H571" s="590"/>
      <c r="I571" s="590"/>
      <c r="J571" s="590"/>
      <c r="K571" s="590"/>
      <c r="L571" s="590"/>
      <c r="M571" s="590"/>
      <c r="N571" s="590"/>
      <c r="O571" s="590"/>
      <c r="P571" s="590"/>
      <c r="Q571" s="590"/>
      <c r="R571" s="590"/>
      <c r="S571" s="590"/>
      <c r="T571" s="590"/>
      <c r="U571" s="590"/>
      <c r="V571" s="590"/>
      <c r="W571" s="590"/>
      <c r="X571" s="590"/>
      <c r="Y571" s="590"/>
      <c r="Z571" s="590"/>
    </row>
    <row r="572" spans="1:26" ht="15.75" customHeight="1">
      <c r="A572" s="590"/>
      <c r="B572" s="590"/>
      <c r="C572" s="590"/>
      <c r="D572" s="590"/>
      <c r="E572" s="590"/>
      <c r="F572" s="590"/>
      <c r="G572" s="590"/>
      <c r="H572" s="590"/>
      <c r="I572" s="590"/>
      <c r="J572" s="590"/>
      <c r="K572" s="590"/>
      <c r="L572" s="590"/>
      <c r="M572" s="590"/>
      <c r="N572" s="590"/>
      <c r="O572" s="590"/>
      <c r="P572" s="590"/>
      <c r="Q572" s="590"/>
      <c r="R572" s="590"/>
      <c r="S572" s="590"/>
      <c r="T572" s="590"/>
      <c r="U572" s="590"/>
      <c r="V572" s="590"/>
      <c r="W572" s="590"/>
      <c r="X572" s="590"/>
      <c r="Y572" s="590"/>
      <c r="Z572" s="590"/>
    </row>
    <row r="573" spans="1:26" ht="15.75" customHeight="1">
      <c r="A573" s="590"/>
      <c r="B573" s="590"/>
      <c r="C573" s="590"/>
      <c r="D573" s="590"/>
      <c r="E573" s="590"/>
      <c r="F573" s="590"/>
      <c r="G573" s="590"/>
      <c r="H573" s="590"/>
      <c r="I573" s="590"/>
      <c r="J573" s="590"/>
      <c r="K573" s="590"/>
      <c r="L573" s="590"/>
      <c r="M573" s="590"/>
      <c r="N573" s="590"/>
      <c r="O573" s="590"/>
      <c r="P573" s="590"/>
      <c r="Q573" s="590"/>
      <c r="R573" s="590"/>
      <c r="S573" s="590"/>
      <c r="T573" s="590"/>
      <c r="U573" s="590"/>
      <c r="V573" s="590"/>
      <c r="W573" s="590"/>
      <c r="X573" s="590"/>
      <c r="Y573" s="590"/>
      <c r="Z573" s="590"/>
    </row>
    <row r="574" spans="1:26" ht="15.75" customHeight="1">
      <c r="A574" s="590"/>
      <c r="B574" s="590"/>
      <c r="C574" s="590"/>
      <c r="D574" s="590"/>
      <c r="E574" s="590"/>
      <c r="F574" s="590"/>
      <c r="G574" s="590"/>
      <c r="H574" s="590"/>
      <c r="I574" s="590"/>
      <c r="J574" s="590"/>
      <c r="K574" s="590"/>
      <c r="L574" s="590"/>
      <c r="M574" s="590"/>
      <c r="N574" s="590"/>
      <c r="O574" s="590"/>
      <c r="P574" s="590"/>
      <c r="Q574" s="590"/>
      <c r="R574" s="590"/>
      <c r="S574" s="590"/>
      <c r="T574" s="590"/>
      <c r="U574" s="590"/>
      <c r="V574" s="590"/>
      <c r="W574" s="590"/>
      <c r="X574" s="590"/>
      <c r="Y574" s="590"/>
      <c r="Z574" s="590"/>
    </row>
    <row r="575" spans="1:26" ht="15.75" customHeight="1">
      <c r="A575" s="590"/>
      <c r="B575" s="590"/>
      <c r="C575" s="590"/>
      <c r="D575" s="590"/>
      <c r="E575" s="590"/>
      <c r="F575" s="590"/>
      <c r="G575" s="590"/>
      <c r="H575" s="590"/>
      <c r="I575" s="590"/>
      <c r="J575" s="590"/>
      <c r="K575" s="590"/>
      <c r="L575" s="590"/>
      <c r="M575" s="590"/>
      <c r="N575" s="590"/>
      <c r="O575" s="590"/>
      <c r="P575" s="590"/>
      <c r="Q575" s="590"/>
      <c r="R575" s="590"/>
      <c r="S575" s="590"/>
      <c r="T575" s="590"/>
      <c r="U575" s="590"/>
      <c r="V575" s="590"/>
      <c r="W575" s="590"/>
      <c r="X575" s="590"/>
      <c r="Y575" s="590"/>
      <c r="Z575" s="590"/>
    </row>
    <row r="576" spans="1:26" ht="15.75" customHeight="1">
      <c r="A576" s="590"/>
      <c r="B576" s="590"/>
      <c r="C576" s="590"/>
      <c r="D576" s="590"/>
      <c r="E576" s="590"/>
      <c r="F576" s="590"/>
      <c r="G576" s="590"/>
      <c r="H576" s="590"/>
      <c r="I576" s="590"/>
      <c r="J576" s="590"/>
      <c r="K576" s="590"/>
      <c r="L576" s="590"/>
      <c r="M576" s="590"/>
      <c r="N576" s="590"/>
      <c r="O576" s="590"/>
      <c r="P576" s="590"/>
      <c r="Q576" s="590"/>
      <c r="R576" s="590"/>
      <c r="S576" s="590"/>
      <c r="T576" s="590"/>
      <c r="U576" s="590"/>
      <c r="V576" s="590"/>
      <c r="W576" s="590"/>
      <c r="X576" s="590"/>
      <c r="Y576" s="590"/>
      <c r="Z576" s="590"/>
    </row>
    <row r="577" spans="1:26" ht="15.75" customHeight="1">
      <c r="A577" s="590"/>
      <c r="B577" s="590"/>
      <c r="C577" s="590"/>
      <c r="D577" s="590"/>
      <c r="E577" s="590"/>
      <c r="F577" s="590"/>
      <c r="G577" s="590"/>
      <c r="H577" s="590"/>
      <c r="I577" s="590"/>
      <c r="J577" s="590"/>
      <c r="K577" s="590"/>
      <c r="L577" s="590"/>
      <c r="M577" s="590"/>
      <c r="N577" s="590"/>
      <c r="O577" s="590"/>
      <c r="P577" s="590"/>
      <c r="Q577" s="590"/>
      <c r="R577" s="590"/>
      <c r="S577" s="590"/>
      <c r="T577" s="590"/>
      <c r="U577" s="590"/>
      <c r="V577" s="590"/>
      <c r="W577" s="590"/>
      <c r="X577" s="590"/>
      <c r="Y577" s="590"/>
      <c r="Z577" s="590"/>
    </row>
    <row r="578" spans="1:26" ht="15.75" customHeight="1">
      <c r="A578" s="590"/>
      <c r="B578" s="590"/>
      <c r="C578" s="590"/>
      <c r="D578" s="590"/>
      <c r="E578" s="590"/>
      <c r="F578" s="590"/>
      <c r="G578" s="590"/>
      <c r="H578" s="590"/>
      <c r="I578" s="590"/>
      <c r="J578" s="590"/>
      <c r="K578" s="590"/>
      <c r="L578" s="590"/>
      <c r="M578" s="590"/>
      <c r="N578" s="590"/>
      <c r="O578" s="590"/>
      <c r="P578" s="590"/>
      <c r="Q578" s="590"/>
      <c r="R578" s="590"/>
      <c r="S578" s="590"/>
      <c r="T578" s="590"/>
      <c r="U578" s="590"/>
      <c r="V578" s="590"/>
      <c r="W578" s="590"/>
      <c r="X578" s="590"/>
      <c r="Y578" s="590"/>
      <c r="Z578" s="590"/>
    </row>
    <row r="579" spans="1:26" ht="15.75" customHeight="1">
      <c r="A579" s="590"/>
      <c r="B579" s="590"/>
      <c r="C579" s="590"/>
      <c r="D579" s="590"/>
      <c r="E579" s="590"/>
      <c r="F579" s="590"/>
      <c r="G579" s="590"/>
      <c r="H579" s="590"/>
      <c r="I579" s="590"/>
      <c r="J579" s="590"/>
      <c r="K579" s="590"/>
      <c r="L579" s="590"/>
      <c r="M579" s="590"/>
      <c r="N579" s="590"/>
      <c r="O579" s="590"/>
      <c r="P579" s="590"/>
      <c r="Q579" s="590"/>
      <c r="R579" s="590"/>
      <c r="S579" s="590"/>
      <c r="T579" s="590"/>
      <c r="U579" s="590"/>
      <c r="V579" s="590"/>
      <c r="W579" s="590"/>
      <c r="X579" s="590"/>
      <c r="Y579" s="590"/>
      <c r="Z579" s="590"/>
    </row>
    <row r="580" spans="1:26" ht="15.75" customHeight="1">
      <c r="A580" s="590"/>
      <c r="B580" s="590"/>
      <c r="C580" s="590"/>
      <c r="D580" s="590"/>
      <c r="E580" s="590"/>
      <c r="F580" s="590"/>
      <c r="G580" s="590"/>
      <c r="H580" s="590"/>
      <c r="I580" s="590"/>
      <c r="J580" s="590"/>
      <c r="K580" s="590"/>
      <c r="L580" s="590"/>
      <c r="M580" s="590"/>
      <c r="N580" s="590"/>
      <c r="O580" s="590"/>
      <c r="P580" s="590"/>
      <c r="Q580" s="590"/>
      <c r="R580" s="590"/>
      <c r="S580" s="590"/>
      <c r="T580" s="590"/>
      <c r="U580" s="590"/>
      <c r="V580" s="590"/>
      <c r="W580" s="590"/>
      <c r="X580" s="590"/>
      <c r="Y580" s="590"/>
      <c r="Z580" s="590"/>
    </row>
    <row r="581" spans="1:26" ht="15.75" customHeight="1">
      <c r="A581" s="590"/>
      <c r="B581" s="590"/>
      <c r="C581" s="590"/>
      <c r="D581" s="590"/>
      <c r="E581" s="590"/>
      <c r="F581" s="590"/>
      <c r="G581" s="590"/>
      <c r="H581" s="590"/>
      <c r="I581" s="590"/>
      <c r="J581" s="590"/>
      <c r="K581" s="590"/>
      <c r="L581" s="590"/>
      <c r="M581" s="590"/>
      <c r="N581" s="590"/>
      <c r="O581" s="590"/>
      <c r="P581" s="590"/>
      <c r="Q581" s="590"/>
      <c r="R581" s="590"/>
      <c r="S581" s="590"/>
      <c r="T581" s="590"/>
      <c r="U581" s="590"/>
      <c r="V581" s="590"/>
      <c r="W581" s="590"/>
      <c r="X581" s="590"/>
      <c r="Y581" s="590"/>
      <c r="Z581" s="590"/>
    </row>
    <row r="582" spans="1:26" ht="15.75" customHeight="1">
      <c r="A582" s="590"/>
      <c r="B582" s="590"/>
      <c r="C582" s="590"/>
      <c r="D582" s="590"/>
      <c r="E582" s="590"/>
      <c r="F582" s="590"/>
      <c r="G582" s="590"/>
      <c r="H582" s="590"/>
      <c r="I582" s="590"/>
      <c r="J582" s="590"/>
      <c r="K582" s="590"/>
      <c r="L582" s="590"/>
      <c r="M582" s="590"/>
      <c r="N582" s="590"/>
      <c r="O582" s="590"/>
      <c r="P582" s="590"/>
      <c r="Q582" s="590"/>
      <c r="R582" s="590"/>
      <c r="S582" s="590"/>
      <c r="T582" s="590"/>
      <c r="U582" s="590"/>
      <c r="V582" s="590"/>
      <c r="W582" s="590"/>
      <c r="X582" s="590"/>
      <c r="Y582" s="590"/>
      <c r="Z582" s="590"/>
    </row>
    <row r="583" spans="1:26" ht="15.75" customHeight="1">
      <c r="A583" s="590"/>
      <c r="B583" s="590"/>
      <c r="C583" s="590"/>
      <c r="D583" s="590"/>
      <c r="E583" s="590"/>
      <c r="F583" s="590"/>
      <c r="G583" s="590"/>
      <c r="H583" s="590"/>
      <c r="I583" s="590"/>
      <c r="J583" s="590"/>
      <c r="K583" s="590"/>
      <c r="L583" s="590"/>
      <c r="M583" s="590"/>
      <c r="N583" s="590"/>
      <c r="O583" s="590"/>
      <c r="P583" s="590"/>
      <c r="Q583" s="590"/>
      <c r="R583" s="590"/>
      <c r="S583" s="590"/>
      <c r="T583" s="590"/>
      <c r="U583" s="590"/>
      <c r="V583" s="590"/>
      <c r="W583" s="590"/>
      <c r="X583" s="590"/>
      <c r="Y583" s="590"/>
      <c r="Z583" s="590"/>
    </row>
    <row r="584" spans="1:26" ht="15.75" customHeight="1">
      <c r="A584" s="590"/>
      <c r="B584" s="590"/>
      <c r="C584" s="590"/>
      <c r="D584" s="590"/>
      <c r="E584" s="590"/>
      <c r="F584" s="590"/>
      <c r="G584" s="590"/>
      <c r="H584" s="590"/>
      <c r="I584" s="590"/>
      <c r="J584" s="590"/>
      <c r="K584" s="590"/>
      <c r="L584" s="590"/>
      <c r="M584" s="590"/>
      <c r="N584" s="590"/>
      <c r="O584" s="590"/>
      <c r="P584" s="590"/>
      <c r="Q584" s="590"/>
      <c r="R584" s="590"/>
      <c r="S584" s="590"/>
      <c r="T584" s="590"/>
      <c r="U584" s="590"/>
      <c r="V584" s="590"/>
      <c r="W584" s="590"/>
      <c r="X584" s="590"/>
      <c r="Y584" s="590"/>
      <c r="Z584" s="590"/>
    </row>
    <row r="585" spans="1:26" ht="15.75" customHeight="1">
      <c r="A585" s="590"/>
      <c r="B585" s="590"/>
      <c r="C585" s="590"/>
      <c r="D585" s="590"/>
      <c r="E585" s="590"/>
      <c r="F585" s="590"/>
      <c r="G585" s="590"/>
      <c r="H585" s="590"/>
      <c r="I585" s="590"/>
      <c r="J585" s="590"/>
      <c r="K585" s="590"/>
      <c r="L585" s="590"/>
      <c r="M585" s="590"/>
      <c r="N585" s="590"/>
      <c r="O585" s="590"/>
      <c r="P585" s="590"/>
      <c r="Q585" s="590"/>
      <c r="R585" s="590"/>
      <c r="S585" s="590"/>
      <c r="T585" s="590"/>
      <c r="U585" s="590"/>
      <c r="V585" s="590"/>
      <c r="W585" s="590"/>
      <c r="X585" s="590"/>
      <c r="Y585" s="590"/>
      <c r="Z585" s="590"/>
    </row>
    <row r="586" spans="1:26" ht="15.75" customHeight="1">
      <c r="A586" s="590"/>
      <c r="B586" s="590"/>
      <c r="C586" s="590"/>
      <c r="D586" s="590"/>
      <c r="E586" s="590"/>
      <c r="F586" s="590"/>
      <c r="G586" s="590"/>
      <c r="H586" s="590"/>
      <c r="I586" s="590"/>
      <c r="J586" s="590"/>
      <c r="K586" s="590"/>
      <c r="L586" s="590"/>
      <c r="M586" s="590"/>
      <c r="N586" s="590"/>
      <c r="O586" s="590"/>
      <c r="P586" s="590"/>
      <c r="Q586" s="590"/>
      <c r="R586" s="590"/>
      <c r="S586" s="590"/>
      <c r="T586" s="590"/>
      <c r="U586" s="590"/>
      <c r="V586" s="590"/>
      <c r="W586" s="590"/>
      <c r="X586" s="590"/>
      <c r="Y586" s="590"/>
      <c r="Z586" s="590"/>
    </row>
    <row r="587" spans="1:26" ht="15.75" customHeight="1">
      <c r="A587" s="590"/>
      <c r="B587" s="590"/>
      <c r="C587" s="590"/>
      <c r="D587" s="590"/>
      <c r="E587" s="590"/>
      <c r="F587" s="590"/>
      <c r="G587" s="590"/>
      <c r="H587" s="590"/>
      <c r="I587" s="590"/>
      <c r="J587" s="590"/>
      <c r="K587" s="590"/>
      <c r="L587" s="590"/>
      <c r="M587" s="590"/>
      <c r="N587" s="590"/>
      <c r="O587" s="590"/>
      <c r="P587" s="590"/>
      <c r="Q587" s="590"/>
      <c r="R587" s="590"/>
      <c r="S587" s="590"/>
      <c r="T587" s="590"/>
      <c r="U587" s="590"/>
      <c r="V587" s="590"/>
      <c r="W587" s="590"/>
      <c r="X587" s="590"/>
      <c r="Y587" s="590"/>
      <c r="Z587" s="590"/>
    </row>
    <row r="588" spans="1:26" ht="15.75" customHeight="1">
      <c r="A588" s="590"/>
      <c r="B588" s="590"/>
      <c r="C588" s="590"/>
      <c r="D588" s="590"/>
      <c r="E588" s="590"/>
      <c r="F588" s="590"/>
      <c r="G588" s="590"/>
      <c r="H588" s="590"/>
      <c r="I588" s="590"/>
      <c r="J588" s="590"/>
      <c r="K588" s="590"/>
      <c r="L588" s="590"/>
      <c r="M588" s="590"/>
      <c r="N588" s="590"/>
      <c r="O588" s="590"/>
      <c r="P588" s="590"/>
      <c r="Q588" s="590"/>
      <c r="R588" s="590"/>
      <c r="S588" s="590"/>
      <c r="T588" s="590"/>
      <c r="U588" s="590"/>
      <c r="V588" s="590"/>
      <c r="W588" s="590"/>
      <c r="X588" s="590"/>
      <c r="Y588" s="590"/>
      <c r="Z588" s="590"/>
    </row>
    <row r="589" spans="1:26" ht="15.75" customHeight="1">
      <c r="A589" s="590"/>
      <c r="B589" s="590"/>
      <c r="C589" s="590"/>
      <c r="D589" s="590"/>
      <c r="E589" s="590"/>
      <c r="F589" s="590"/>
      <c r="G589" s="590"/>
      <c r="H589" s="590"/>
      <c r="I589" s="590"/>
      <c r="J589" s="590"/>
      <c r="K589" s="590"/>
      <c r="L589" s="590"/>
      <c r="M589" s="590"/>
      <c r="N589" s="590"/>
      <c r="O589" s="590"/>
      <c r="P589" s="590"/>
      <c r="Q589" s="590"/>
      <c r="R589" s="590"/>
      <c r="S589" s="590"/>
      <c r="T589" s="590"/>
      <c r="U589" s="590"/>
      <c r="V589" s="590"/>
      <c r="W589" s="590"/>
      <c r="X589" s="590"/>
      <c r="Y589" s="590"/>
      <c r="Z589" s="590"/>
    </row>
    <row r="590" spans="1:26" ht="15.75" customHeight="1">
      <c r="A590" s="590"/>
      <c r="B590" s="590"/>
      <c r="C590" s="590"/>
      <c r="D590" s="590"/>
      <c r="E590" s="590"/>
      <c r="F590" s="590"/>
      <c r="G590" s="590"/>
      <c r="H590" s="590"/>
      <c r="I590" s="590"/>
      <c r="J590" s="590"/>
      <c r="K590" s="590"/>
      <c r="L590" s="590"/>
      <c r="M590" s="590"/>
      <c r="N590" s="590"/>
      <c r="O590" s="590"/>
      <c r="P590" s="590"/>
      <c r="Q590" s="590"/>
      <c r="R590" s="590"/>
      <c r="S590" s="590"/>
      <c r="T590" s="590"/>
      <c r="U590" s="590"/>
      <c r="V590" s="590"/>
      <c r="W590" s="590"/>
      <c r="X590" s="590"/>
      <c r="Y590" s="590"/>
      <c r="Z590" s="590"/>
    </row>
    <row r="591" spans="1:26" ht="15.75" customHeight="1">
      <c r="A591" s="590"/>
      <c r="B591" s="590"/>
      <c r="C591" s="590"/>
      <c r="D591" s="590"/>
      <c r="E591" s="590"/>
      <c r="F591" s="590"/>
      <c r="G591" s="590"/>
      <c r="H591" s="590"/>
      <c r="I591" s="590"/>
      <c r="J591" s="590"/>
      <c r="K591" s="590"/>
      <c r="L591" s="590"/>
      <c r="M591" s="590"/>
      <c r="N591" s="590"/>
      <c r="O591" s="590"/>
      <c r="P591" s="590"/>
      <c r="Q591" s="590"/>
      <c r="R591" s="590"/>
      <c r="S591" s="590"/>
      <c r="T591" s="590"/>
      <c r="U591" s="590"/>
      <c r="V591" s="590"/>
      <c r="W591" s="590"/>
      <c r="X591" s="590"/>
      <c r="Y591" s="590"/>
      <c r="Z591" s="590"/>
    </row>
    <row r="592" spans="1:26" ht="15.75" customHeight="1">
      <c r="A592" s="590"/>
      <c r="B592" s="590"/>
      <c r="C592" s="590"/>
      <c r="D592" s="590"/>
      <c r="E592" s="590"/>
      <c r="F592" s="590"/>
      <c r="G592" s="590"/>
      <c r="H592" s="590"/>
      <c r="I592" s="590"/>
      <c r="J592" s="590"/>
      <c r="K592" s="590"/>
      <c r="L592" s="590"/>
      <c r="M592" s="590"/>
      <c r="N592" s="590"/>
      <c r="O592" s="590"/>
      <c r="P592" s="590"/>
      <c r="Q592" s="590"/>
      <c r="R592" s="590"/>
      <c r="S592" s="590"/>
      <c r="T592" s="590"/>
      <c r="U592" s="590"/>
      <c r="V592" s="590"/>
      <c r="W592" s="590"/>
      <c r="X592" s="590"/>
      <c r="Y592" s="590"/>
      <c r="Z592" s="590"/>
    </row>
    <row r="593" spans="1:26" ht="15.75" customHeight="1">
      <c r="A593" s="590"/>
      <c r="B593" s="590"/>
      <c r="C593" s="590"/>
      <c r="D593" s="590"/>
      <c r="E593" s="590"/>
      <c r="F593" s="590"/>
      <c r="G593" s="590"/>
      <c r="H593" s="590"/>
      <c r="I593" s="590"/>
      <c r="J593" s="590"/>
      <c r="K593" s="590"/>
      <c r="L593" s="590"/>
      <c r="M593" s="590"/>
      <c r="N593" s="590"/>
      <c r="O593" s="590"/>
      <c r="P593" s="590"/>
      <c r="Q593" s="590"/>
      <c r="R593" s="590"/>
      <c r="S593" s="590"/>
      <c r="T593" s="590"/>
      <c r="U593" s="590"/>
      <c r="V593" s="590"/>
      <c r="W593" s="590"/>
      <c r="X593" s="590"/>
      <c r="Y593" s="590"/>
      <c r="Z593" s="590"/>
    </row>
    <row r="594" spans="1:26" ht="15.75" customHeight="1">
      <c r="A594" s="590"/>
      <c r="B594" s="590"/>
      <c r="C594" s="590"/>
      <c r="D594" s="590"/>
      <c r="E594" s="590"/>
      <c r="F594" s="590"/>
      <c r="G594" s="590"/>
      <c r="H594" s="590"/>
      <c r="I594" s="590"/>
      <c r="J594" s="590"/>
      <c r="K594" s="590"/>
      <c r="L594" s="590"/>
      <c r="M594" s="590"/>
      <c r="N594" s="590"/>
      <c r="O594" s="590"/>
      <c r="P594" s="590"/>
      <c r="Q594" s="590"/>
      <c r="R594" s="590"/>
      <c r="S594" s="590"/>
      <c r="T594" s="590"/>
      <c r="U594" s="590"/>
      <c r="V594" s="590"/>
      <c r="W594" s="590"/>
      <c r="X594" s="590"/>
      <c r="Y594" s="590"/>
      <c r="Z594" s="590"/>
    </row>
    <row r="595" spans="1:26" ht="15.75" customHeight="1">
      <c r="A595" s="590"/>
      <c r="B595" s="590"/>
      <c r="C595" s="590"/>
      <c r="D595" s="590"/>
      <c r="E595" s="590"/>
      <c r="F595" s="590"/>
      <c r="G595" s="590"/>
      <c r="H595" s="590"/>
      <c r="I595" s="590"/>
      <c r="J595" s="590"/>
      <c r="K595" s="590"/>
      <c r="L595" s="590"/>
      <c r="M595" s="590"/>
      <c r="N595" s="590"/>
      <c r="O595" s="590"/>
      <c r="P595" s="590"/>
      <c r="Q595" s="590"/>
      <c r="R595" s="590"/>
      <c r="S595" s="590"/>
      <c r="T595" s="590"/>
      <c r="U595" s="590"/>
      <c r="V595" s="590"/>
      <c r="W595" s="590"/>
      <c r="X595" s="590"/>
      <c r="Y595" s="590"/>
      <c r="Z595" s="590"/>
    </row>
    <row r="596" spans="1:26" ht="15.75" customHeight="1">
      <c r="A596" s="590"/>
      <c r="B596" s="590"/>
      <c r="C596" s="590"/>
      <c r="D596" s="590"/>
      <c r="E596" s="590"/>
      <c r="F596" s="590"/>
      <c r="G596" s="590"/>
      <c r="H596" s="590"/>
      <c r="I596" s="590"/>
      <c r="J596" s="590"/>
      <c r="K596" s="590"/>
      <c r="L596" s="590"/>
      <c r="M596" s="590"/>
      <c r="N596" s="590"/>
      <c r="O596" s="590"/>
      <c r="P596" s="590"/>
      <c r="Q596" s="590"/>
      <c r="R596" s="590"/>
      <c r="S596" s="590"/>
      <c r="T596" s="590"/>
      <c r="U596" s="590"/>
      <c r="V596" s="590"/>
      <c r="W596" s="590"/>
      <c r="X596" s="590"/>
      <c r="Y596" s="590"/>
      <c r="Z596" s="590"/>
    </row>
    <row r="597" spans="1:26" ht="15.75" customHeight="1">
      <c r="A597" s="590"/>
      <c r="B597" s="590"/>
      <c r="C597" s="590"/>
      <c r="D597" s="590"/>
      <c r="E597" s="590"/>
      <c r="F597" s="590"/>
      <c r="G597" s="590"/>
      <c r="H597" s="590"/>
      <c r="I597" s="590"/>
      <c r="J597" s="590"/>
      <c r="K597" s="590"/>
      <c r="L597" s="590"/>
      <c r="M597" s="590"/>
      <c r="N597" s="590"/>
      <c r="O597" s="590"/>
      <c r="P597" s="590"/>
      <c r="Q597" s="590"/>
      <c r="R597" s="590"/>
      <c r="S597" s="590"/>
      <c r="T597" s="590"/>
      <c r="U597" s="590"/>
      <c r="V597" s="590"/>
      <c r="W597" s="590"/>
      <c r="X597" s="590"/>
      <c r="Y597" s="590"/>
      <c r="Z597" s="590"/>
    </row>
    <row r="598" spans="1:26" ht="15.75" customHeight="1">
      <c r="A598" s="590"/>
      <c r="B598" s="590"/>
      <c r="C598" s="590"/>
      <c r="D598" s="590"/>
      <c r="E598" s="590"/>
      <c r="F598" s="590"/>
      <c r="G598" s="590"/>
      <c r="H598" s="590"/>
      <c r="I598" s="590"/>
      <c r="J598" s="590"/>
      <c r="K598" s="590"/>
      <c r="L598" s="590"/>
      <c r="M598" s="590"/>
      <c r="N598" s="590"/>
      <c r="O598" s="590"/>
      <c r="P598" s="590"/>
      <c r="Q598" s="590"/>
      <c r="R598" s="590"/>
      <c r="S598" s="590"/>
      <c r="T598" s="590"/>
      <c r="U598" s="590"/>
      <c r="V598" s="590"/>
      <c r="W598" s="590"/>
      <c r="X598" s="590"/>
      <c r="Y598" s="590"/>
      <c r="Z598" s="590"/>
    </row>
    <row r="599" spans="1:26" ht="15.75" customHeight="1">
      <c r="A599" s="590"/>
      <c r="B599" s="590"/>
      <c r="C599" s="590"/>
      <c r="D599" s="590"/>
      <c r="E599" s="590"/>
      <c r="F599" s="590"/>
      <c r="G599" s="590"/>
      <c r="H599" s="590"/>
      <c r="I599" s="590"/>
      <c r="J599" s="590"/>
      <c r="K599" s="590"/>
      <c r="L599" s="590"/>
      <c r="M599" s="590"/>
      <c r="N599" s="590"/>
      <c r="O599" s="590"/>
      <c r="P599" s="590"/>
      <c r="Q599" s="590"/>
      <c r="R599" s="590"/>
      <c r="S599" s="590"/>
      <c r="T599" s="590"/>
      <c r="U599" s="590"/>
      <c r="V599" s="590"/>
      <c r="W599" s="590"/>
      <c r="X599" s="590"/>
      <c r="Y599" s="590"/>
      <c r="Z599" s="590"/>
    </row>
    <row r="600" spans="1:26" ht="15.75" customHeight="1">
      <c r="A600" s="590"/>
      <c r="B600" s="590"/>
      <c r="C600" s="590"/>
      <c r="D600" s="590"/>
      <c r="E600" s="590"/>
      <c r="F600" s="590"/>
      <c r="G600" s="590"/>
      <c r="H600" s="590"/>
      <c r="I600" s="590"/>
      <c r="J600" s="590"/>
      <c r="K600" s="590"/>
      <c r="L600" s="590"/>
      <c r="M600" s="590"/>
      <c r="N600" s="590"/>
      <c r="O600" s="590"/>
      <c r="P600" s="590"/>
      <c r="Q600" s="590"/>
      <c r="R600" s="590"/>
      <c r="S600" s="590"/>
      <c r="T600" s="590"/>
      <c r="U600" s="590"/>
      <c r="V600" s="590"/>
      <c r="W600" s="590"/>
      <c r="X600" s="590"/>
      <c r="Y600" s="590"/>
      <c r="Z600" s="590"/>
    </row>
    <row r="601" spans="1:26" ht="15.75" customHeight="1">
      <c r="A601" s="590"/>
      <c r="B601" s="590"/>
      <c r="C601" s="590"/>
      <c r="D601" s="590"/>
      <c r="E601" s="590"/>
      <c r="F601" s="590"/>
      <c r="G601" s="590"/>
      <c r="H601" s="590"/>
      <c r="I601" s="590"/>
      <c r="J601" s="590"/>
      <c r="K601" s="590"/>
      <c r="L601" s="590"/>
      <c r="M601" s="590"/>
      <c r="N601" s="590"/>
      <c r="O601" s="590"/>
      <c r="P601" s="590"/>
      <c r="Q601" s="590"/>
      <c r="R601" s="590"/>
      <c r="S601" s="590"/>
      <c r="T601" s="590"/>
      <c r="U601" s="590"/>
      <c r="V601" s="590"/>
      <c r="W601" s="590"/>
      <c r="X601" s="590"/>
      <c r="Y601" s="590"/>
      <c r="Z601" s="590"/>
    </row>
    <row r="602" spans="1:26" ht="15.75" customHeight="1">
      <c r="A602" s="590"/>
      <c r="B602" s="590"/>
      <c r="C602" s="590"/>
      <c r="D602" s="590"/>
      <c r="E602" s="590"/>
      <c r="F602" s="590"/>
      <c r="G602" s="590"/>
      <c r="H602" s="590"/>
      <c r="I602" s="590"/>
      <c r="J602" s="590"/>
      <c r="K602" s="590"/>
      <c r="L602" s="590"/>
      <c r="M602" s="590"/>
      <c r="N602" s="590"/>
      <c r="O602" s="590"/>
      <c r="P602" s="590"/>
      <c r="Q602" s="590"/>
      <c r="R602" s="590"/>
      <c r="S602" s="590"/>
      <c r="T602" s="590"/>
      <c r="U602" s="590"/>
      <c r="V602" s="590"/>
      <c r="W602" s="590"/>
      <c r="X602" s="590"/>
      <c r="Y602" s="590"/>
      <c r="Z602" s="590"/>
    </row>
    <row r="603" spans="1:26" ht="15.75" customHeight="1">
      <c r="A603" s="590"/>
      <c r="B603" s="590"/>
      <c r="C603" s="590"/>
      <c r="D603" s="590"/>
      <c r="E603" s="590"/>
      <c r="F603" s="590"/>
      <c r="G603" s="590"/>
      <c r="H603" s="590"/>
      <c r="I603" s="590"/>
      <c r="J603" s="590"/>
      <c r="K603" s="590"/>
      <c r="L603" s="590"/>
      <c r="M603" s="590"/>
      <c r="N603" s="590"/>
      <c r="O603" s="590"/>
      <c r="P603" s="590"/>
      <c r="Q603" s="590"/>
      <c r="R603" s="590"/>
      <c r="S603" s="590"/>
      <c r="T603" s="590"/>
      <c r="U603" s="590"/>
      <c r="V603" s="590"/>
      <c r="W603" s="590"/>
      <c r="X603" s="590"/>
      <c r="Y603" s="590"/>
      <c r="Z603" s="590"/>
    </row>
    <row r="604" spans="1:26" ht="15.75" customHeight="1">
      <c r="A604" s="590"/>
      <c r="B604" s="590"/>
      <c r="C604" s="590"/>
      <c r="D604" s="590"/>
      <c r="E604" s="590"/>
      <c r="F604" s="590"/>
      <c r="G604" s="590"/>
      <c r="H604" s="590"/>
      <c r="I604" s="590"/>
      <c r="J604" s="590"/>
      <c r="K604" s="590"/>
      <c r="L604" s="590"/>
      <c r="M604" s="590"/>
      <c r="N604" s="590"/>
      <c r="O604" s="590"/>
      <c r="P604" s="590"/>
      <c r="Q604" s="590"/>
      <c r="R604" s="590"/>
      <c r="S604" s="590"/>
      <c r="T604" s="590"/>
      <c r="U604" s="590"/>
      <c r="V604" s="590"/>
      <c r="W604" s="590"/>
      <c r="X604" s="590"/>
      <c r="Y604" s="590"/>
      <c r="Z604" s="590"/>
    </row>
    <row r="605" spans="1:26" ht="15.75" customHeight="1">
      <c r="A605" s="590"/>
      <c r="B605" s="590"/>
      <c r="C605" s="590"/>
      <c r="D605" s="590"/>
      <c r="E605" s="590"/>
      <c r="F605" s="590"/>
      <c r="G605" s="590"/>
      <c r="H605" s="590"/>
      <c r="I605" s="590"/>
      <c r="J605" s="590"/>
      <c r="K605" s="590"/>
      <c r="L605" s="590"/>
      <c r="M605" s="590"/>
      <c r="N605" s="590"/>
      <c r="O605" s="590"/>
      <c r="P605" s="590"/>
      <c r="Q605" s="590"/>
      <c r="R605" s="590"/>
      <c r="S605" s="590"/>
      <c r="T605" s="590"/>
      <c r="U605" s="590"/>
      <c r="V605" s="590"/>
      <c r="W605" s="590"/>
      <c r="X605" s="590"/>
      <c r="Y605" s="590"/>
      <c r="Z605" s="590"/>
    </row>
    <row r="606" spans="1:26" ht="15.75" customHeight="1">
      <c r="A606" s="590"/>
      <c r="B606" s="590"/>
      <c r="C606" s="590"/>
      <c r="D606" s="590"/>
      <c r="E606" s="590"/>
      <c r="F606" s="590"/>
      <c r="G606" s="590"/>
      <c r="H606" s="590"/>
      <c r="I606" s="590"/>
      <c r="J606" s="590"/>
      <c r="K606" s="590"/>
      <c r="L606" s="590"/>
      <c r="M606" s="590"/>
      <c r="N606" s="590"/>
      <c r="O606" s="590"/>
      <c r="P606" s="590"/>
      <c r="Q606" s="590"/>
      <c r="R606" s="590"/>
      <c r="S606" s="590"/>
      <c r="T606" s="590"/>
      <c r="U606" s="590"/>
      <c r="V606" s="590"/>
      <c r="W606" s="590"/>
      <c r="X606" s="590"/>
      <c r="Y606" s="590"/>
      <c r="Z606" s="590"/>
    </row>
    <row r="607" spans="1:26" ht="15.75" customHeight="1">
      <c r="A607" s="590"/>
      <c r="B607" s="590"/>
      <c r="C607" s="590"/>
      <c r="D607" s="590"/>
      <c r="E607" s="590"/>
      <c r="F607" s="590"/>
      <c r="G607" s="590"/>
      <c r="H607" s="590"/>
      <c r="I607" s="590"/>
      <c r="J607" s="590"/>
      <c r="K607" s="590"/>
      <c r="L607" s="590"/>
      <c r="M607" s="590"/>
      <c r="N607" s="590"/>
      <c r="O607" s="590"/>
      <c r="P607" s="590"/>
      <c r="Q607" s="590"/>
      <c r="R607" s="590"/>
      <c r="S607" s="590"/>
      <c r="T607" s="590"/>
      <c r="U607" s="590"/>
      <c r="V607" s="590"/>
      <c r="W607" s="590"/>
      <c r="X607" s="590"/>
      <c r="Y607" s="590"/>
      <c r="Z607" s="590"/>
    </row>
    <row r="608" spans="1:26" ht="15.75" customHeight="1">
      <c r="A608" s="590"/>
      <c r="B608" s="590"/>
      <c r="C608" s="590"/>
      <c r="D608" s="590"/>
      <c r="E608" s="590"/>
      <c r="F608" s="590"/>
      <c r="G608" s="590"/>
      <c r="H608" s="590"/>
      <c r="I608" s="590"/>
      <c r="J608" s="590"/>
      <c r="K608" s="590"/>
      <c r="L608" s="590"/>
      <c r="M608" s="590"/>
      <c r="N608" s="590"/>
      <c r="O608" s="590"/>
      <c r="P608" s="590"/>
      <c r="Q608" s="590"/>
      <c r="R608" s="590"/>
      <c r="S608" s="590"/>
      <c r="T608" s="590"/>
      <c r="U608" s="590"/>
      <c r="V608" s="590"/>
      <c r="W608" s="590"/>
      <c r="X608" s="590"/>
      <c r="Y608" s="590"/>
      <c r="Z608" s="590"/>
    </row>
    <row r="609" spans="1:26" ht="15.75" customHeight="1">
      <c r="A609" s="590"/>
      <c r="B609" s="590"/>
      <c r="C609" s="590"/>
      <c r="D609" s="590"/>
      <c r="E609" s="590"/>
      <c r="F609" s="590"/>
      <c r="G609" s="590"/>
      <c r="H609" s="590"/>
      <c r="I609" s="590"/>
      <c r="J609" s="590"/>
      <c r="K609" s="590"/>
      <c r="L609" s="590"/>
      <c r="M609" s="590"/>
      <c r="N609" s="590"/>
      <c r="O609" s="590"/>
      <c r="P609" s="590"/>
      <c r="Q609" s="590"/>
      <c r="R609" s="590"/>
      <c r="S609" s="590"/>
      <c r="T609" s="590"/>
      <c r="U609" s="590"/>
      <c r="V609" s="590"/>
      <c r="W609" s="590"/>
      <c r="X609" s="590"/>
      <c r="Y609" s="590"/>
      <c r="Z609" s="590"/>
    </row>
    <row r="610" spans="1:26" ht="15.75" customHeight="1">
      <c r="A610" s="590"/>
      <c r="B610" s="590"/>
      <c r="C610" s="590"/>
      <c r="D610" s="590"/>
      <c r="E610" s="590"/>
      <c r="F610" s="590"/>
      <c r="G610" s="590"/>
      <c r="H610" s="590"/>
      <c r="I610" s="590"/>
      <c r="J610" s="590"/>
      <c r="K610" s="590"/>
      <c r="L610" s="590"/>
      <c r="M610" s="590"/>
      <c r="N610" s="590"/>
      <c r="O610" s="590"/>
      <c r="P610" s="590"/>
      <c r="Q610" s="590"/>
      <c r="R610" s="590"/>
      <c r="S610" s="590"/>
      <c r="T610" s="590"/>
      <c r="U610" s="590"/>
      <c r="V610" s="590"/>
      <c r="W610" s="590"/>
      <c r="X610" s="590"/>
      <c r="Y610" s="590"/>
      <c r="Z610" s="590"/>
    </row>
    <row r="611" spans="1:26" ht="15.75" customHeight="1">
      <c r="A611" s="590"/>
      <c r="B611" s="590"/>
      <c r="C611" s="590"/>
      <c r="D611" s="590"/>
      <c r="E611" s="590"/>
      <c r="F611" s="590"/>
      <c r="G611" s="590"/>
      <c r="H611" s="590"/>
      <c r="I611" s="590"/>
      <c r="J611" s="590"/>
      <c r="K611" s="590"/>
      <c r="L611" s="590"/>
      <c r="M611" s="590"/>
      <c r="N611" s="590"/>
      <c r="O611" s="590"/>
      <c r="P611" s="590"/>
      <c r="Q611" s="590"/>
      <c r="R611" s="590"/>
      <c r="S611" s="590"/>
      <c r="T611" s="590"/>
      <c r="U611" s="590"/>
      <c r="V611" s="590"/>
      <c r="W611" s="590"/>
      <c r="X611" s="590"/>
      <c r="Y611" s="590"/>
      <c r="Z611" s="590"/>
    </row>
    <row r="612" spans="1:26" ht="15.75" customHeight="1">
      <c r="A612" s="590"/>
      <c r="B612" s="590"/>
      <c r="C612" s="590"/>
      <c r="D612" s="590"/>
      <c r="E612" s="590"/>
      <c r="F612" s="590"/>
      <c r="G612" s="590"/>
      <c r="H612" s="590"/>
      <c r="I612" s="590"/>
      <c r="J612" s="590"/>
      <c r="K612" s="590"/>
      <c r="L612" s="590"/>
      <c r="M612" s="590"/>
      <c r="N612" s="590"/>
      <c r="O612" s="590"/>
      <c r="P612" s="590"/>
      <c r="Q612" s="590"/>
      <c r="R612" s="590"/>
      <c r="S612" s="590"/>
      <c r="T612" s="590"/>
      <c r="U612" s="590"/>
      <c r="V612" s="590"/>
      <c r="W612" s="590"/>
      <c r="X612" s="590"/>
      <c r="Y612" s="590"/>
      <c r="Z612" s="590"/>
    </row>
    <row r="613" spans="1:26" ht="15.75" customHeight="1">
      <c r="A613" s="590"/>
      <c r="B613" s="590"/>
      <c r="C613" s="590"/>
      <c r="D613" s="590"/>
      <c r="E613" s="590"/>
      <c r="F613" s="590"/>
      <c r="G613" s="590"/>
      <c r="H613" s="590"/>
      <c r="I613" s="590"/>
      <c r="J613" s="590"/>
      <c r="K613" s="590"/>
      <c r="L613" s="590"/>
      <c r="M613" s="590"/>
      <c r="N613" s="590"/>
      <c r="O613" s="590"/>
      <c r="P613" s="590"/>
      <c r="Q613" s="590"/>
      <c r="R613" s="590"/>
      <c r="S613" s="590"/>
      <c r="T613" s="590"/>
      <c r="U613" s="590"/>
      <c r="V613" s="590"/>
      <c r="W613" s="590"/>
      <c r="X613" s="590"/>
      <c r="Y613" s="590"/>
      <c r="Z613" s="590"/>
    </row>
    <row r="614" spans="1:26" ht="15.75" customHeight="1">
      <c r="A614" s="590"/>
      <c r="B614" s="590"/>
      <c r="C614" s="590"/>
      <c r="D614" s="590"/>
      <c r="E614" s="590"/>
      <c r="F614" s="590"/>
      <c r="G614" s="590"/>
      <c r="H614" s="590"/>
      <c r="I614" s="590"/>
      <c r="J614" s="590"/>
      <c r="K614" s="590"/>
      <c r="L614" s="590"/>
      <c r="M614" s="590"/>
      <c r="N614" s="590"/>
      <c r="O614" s="590"/>
      <c r="P614" s="590"/>
      <c r="Q614" s="590"/>
      <c r="R614" s="590"/>
      <c r="S614" s="590"/>
      <c r="T614" s="590"/>
      <c r="U614" s="590"/>
      <c r="V614" s="590"/>
      <c r="W614" s="590"/>
      <c r="X614" s="590"/>
      <c r="Y614" s="590"/>
      <c r="Z614" s="590"/>
    </row>
    <row r="615" spans="1:26" ht="15.75" customHeight="1">
      <c r="A615" s="590"/>
      <c r="B615" s="590"/>
      <c r="C615" s="590"/>
      <c r="D615" s="590"/>
      <c r="E615" s="590"/>
      <c r="F615" s="590"/>
      <c r="G615" s="590"/>
      <c r="H615" s="590"/>
      <c r="I615" s="590"/>
      <c r="J615" s="590"/>
      <c r="K615" s="590"/>
      <c r="L615" s="590"/>
      <c r="M615" s="590"/>
      <c r="N615" s="590"/>
      <c r="O615" s="590"/>
      <c r="P615" s="590"/>
      <c r="Q615" s="590"/>
      <c r="R615" s="590"/>
      <c r="S615" s="590"/>
      <c r="T615" s="590"/>
      <c r="U615" s="590"/>
      <c r="V615" s="590"/>
      <c r="W615" s="590"/>
      <c r="X615" s="590"/>
      <c r="Y615" s="590"/>
      <c r="Z615" s="590"/>
    </row>
    <row r="616" spans="1:26" ht="15.75" customHeight="1">
      <c r="A616" s="590"/>
      <c r="B616" s="590"/>
      <c r="C616" s="590"/>
      <c r="D616" s="590"/>
      <c r="E616" s="590"/>
      <c r="F616" s="590"/>
      <c r="G616" s="590"/>
      <c r="H616" s="590"/>
      <c r="I616" s="590"/>
      <c r="J616" s="590"/>
      <c r="K616" s="590"/>
      <c r="L616" s="590"/>
      <c r="M616" s="590"/>
      <c r="N616" s="590"/>
      <c r="O616" s="590"/>
      <c r="P616" s="590"/>
      <c r="Q616" s="590"/>
      <c r="R616" s="590"/>
      <c r="S616" s="590"/>
      <c r="T616" s="590"/>
      <c r="U616" s="590"/>
      <c r="V616" s="590"/>
      <c r="W616" s="590"/>
      <c r="X616" s="590"/>
      <c r="Y616" s="590"/>
      <c r="Z616" s="590"/>
    </row>
    <row r="617" spans="1:26" ht="15.75" customHeight="1">
      <c r="A617" s="590"/>
      <c r="B617" s="590"/>
      <c r="C617" s="590"/>
      <c r="D617" s="590"/>
      <c r="E617" s="590"/>
      <c r="F617" s="590"/>
      <c r="G617" s="590"/>
      <c r="H617" s="590"/>
      <c r="I617" s="590"/>
      <c r="J617" s="590"/>
      <c r="K617" s="590"/>
      <c r="L617" s="590"/>
      <c r="M617" s="590"/>
      <c r="N617" s="590"/>
      <c r="O617" s="590"/>
      <c r="P617" s="590"/>
      <c r="Q617" s="590"/>
      <c r="R617" s="590"/>
      <c r="S617" s="590"/>
      <c r="T617" s="590"/>
      <c r="U617" s="590"/>
      <c r="V617" s="590"/>
      <c r="W617" s="590"/>
      <c r="X617" s="590"/>
      <c r="Y617" s="590"/>
      <c r="Z617" s="590"/>
    </row>
    <row r="618" spans="1:26" ht="15.75" customHeight="1">
      <c r="A618" s="590"/>
      <c r="B618" s="590"/>
      <c r="C618" s="590"/>
      <c r="D618" s="590"/>
      <c r="E618" s="590"/>
      <c r="F618" s="590"/>
      <c r="G618" s="590"/>
      <c r="H618" s="590"/>
      <c r="I618" s="590"/>
      <c r="J618" s="590"/>
      <c r="K618" s="590"/>
      <c r="L618" s="590"/>
      <c r="M618" s="590"/>
      <c r="N618" s="590"/>
      <c r="O618" s="590"/>
      <c r="P618" s="590"/>
      <c r="Q618" s="590"/>
      <c r="R618" s="590"/>
      <c r="S618" s="590"/>
      <c r="T618" s="590"/>
      <c r="U618" s="590"/>
      <c r="V618" s="590"/>
      <c r="W618" s="590"/>
      <c r="X618" s="590"/>
      <c r="Y618" s="590"/>
      <c r="Z618" s="590"/>
    </row>
    <row r="619" spans="1:26" ht="15.75" customHeight="1">
      <c r="A619" s="590"/>
      <c r="B619" s="590"/>
      <c r="C619" s="590"/>
      <c r="D619" s="590"/>
      <c r="E619" s="590"/>
      <c r="F619" s="590"/>
      <c r="G619" s="590"/>
      <c r="H619" s="590"/>
      <c r="I619" s="590"/>
      <c r="J619" s="590"/>
      <c r="K619" s="590"/>
      <c r="L619" s="590"/>
      <c r="M619" s="590"/>
      <c r="N619" s="590"/>
      <c r="O619" s="590"/>
      <c r="P619" s="590"/>
      <c r="Q619" s="590"/>
      <c r="R619" s="590"/>
      <c r="S619" s="590"/>
      <c r="T619" s="590"/>
      <c r="U619" s="590"/>
      <c r="V619" s="590"/>
      <c r="W619" s="590"/>
      <c r="X619" s="590"/>
      <c r="Y619" s="590"/>
      <c r="Z619" s="590"/>
    </row>
    <row r="620" spans="1:26" ht="15.75" customHeight="1">
      <c r="A620" s="590"/>
      <c r="B620" s="590"/>
      <c r="C620" s="590"/>
      <c r="D620" s="590"/>
      <c r="E620" s="590"/>
      <c r="F620" s="590"/>
      <c r="G620" s="590"/>
      <c r="H620" s="590"/>
      <c r="I620" s="590"/>
      <c r="J620" s="590"/>
      <c r="K620" s="590"/>
      <c r="L620" s="590"/>
      <c r="M620" s="590"/>
      <c r="N620" s="590"/>
      <c r="O620" s="590"/>
      <c r="P620" s="590"/>
      <c r="Q620" s="590"/>
      <c r="R620" s="590"/>
      <c r="S620" s="590"/>
      <c r="T620" s="590"/>
      <c r="U620" s="590"/>
      <c r="V620" s="590"/>
      <c r="W620" s="590"/>
      <c r="X620" s="590"/>
      <c r="Y620" s="590"/>
      <c r="Z620" s="590"/>
    </row>
    <row r="621" spans="1:26" ht="15.75" customHeight="1">
      <c r="A621" s="590"/>
      <c r="B621" s="590"/>
      <c r="C621" s="590"/>
      <c r="D621" s="590"/>
      <c r="E621" s="590"/>
      <c r="F621" s="590"/>
      <c r="G621" s="590"/>
      <c r="H621" s="590"/>
      <c r="I621" s="590"/>
      <c r="J621" s="590"/>
      <c r="K621" s="590"/>
      <c r="L621" s="590"/>
      <c r="M621" s="590"/>
      <c r="N621" s="590"/>
      <c r="O621" s="590"/>
      <c r="P621" s="590"/>
      <c r="Q621" s="590"/>
      <c r="R621" s="590"/>
      <c r="S621" s="590"/>
      <c r="T621" s="590"/>
      <c r="U621" s="590"/>
      <c r="V621" s="590"/>
      <c r="W621" s="590"/>
      <c r="X621" s="590"/>
      <c r="Y621" s="590"/>
      <c r="Z621" s="590"/>
    </row>
    <row r="622" spans="1:26" ht="15.75" customHeight="1">
      <c r="A622" s="590"/>
      <c r="B622" s="590"/>
      <c r="C622" s="590"/>
      <c r="D622" s="590"/>
      <c r="E622" s="590"/>
      <c r="F622" s="590"/>
      <c r="G622" s="590"/>
      <c r="H622" s="590"/>
      <c r="I622" s="590"/>
      <c r="J622" s="590"/>
      <c r="K622" s="590"/>
      <c r="L622" s="590"/>
      <c r="M622" s="590"/>
      <c r="N622" s="590"/>
      <c r="O622" s="590"/>
      <c r="P622" s="590"/>
      <c r="Q622" s="590"/>
      <c r="R622" s="590"/>
      <c r="S622" s="590"/>
      <c r="T622" s="590"/>
      <c r="U622" s="590"/>
      <c r="V622" s="590"/>
      <c r="W622" s="590"/>
      <c r="X622" s="590"/>
      <c r="Y622" s="590"/>
      <c r="Z622" s="590"/>
    </row>
    <row r="623" spans="1:26" ht="15.75" customHeight="1">
      <c r="A623" s="590"/>
      <c r="B623" s="590"/>
      <c r="C623" s="590"/>
      <c r="D623" s="590"/>
      <c r="E623" s="590"/>
      <c r="F623" s="590"/>
      <c r="G623" s="590"/>
      <c r="H623" s="590"/>
      <c r="I623" s="590"/>
      <c r="J623" s="590"/>
      <c r="K623" s="590"/>
      <c r="L623" s="590"/>
      <c r="M623" s="590"/>
      <c r="N623" s="590"/>
      <c r="O623" s="590"/>
      <c r="P623" s="590"/>
      <c r="Q623" s="590"/>
      <c r="R623" s="590"/>
      <c r="S623" s="590"/>
      <c r="T623" s="590"/>
      <c r="U623" s="590"/>
      <c r="V623" s="590"/>
      <c r="W623" s="590"/>
      <c r="X623" s="590"/>
      <c r="Y623" s="590"/>
      <c r="Z623" s="590"/>
    </row>
    <row r="624" spans="1:26" ht="15.75" customHeight="1">
      <c r="A624" s="590"/>
      <c r="B624" s="590"/>
      <c r="C624" s="590"/>
      <c r="D624" s="590"/>
      <c r="E624" s="590"/>
      <c r="F624" s="590"/>
      <c r="G624" s="590"/>
      <c r="H624" s="590"/>
      <c r="I624" s="590"/>
      <c r="J624" s="590"/>
      <c r="K624" s="590"/>
      <c r="L624" s="590"/>
      <c r="M624" s="590"/>
      <c r="N624" s="590"/>
      <c r="O624" s="590"/>
      <c r="P624" s="590"/>
      <c r="Q624" s="590"/>
      <c r="R624" s="590"/>
      <c r="S624" s="590"/>
      <c r="T624" s="590"/>
      <c r="U624" s="590"/>
      <c r="V624" s="590"/>
      <c r="W624" s="590"/>
      <c r="X624" s="590"/>
      <c r="Y624" s="590"/>
      <c r="Z624" s="590"/>
    </row>
    <row r="625" spans="1:26" ht="15.75" customHeight="1">
      <c r="A625" s="590"/>
      <c r="B625" s="590"/>
      <c r="C625" s="590"/>
      <c r="D625" s="590"/>
      <c r="E625" s="590"/>
      <c r="F625" s="590"/>
      <c r="G625" s="590"/>
      <c r="H625" s="590"/>
      <c r="I625" s="590"/>
      <c r="J625" s="590"/>
      <c r="K625" s="590"/>
      <c r="L625" s="590"/>
      <c r="M625" s="590"/>
      <c r="N625" s="590"/>
      <c r="O625" s="590"/>
      <c r="P625" s="590"/>
      <c r="Q625" s="590"/>
      <c r="R625" s="590"/>
      <c r="S625" s="590"/>
      <c r="T625" s="590"/>
      <c r="U625" s="590"/>
      <c r="V625" s="590"/>
      <c r="W625" s="590"/>
      <c r="X625" s="590"/>
      <c r="Y625" s="590"/>
      <c r="Z625" s="590"/>
    </row>
    <row r="626" spans="1:26" ht="15.75" customHeight="1">
      <c r="A626" s="590"/>
      <c r="B626" s="590"/>
      <c r="C626" s="590"/>
      <c r="D626" s="590"/>
      <c r="E626" s="590"/>
      <c r="F626" s="590"/>
      <c r="G626" s="590"/>
      <c r="H626" s="590"/>
      <c r="I626" s="590"/>
      <c r="J626" s="590"/>
      <c r="K626" s="590"/>
      <c r="L626" s="590"/>
      <c r="M626" s="590"/>
      <c r="N626" s="590"/>
      <c r="O626" s="590"/>
      <c r="P626" s="590"/>
      <c r="Q626" s="590"/>
      <c r="R626" s="590"/>
      <c r="S626" s="590"/>
      <c r="T626" s="590"/>
      <c r="U626" s="590"/>
      <c r="V626" s="590"/>
      <c r="W626" s="590"/>
      <c r="X626" s="590"/>
      <c r="Y626" s="590"/>
      <c r="Z626" s="590"/>
    </row>
    <row r="627" spans="1:26" ht="15.75" customHeight="1">
      <c r="A627" s="590"/>
      <c r="B627" s="590"/>
      <c r="C627" s="590"/>
      <c r="D627" s="590"/>
      <c r="E627" s="590"/>
      <c r="F627" s="590"/>
      <c r="G627" s="590"/>
      <c r="H627" s="590"/>
      <c r="I627" s="590"/>
      <c r="J627" s="590"/>
      <c r="K627" s="590"/>
      <c r="L627" s="590"/>
      <c r="M627" s="590"/>
      <c r="N627" s="590"/>
      <c r="O627" s="590"/>
      <c r="P627" s="590"/>
      <c r="Q627" s="590"/>
      <c r="R627" s="590"/>
      <c r="S627" s="590"/>
      <c r="T627" s="590"/>
      <c r="U627" s="590"/>
      <c r="V627" s="590"/>
      <c r="W627" s="590"/>
      <c r="X627" s="590"/>
      <c r="Y627" s="590"/>
      <c r="Z627" s="590"/>
    </row>
    <row r="628" spans="1:26" ht="15.75" customHeight="1">
      <c r="A628" s="590"/>
      <c r="B628" s="590"/>
      <c r="C628" s="590"/>
      <c r="D628" s="590"/>
      <c r="E628" s="590"/>
      <c r="F628" s="590"/>
      <c r="G628" s="590"/>
      <c r="H628" s="590"/>
      <c r="I628" s="590"/>
      <c r="J628" s="590"/>
      <c r="K628" s="590"/>
      <c r="L628" s="590"/>
      <c r="M628" s="590"/>
      <c r="N628" s="590"/>
      <c r="O628" s="590"/>
      <c r="P628" s="590"/>
      <c r="Q628" s="590"/>
      <c r="R628" s="590"/>
      <c r="S628" s="590"/>
      <c r="T628" s="590"/>
      <c r="U628" s="590"/>
      <c r="V628" s="590"/>
      <c r="W628" s="590"/>
      <c r="X628" s="590"/>
      <c r="Y628" s="590"/>
      <c r="Z628" s="590"/>
    </row>
    <row r="629" spans="1:26" ht="15.75" customHeight="1">
      <c r="A629" s="590"/>
      <c r="B629" s="590"/>
      <c r="C629" s="590"/>
      <c r="D629" s="590"/>
      <c r="E629" s="590"/>
      <c r="F629" s="590"/>
      <c r="G629" s="590"/>
      <c r="H629" s="590"/>
      <c r="I629" s="590"/>
      <c r="J629" s="590"/>
      <c r="K629" s="590"/>
      <c r="L629" s="590"/>
      <c r="M629" s="590"/>
      <c r="N629" s="590"/>
      <c r="O629" s="590"/>
      <c r="P629" s="590"/>
      <c r="Q629" s="590"/>
      <c r="R629" s="590"/>
      <c r="S629" s="590"/>
      <c r="T629" s="590"/>
      <c r="U629" s="590"/>
      <c r="V629" s="590"/>
      <c r="W629" s="590"/>
      <c r="X629" s="590"/>
      <c r="Y629" s="590"/>
      <c r="Z629" s="590"/>
    </row>
    <row r="630" spans="1:26" ht="15.75" customHeight="1">
      <c r="A630" s="590"/>
      <c r="B630" s="590"/>
      <c r="C630" s="590"/>
      <c r="D630" s="590"/>
      <c r="E630" s="590"/>
      <c r="F630" s="590"/>
      <c r="G630" s="590"/>
      <c r="H630" s="590"/>
      <c r="I630" s="590"/>
      <c r="J630" s="590"/>
      <c r="K630" s="590"/>
      <c r="L630" s="590"/>
      <c r="M630" s="590"/>
      <c r="N630" s="590"/>
      <c r="O630" s="590"/>
      <c r="P630" s="590"/>
      <c r="Q630" s="590"/>
      <c r="R630" s="590"/>
      <c r="S630" s="590"/>
      <c r="T630" s="590"/>
      <c r="U630" s="590"/>
      <c r="V630" s="590"/>
      <c r="W630" s="590"/>
      <c r="X630" s="590"/>
      <c r="Y630" s="590"/>
      <c r="Z630" s="590"/>
    </row>
    <row r="631" spans="1:26" ht="15.75" customHeight="1">
      <c r="A631" s="590"/>
      <c r="B631" s="590"/>
      <c r="C631" s="590"/>
      <c r="D631" s="590"/>
      <c r="E631" s="590"/>
      <c r="F631" s="590"/>
      <c r="G631" s="590"/>
      <c r="H631" s="590"/>
      <c r="I631" s="590"/>
      <c r="J631" s="590"/>
      <c r="K631" s="590"/>
      <c r="L631" s="590"/>
      <c r="M631" s="590"/>
      <c r="N631" s="590"/>
      <c r="O631" s="590"/>
      <c r="P631" s="590"/>
      <c r="Q631" s="590"/>
      <c r="R631" s="590"/>
      <c r="S631" s="590"/>
      <c r="T631" s="590"/>
      <c r="U631" s="590"/>
      <c r="V631" s="590"/>
      <c r="W631" s="590"/>
      <c r="X631" s="590"/>
      <c r="Y631" s="590"/>
      <c r="Z631" s="590"/>
    </row>
    <row r="632" spans="1:26" ht="15.75" customHeight="1">
      <c r="A632" s="590"/>
      <c r="B632" s="590"/>
      <c r="C632" s="590"/>
      <c r="D632" s="590"/>
      <c r="E632" s="590"/>
      <c r="F632" s="590"/>
      <c r="G632" s="590"/>
      <c r="H632" s="590"/>
      <c r="I632" s="590"/>
      <c r="J632" s="590"/>
      <c r="K632" s="590"/>
      <c r="L632" s="590"/>
      <c r="M632" s="590"/>
      <c r="N632" s="590"/>
      <c r="O632" s="590"/>
      <c r="P632" s="590"/>
      <c r="Q632" s="590"/>
      <c r="R632" s="590"/>
      <c r="S632" s="590"/>
      <c r="T632" s="590"/>
      <c r="U632" s="590"/>
      <c r="V632" s="590"/>
      <c r="W632" s="590"/>
      <c r="X632" s="590"/>
      <c r="Y632" s="590"/>
      <c r="Z632" s="590"/>
    </row>
    <row r="633" spans="1:26" ht="15.75" customHeight="1">
      <c r="A633" s="590"/>
      <c r="B633" s="590"/>
      <c r="C633" s="590"/>
      <c r="D633" s="590"/>
      <c r="E633" s="590"/>
      <c r="F633" s="590"/>
      <c r="G633" s="590"/>
      <c r="H633" s="590"/>
      <c r="I633" s="590"/>
      <c r="J633" s="590"/>
      <c r="K633" s="590"/>
      <c r="L633" s="590"/>
      <c r="M633" s="590"/>
      <c r="N633" s="590"/>
      <c r="O633" s="590"/>
      <c r="P633" s="590"/>
      <c r="Q633" s="590"/>
      <c r="R633" s="590"/>
      <c r="S633" s="590"/>
      <c r="T633" s="590"/>
      <c r="U633" s="590"/>
      <c r="V633" s="590"/>
      <c r="W633" s="590"/>
      <c r="X633" s="590"/>
      <c r="Y633" s="590"/>
      <c r="Z633" s="590"/>
    </row>
    <row r="634" spans="1:26" ht="15.75" customHeight="1">
      <c r="A634" s="590"/>
      <c r="B634" s="590"/>
      <c r="C634" s="590"/>
      <c r="D634" s="590"/>
      <c r="E634" s="590"/>
      <c r="F634" s="590"/>
      <c r="G634" s="590"/>
      <c r="H634" s="590"/>
      <c r="I634" s="590"/>
      <c r="J634" s="590"/>
      <c r="K634" s="590"/>
      <c r="L634" s="590"/>
      <c r="M634" s="590"/>
      <c r="N634" s="590"/>
      <c r="O634" s="590"/>
      <c r="P634" s="590"/>
      <c r="Q634" s="590"/>
      <c r="R634" s="590"/>
      <c r="S634" s="590"/>
      <c r="T634" s="590"/>
      <c r="U634" s="590"/>
      <c r="V634" s="590"/>
      <c r="W634" s="590"/>
      <c r="X634" s="590"/>
      <c r="Y634" s="590"/>
      <c r="Z634" s="590"/>
    </row>
    <row r="635" spans="1:26" ht="15.75" customHeight="1">
      <c r="A635" s="590"/>
      <c r="B635" s="590"/>
      <c r="C635" s="590"/>
      <c r="D635" s="590"/>
      <c r="E635" s="590"/>
      <c r="F635" s="590"/>
      <c r="G635" s="590"/>
      <c r="H635" s="590"/>
      <c r="I635" s="590"/>
      <c r="J635" s="590"/>
      <c r="K635" s="590"/>
      <c r="L635" s="590"/>
      <c r="M635" s="590"/>
      <c r="N635" s="590"/>
      <c r="O635" s="590"/>
      <c r="P635" s="590"/>
      <c r="Q635" s="590"/>
      <c r="R635" s="590"/>
      <c r="S635" s="590"/>
      <c r="T635" s="590"/>
      <c r="U635" s="590"/>
      <c r="V635" s="590"/>
      <c r="W635" s="590"/>
      <c r="X635" s="590"/>
      <c r="Y635" s="590"/>
      <c r="Z635" s="590"/>
    </row>
    <row r="636" spans="1:26" ht="15.75" customHeight="1">
      <c r="A636" s="590"/>
      <c r="B636" s="590"/>
      <c r="C636" s="590"/>
      <c r="D636" s="590"/>
      <c r="E636" s="590"/>
      <c r="F636" s="590"/>
      <c r="G636" s="590"/>
      <c r="H636" s="590"/>
      <c r="I636" s="590"/>
      <c r="J636" s="590"/>
      <c r="K636" s="590"/>
      <c r="L636" s="590"/>
      <c r="M636" s="590"/>
      <c r="N636" s="590"/>
      <c r="O636" s="590"/>
      <c r="P636" s="590"/>
      <c r="Q636" s="590"/>
      <c r="R636" s="590"/>
      <c r="S636" s="590"/>
      <c r="T636" s="590"/>
      <c r="U636" s="590"/>
      <c r="V636" s="590"/>
      <c r="W636" s="590"/>
      <c r="X636" s="590"/>
      <c r="Y636" s="590"/>
      <c r="Z636" s="590"/>
    </row>
    <row r="637" spans="1:26" ht="15.75" customHeight="1">
      <c r="A637" s="590"/>
      <c r="B637" s="590"/>
      <c r="C637" s="590"/>
      <c r="D637" s="590"/>
      <c r="E637" s="590"/>
      <c r="F637" s="590"/>
      <c r="G637" s="590"/>
      <c r="H637" s="590"/>
      <c r="I637" s="590"/>
      <c r="J637" s="590"/>
      <c r="K637" s="590"/>
      <c r="L637" s="590"/>
      <c r="M637" s="590"/>
      <c r="N637" s="590"/>
      <c r="O637" s="590"/>
      <c r="P637" s="590"/>
      <c r="Q637" s="590"/>
      <c r="R637" s="590"/>
      <c r="S637" s="590"/>
      <c r="T637" s="590"/>
      <c r="U637" s="590"/>
      <c r="V637" s="590"/>
      <c r="W637" s="590"/>
      <c r="X637" s="590"/>
      <c r="Y637" s="590"/>
      <c r="Z637" s="590"/>
    </row>
    <row r="638" spans="1:26" ht="15.75" customHeight="1">
      <c r="A638" s="590"/>
      <c r="B638" s="590"/>
      <c r="C638" s="590"/>
      <c r="D638" s="590"/>
      <c r="E638" s="590"/>
      <c r="F638" s="590"/>
      <c r="G638" s="590"/>
      <c r="H638" s="590"/>
      <c r="I638" s="590"/>
      <c r="J638" s="590"/>
      <c r="K638" s="590"/>
      <c r="L638" s="590"/>
      <c r="M638" s="590"/>
      <c r="N638" s="590"/>
      <c r="O638" s="590"/>
      <c r="P638" s="590"/>
      <c r="Q638" s="590"/>
      <c r="R638" s="590"/>
      <c r="S638" s="590"/>
      <c r="T638" s="590"/>
      <c r="U638" s="590"/>
      <c r="V638" s="590"/>
      <c r="W638" s="590"/>
      <c r="X638" s="590"/>
      <c r="Y638" s="590"/>
      <c r="Z638" s="590"/>
    </row>
    <row r="639" spans="1:26" ht="15.75" customHeight="1">
      <c r="A639" s="590"/>
      <c r="B639" s="590"/>
      <c r="C639" s="590"/>
      <c r="D639" s="590"/>
      <c r="E639" s="590"/>
      <c r="F639" s="590"/>
      <c r="G639" s="590"/>
      <c r="H639" s="590"/>
      <c r="I639" s="590"/>
      <c r="J639" s="590"/>
      <c r="K639" s="590"/>
      <c r="L639" s="590"/>
      <c r="M639" s="590"/>
      <c r="N639" s="590"/>
      <c r="O639" s="590"/>
      <c r="P639" s="590"/>
      <c r="Q639" s="590"/>
      <c r="R639" s="590"/>
      <c r="S639" s="590"/>
      <c r="T639" s="590"/>
      <c r="U639" s="590"/>
      <c r="V639" s="590"/>
      <c r="W639" s="590"/>
      <c r="X639" s="590"/>
      <c r="Y639" s="590"/>
      <c r="Z639" s="590"/>
    </row>
    <row r="640" spans="1:26" ht="15.75" customHeight="1">
      <c r="A640" s="590"/>
      <c r="B640" s="590"/>
      <c r="C640" s="590"/>
      <c r="D640" s="590"/>
      <c r="E640" s="590"/>
      <c r="F640" s="590"/>
      <c r="G640" s="590"/>
      <c r="H640" s="590"/>
      <c r="I640" s="590"/>
      <c r="J640" s="590"/>
      <c r="K640" s="590"/>
      <c r="L640" s="590"/>
      <c r="M640" s="590"/>
      <c r="N640" s="590"/>
      <c r="O640" s="590"/>
      <c r="P640" s="590"/>
      <c r="Q640" s="590"/>
      <c r="R640" s="590"/>
      <c r="S640" s="590"/>
      <c r="T640" s="590"/>
      <c r="U640" s="590"/>
      <c r="V640" s="590"/>
      <c r="W640" s="590"/>
      <c r="X640" s="590"/>
      <c r="Y640" s="590"/>
      <c r="Z640" s="590"/>
    </row>
    <row r="641" spans="1:26" ht="15.75" customHeight="1">
      <c r="A641" s="590"/>
      <c r="B641" s="590"/>
      <c r="C641" s="590"/>
      <c r="D641" s="590"/>
      <c r="E641" s="590"/>
      <c r="F641" s="590"/>
      <c r="G641" s="590"/>
      <c r="H641" s="590"/>
      <c r="I641" s="590"/>
      <c r="J641" s="590"/>
      <c r="K641" s="590"/>
      <c r="L641" s="590"/>
      <c r="M641" s="590"/>
      <c r="N641" s="590"/>
      <c r="O641" s="590"/>
      <c r="P641" s="590"/>
      <c r="Q641" s="590"/>
      <c r="R641" s="590"/>
      <c r="S641" s="590"/>
      <c r="T641" s="590"/>
      <c r="U641" s="590"/>
      <c r="V641" s="590"/>
      <c r="W641" s="590"/>
      <c r="X641" s="590"/>
      <c r="Y641" s="590"/>
      <c r="Z641" s="590"/>
    </row>
    <row r="642" spans="1:26" ht="15.75" customHeight="1">
      <c r="A642" s="590"/>
      <c r="B642" s="590"/>
      <c r="C642" s="590"/>
      <c r="D642" s="590"/>
      <c r="E642" s="590"/>
      <c r="F642" s="590"/>
      <c r="G642" s="590"/>
      <c r="H642" s="590"/>
      <c r="I642" s="590"/>
      <c r="J642" s="590"/>
      <c r="K642" s="590"/>
      <c r="L642" s="590"/>
      <c r="M642" s="590"/>
      <c r="N642" s="590"/>
      <c r="O642" s="590"/>
      <c r="P642" s="590"/>
      <c r="Q642" s="590"/>
      <c r="R642" s="590"/>
      <c r="S642" s="590"/>
      <c r="T642" s="590"/>
      <c r="U642" s="590"/>
      <c r="V642" s="590"/>
      <c r="W642" s="590"/>
      <c r="X642" s="590"/>
      <c r="Y642" s="590"/>
      <c r="Z642" s="590"/>
    </row>
    <row r="643" spans="1:26" ht="15.75" customHeight="1">
      <c r="A643" s="590"/>
      <c r="B643" s="590"/>
      <c r="C643" s="590"/>
      <c r="D643" s="590"/>
      <c r="E643" s="590"/>
      <c r="F643" s="590"/>
      <c r="G643" s="590"/>
      <c r="H643" s="590"/>
      <c r="I643" s="590"/>
      <c r="J643" s="590"/>
      <c r="K643" s="590"/>
      <c r="L643" s="590"/>
      <c r="M643" s="590"/>
      <c r="N643" s="590"/>
      <c r="O643" s="590"/>
      <c r="P643" s="590"/>
      <c r="Q643" s="590"/>
      <c r="R643" s="590"/>
      <c r="S643" s="590"/>
      <c r="T643" s="590"/>
      <c r="U643" s="590"/>
      <c r="V643" s="590"/>
      <c r="W643" s="590"/>
      <c r="X643" s="590"/>
      <c r="Y643" s="590"/>
      <c r="Z643" s="590"/>
    </row>
    <row r="644" spans="1:26" ht="15.75" customHeight="1">
      <c r="A644" s="590"/>
      <c r="B644" s="590"/>
      <c r="C644" s="590"/>
      <c r="D644" s="590"/>
      <c r="E644" s="590"/>
      <c r="F644" s="590"/>
      <c r="G644" s="590"/>
      <c r="H644" s="590"/>
      <c r="I644" s="590"/>
      <c r="J644" s="590"/>
      <c r="K644" s="590"/>
      <c r="L644" s="590"/>
      <c r="M644" s="590"/>
      <c r="N644" s="590"/>
      <c r="O644" s="590"/>
      <c r="P644" s="590"/>
      <c r="Q644" s="590"/>
      <c r="R644" s="590"/>
      <c r="S644" s="590"/>
      <c r="T644" s="590"/>
      <c r="U644" s="590"/>
      <c r="V644" s="590"/>
      <c r="W644" s="590"/>
      <c r="X644" s="590"/>
      <c r="Y644" s="590"/>
      <c r="Z644" s="590"/>
    </row>
    <row r="645" spans="1:26" ht="15.75" customHeight="1">
      <c r="A645" s="590"/>
      <c r="B645" s="590"/>
      <c r="C645" s="590"/>
      <c r="D645" s="590"/>
      <c r="E645" s="590"/>
      <c r="F645" s="590"/>
      <c r="G645" s="590"/>
      <c r="H645" s="590"/>
      <c r="I645" s="590"/>
      <c r="J645" s="590"/>
      <c r="K645" s="590"/>
      <c r="L645" s="590"/>
      <c r="M645" s="590"/>
      <c r="N645" s="590"/>
      <c r="O645" s="590"/>
      <c r="P645" s="590"/>
      <c r="Q645" s="590"/>
      <c r="R645" s="590"/>
      <c r="S645" s="590"/>
      <c r="T645" s="590"/>
      <c r="U645" s="590"/>
      <c r="V645" s="590"/>
      <c r="W645" s="590"/>
      <c r="X645" s="590"/>
      <c r="Y645" s="590"/>
      <c r="Z645" s="590"/>
    </row>
    <row r="646" spans="1:26" ht="15.75" customHeight="1">
      <c r="A646" s="590"/>
      <c r="B646" s="590"/>
      <c r="C646" s="590"/>
      <c r="D646" s="590"/>
      <c r="E646" s="590"/>
      <c r="F646" s="590"/>
      <c r="G646" s="590"/>
      <c r="H646" s="590"/>
      <c r="I646" s="590"/>
      <c r="J646" s="590"/>
      <c r="K646" s="590"/>
      <c r="L646" s="590"/>
      <c r="M646" s="590"/>
      <c r="N646" s="590"/>
      <c r="O646" s="590"/>
      <c r="P646" s="590"/>
      <c r="Q646" s="590"/>
      <c r="R646" s="590"/>
      <c r="S646" s="590"/>
      <c r="T646" s="590"/>
      <c r="U646" s="590"/>
      <c r="V646" s="590"/>
      <c r="W646" s="590"/>
      <c r="X646" s="590"/>
      <c r="Y646" s="590"/>
      <c r="Z646" s="590"/>
    </row>
    <row r="647" spans="1:26" ht="15.75" customHeight="1">
      <c r="A647" s="590"/>
      <c r="B647" s="590"/>
      <c r="C647" s="590"/>
      <c r="D647" s="590"/>
      <c r="E647" s="590"/>
      <c r="F647" s="590"/>
      <c r="G647" s="590"/>
      <c r="H647" s="590"/>
      <c r="I647" s="590"/>
      <c r="J647" s="590"/>
      <c r="K647" s="590"/>
      <c r="L647" s="590"/>
      <c r="M647" s="590"/>
      <c r="N647" s="590"/>
      <c r="O647" s="590"/>
      <c r="P647" s="590"/>
      <c r="Q647" s="590"/>
      <c r="R647" s="590"/>
      <c r="S647" s="590"/>
      <c r="T647" s="590"/>
      <c r="U647" s="590"/>
      <c r="V647" s="590"/>
      <c r="W647" s="590"/>
      <c r="X647" s="590"/>
      <c r="Y647" s="590"/>
      <c r="Z647" s="590"/>
    </row>
    <row r="648" spans="1:26" ht="15.75" customHeight="1">
      <c r="A648" s="590"/>
      <c r="B648" s="590"/>
      <c r="C648" s="590"/>
      <c r="D648" s="590"/>
      <c r="E648" s="590"/>
      <c r="F648" s="590"/>
      <c r="G648" s="590"/>
      <c r="H648" s="590"/>
      <c r="I648" s="590"/>
      <c r="J648" s="590"/>
      <c r="K648" s="590"/>
      <c r="L648" s="590"/>
      <c r="M648" s="590"/>
      <c r="N648" s="590"/>
      <c r="O648" s="590"/>
      <c r="P648" s="590"/>
      <c r="Q648" s="590"/>
      <c r="R648" s="590"/>
      <c r="S648" s="590"/>
      <c r="T648" s="590"/>
      <c r="U648" s="590"/>
      <c r="V648" s="590"/>
      <c r="W648" s="590"/>
      <c r="X648" s="590"/>
      <c r="Y648" s="590"/>
      <c r="Z648" s="590"/>
    </row>
    <row r="649" spans="1:26" ht="15.75" customHeight="1">
      <c r="A649" s="590"/>
      <c r="B649" s="590"/>
      <c r="C649" s="590"/>
      <c r="D649" s="590"/>
      <c r="E649" s="590"/>
      <c r="F649" s="590"/>
      <c r="G649" s="590"/>
      <c r="H649" s="590"/>
      <c r="I649" s="590"/>
      <c r="J649" s="590"/>
      <c r="K649" s="590"/>
      <c r="L649" s="590"/>
      <c r="M649" s="590"/>
      <c r="N649" s="590"/>
      <c r="O649" s="590"/>
      <c r="P649" s="590"/>
      <c r="Q649" s="590"/>
      <c r="R649" s="590"/>
      <c r="S649" s="590"/>
      <c r="T649" s="590"/>
      <c r="U649" s="590"/>
      <c r="V649" s="590"/>
      <c r="W649" s="590"/>
      <c r="X649" s="590"/>
      <c r="Y649" s="590"/>
      <c r="Z649" s="590"/>
    </row>
    <row r="650" spans="1:26" ht="15.75" customHeight="1">
      <c r="A650" s="590"/>
      <c r="B650" s="590"/>
      <c r="C650" s="590"/>
      <c r="D650" s="590"/>
      <c r="E650" s="590"/>
      <c r="F650" s="590"/>
      <c r="G650" s="590"/>
      <c r="H650" s="590"/>
      <c r="I650" s="590"/>
      <c r="J650" s="590"/>
      <c r="K650" s="590"/>
      <c r="L650" s="590"/>
      <c r="M650" s="590"/>
      <c r="N650" s="590"/>
      <c r="O650" s="590"/>
      <c r="P650" s="590"/>
      <c r="Q650" s="590"/>
      <c r="R650" s="590"/>
      <c r="S650" s="590"/>
      <c r="T650" s="590"/>
      <c r="U650" s="590"/>
      <c r="V650" s="590"/>
      <c r="W650" s="590"/>
      <c r="X650" s="590"/>
      <c r="Y650" s="590"/>
      <c r="Z650" s="590"/>
    </row>
    <row r="651" spans="1:26" ht="15.75" customHeight="1">
      <c r="A651" s="590"/>
      <c r="B651" s="590"/>
      <c r="C651" s="590"/>
      <c r="D651" s="590"/>
      <c r="E651" s="590"/>
      <c r="F651" s="590"/>
      <c r="G651" s="590"/>
      <c r="H651" s="590"/>
      <c r="I651" s="590"/>
      <c r="J651" s="590"/>
      <c r="K651" s="590"/>
      <c r="L651" s="590"/>
      <c r="M651" s="590"/>
      <c r="N651" s="590"/>
      <c r="O651" s="590"/>
      <c r="P651" s="590"/>
      <c r="Q651" s="590"/>
      <c r="R651" s="590"/>
      <c r="S651" s="590"/>
      <c r="T651" s="590"/>
      <c r="U651" s="590"/>
      <c r="V651" s="590"/>
      <c r="W651" s="590"/>
      <c r="X651" s="590"/>
      <c r="Y651" s="590"/>
      <c r="Z651" s="590"/>
    </row>
    <row r="652" spans="1:26" ht="15.75" customHeight="1">
      <c r="A652" s="590"/>
      <c r="B652" s="590"/>
      <c r="C652" s="590"/>
      <c r="D652" s="590"/>
      <c r="E652" s="590"/>
      <c r="F652" s="590"/>
      <c r="G652" s="590"/>
      <c r="H652" s="590"/>
      <c r="I652" s="590"/>
      <c r="J652" s="590"/>
      <c r="K652" s="590"/>
      <c r="L652" s="590"/>
      <c r="M652" s="590"/>
      <c r="N652" s="590"/>
      <c r="O652" s="590"/>
      <c r="P652" s="590"/>
      <c r="Q652" s="590"/>
      <c r="R652" s="590"/>
      <c r="S652" s="590"/>
      <c r="T652" s="590"/>
      <c r="U652" s="590"/>
      <c r="V652" s="590"/>
      <c r="W652" s="590"/>
      <c r="X652" s="590"/>
      <c r="Y652" s="590"/>
      <c r="Z652" s="590"/>
    </row>
    <row r="653" spans="1:26" ht="15.75" customHeight="1">
      <c r="A653" s="590"/>
      <c r="B653" s="590"/>
      <c r="C653" s="590"/>
      <c r="D653" s="590"/>
      <c r="E653" s="590"/>
      <c r="F653" s="590"/>
      <c r="G653" s="590"/>
      <c r="H653" s="590"/>
      <c r="I653" s="590"/>
      <c r="J653" s="590"/>
      <c r="K653" s="590"/>
      <c r="L653" s="590"/>
      <c r="M653" s="590"/>
      <c r="N653" s="590"/>
      <c r="O653" s="590"/>
      <c r="P653" s="590"/>
      <c r="Q653" s="590"/>
      <c r="R653" s="590"/>
      <c r="S653" s="590"/>
      <c r="T653" s="590"/>
      <c r="U653" s="590"/>
      <c r="V653" s="590"/>
      <c r="W653" s="590"/>
      <c r="X653" s="590"/>
      <c r="Y653" s="590"/>
      <c r="Z653" s="590"/>
    </row>
    <row r="654" spans="1:26" ht="15.75" customHeight="1">
      <c r="A654" s="590"/>
      <c r="B654" s="590"/>
      <c r="C654" s="590"/>
      <c r="D654" s="590"/>
      <c r="E654" s="590"/>
      <c r="F654" s="590"/>
      <c r="G654" s="590"/>
      <c r="H654" s="590"/>
      <c r="I654" s="590"/>
      <c r="J654" s="590"/>
      <c r="K654" s="590"/>
      <c r="L654" s="590"/>
      <c r="M654" s="590"/>
      <c r="N654" s="590"/>
      <c r="O654" s="590"/>
      <c r="P654" s="590"/>
      <c r="Q654" s="590"/>
      <c r="R654" s="590"/>
      <c r="S654" s="590"/>
      <c r="T654" s="590"/>
      <c r="U654" s="590"/>
      <c r="V654" s="590"/>
      <c r="W654" s="590"/>
      <c r="X654" s="590"/>
      <c r="Y654" s="590"/>
      <c r="Z654" s="590"/>
    </row>
    <row r="655" spans="1:26" ht="15.75" customHeight="1">
      <c r="A655" s="590"/>
      <c r="B655" s="590"/>
      <c r="C655" s="590"/>
      <c r="D655" s="590"/>
      <c r="E655" s="590"/>
      <c r="F655" s="590"/>
      <c r="G655" s="590"/>
      <c r="H655" s="590"/>
      <c r="I655" s="590"/>
      <c r="J655" s="590"/>
      <c r="K655" s="590"/>
      <c r="L655" s="590"/>
      <c r="M655" s="590"/>
      <c r="N655" s="590"/>
      <c r="O655" s="590"/>
      <c r="P655" s="590"/>
      <c r="Q655" s="590"/>
      <c r="R655" s="590"/>
      <c r="S655" s="590"/>
      <c r="T655" s="590"/>
      <c r="U655" s="590"/>
      <c r="V655" s="590"/>
      <c r="W655" s="590"/>
      <c r="X655" s="590"/>
      <c r="Y655" s="590"/>
      <c r="Z655" s="590"/>
    </row>
    <row r="656" spans="1:26" ht="15.75" customHeight="1">
      <c r="A656" s="590"/>
      <c r="B656" s="590"/>
      <c r="C656" s="590"/>
      <c r="D656" s="590"/>
      <c r="E656" s="590"/>
      <c r="F656" s="590"/>
      <c r="G656" s="590"/>
      <c r="H656" s="590"/>
      <c r="I656" s="590"/>
      <c r="J656" s="590"/>
      <c r="K656" s="590"/>
      <c r="L656" s="590"/>
      <c r="M656" s="590"/>
      <c r="N656" s="590"/>
      <c r="O656" s="590"/>
      <c r="P656" s="590"/>
      <c r="Q656" s="590"/>
      <c r="R656" s="590"/>
      <c r="S656" s="590"/>
      <c r="T656" s="590"/>
      <c r="U656" s="590"/>
      <c r="V656" s="590"/>
      <c r="W656" s="590"/>
      <c r="X656" s="590"/>
      <c r="Y656" s="590"/>
      <c r="Z656" s="590"/>
    </row>
    <row r="657" spans="1:26" ht="15.75" customHeight="1">
      <c r="A657" s="590"/>
      <c r="B657" s="590"/>
      <c r="C657" s="590"/>
      <c r="D657" s="590"/>
      <c r="E657" s="590"/>
      <c r="F657" s="590"/>
      <c r="G657" s="590"/>
      <c r="H657" s="590"/>
      <c r="I657" s="590"/>
      <c r="J657" s="590"/>
      <c r="K657" s="590"/>
      <c r="L657" s="590"/>
      <c r="M657" s="590"/>
      <c r="N657" s="590"/>
      <c r="O657" s="590"/>
      <c r="P657" s="590"/>
      <c r="Q657" s="590"/>
      <c r="R657" s="590"/>
      <c r="S657" s="590"/>
      <c r="T657" s="590"/>
      <c r="U657" s="590"/>
      <c r="V657" s="590"/>
      <c r="W657" s="590"/>
      <c r="X657" s="590"/>
      <c r="Y657" s="590"/>
      <c r="Z657" s="590"/>
    </row>
    <row r="658" spans="1:26" ht="15.75" customHeight="1">
      <c r="A658" s="590"/>
      <c r="B658" s="590"/>
      <c r="C658" s="590"/>
      <c r="D658" s="590"/>
      <c r="E658" s="590"/>
      <c r="F658" s="590"/>
      <c r="G658" s="590"/>
      <c r="H658" s="590"/>
      <c r="I658" s="590"/>
      <c r="J658" s="590"/>
      <c r="K658" s="590"/>
      <c r="L658" s="590"/>
      <c r="M658" s="590"/>
      <c r="N658" s="590"/>
      <c r="O658" s="590"/>
      <c r="P658" s="590"/>
      <c r="Q658" s="590"/>
      <c r="R658" s="590"/>
      <c r="S658" s="590"/>
      <c r="T658" s="590"/>
      <c r="U658" s="590"/>
      <c r="V658" s="590"/>
      <c r="W658" s="590"/>
      <c r="X658" s="590"/>
      <c r="Y658" s="590"/>
      <c r="Z658" s="590"/>
    </row>
    <row r="659" spans="1:26" ht="15.75" customHeight="1">
      <c r="A659" s="590"/>
      <c r="B659" s="590"/>
      <c r="C659" s="590"/>
      <c r="D659" s="590"/>
      <c r="E659" s="590"/>
      <c r="F659" s="590"/>
      <c r="G659" s="590"/>
      <c r="H659" s="590"/>
      <c r="I659" s="590"/>
      <c r="J659" s="590"/>
      <c r="K659" s="590"/>
      <c r="L659" s="590"/>
      <c r="M659" s="590"/>
      <c r="N659" s="590"/>
      <c r="O659" s="590"/>
      <c r="P659" s="590"/>
      <c r="Q659" s="590"/>
      <c r="R659" s="590"/>
      <c r="S659" s="590"/>
      <c r="T659" s="590"/>
      <c r="U659" s="590"/>
      <c r="V659" s="590"/>
      <c r="W659" s="590"/>
      <c r="X659" s="590"/>
      <c r="Y659" s="590"/>
      <c r="Z659" s="590"/>
    </row>
    <row r="660" spans="1:26" ht="15.75" customHeight="1">
      <c r="A660" s="590"/>
      <c r="B660" s="590"/>
      <c r="C660" s="590"/>
      <c r="D660" s="590"/>
      <c r="E660" s="590"/>
      <c r="F660" s="590"/>
      <c r="G660" s="590"/>
      <c r="H660" s="590"/>
      <c r="I660" s="590"/>
      <c r="J660" s="590"/>
      <c r="K660" s="590"/>
      <c r="L660" s="590"/>
      <c r="M660" s="590"/>
      <c r="N660" s="590"/>
      <c r="O660" s="590"/>
      <c r="P660" s="590"/>
      <c r="Q660" s="590"/>
      <c r="R660" s="590"/>
      <c r="S660" s="590"/>
      <c r="T660" s="590"/>
      <c r="U660" s="590"/>
      <c r="V660" s="590"/>
      <c r="W660" s="590"/>
      <c r="X660" s="590"/>
      <c r="Y660" s="590"/>
      <c r="Z660" s="590"/>
    </row>
    <row r="661" spans="1:26" ht="15.75" customHeight="1">
      <c r="A661" s="590"/>
      <c r="B661" s="590"/>
      <c r="C661" s="590"/>
      <c r="D661" s="590"/>
      <c r="E661" s="590"/>
      <c r="F661" s="590"/>
      <c r="G661" s="590"/>
      <c r="H661" s="590"/>
      <c r="I661" s="590"/>
      <c r="J661" s="590"/>
      <c r="K661" s="590"/>
      <c r="L661" s="590"/>
      <c r="M661" s="590"/>
      <c r="N661" s="590"/>
      <c r="O661" s="590"/>
      <c r="P661" s="590"/>
      <c r="Q661" s="590"/>
      <c r="R661" s="590"/>
      <c r="S661" s="590"/>
      <c r="T661" s="590"/>
      <c r="U661" s="590"/>
      <c r="V661" s="590"/>
      <c r="W661" s="590"/>
      <c r="X661" s="590"/>
      <c r="Y661" s="590"/>
      <c r="Z661" s="590"/>
    </row>
    <row r="662" spans="1:26" ht="15.75" customHeight="1">
      <c r="A662" s="590"/>
      <c r="B662" s="590"/>
      <c r="C662" s="590"/>
      <c r="D662" s="590"/>
      <c r="E662" s="590"/>
      <c r="F662" s="590"/>
      <c r="G662" s="590"/>
      <c r="H662" s="590"/>
      <c r="I662" s="590"/>
      <c r="J662" s="590"/>
      <c r="K662" s="590"/>
      <c r="L662" s="590"/>
      <c r="M662" s="590"/>
      <c r="N662" s="590"/>
      <c r="O662" s="590"/>
      <c r="P662" s="590"/>
      <c r="Q662" s="590"/>
      <c r="R662" s="590"/>
      <c r="S662" s="590"/>
      <c r="T662" s="590"/>
      <c r="U662" s="590"/>
      <c r="V662" s="590"/>
      <c r="W662" s="590"/>
      <c r="X662" s="590"/>
      <c r="Y662" s="590"/>
      <c r="Z662" s="590"/>
    </row>
    <row r="663" spans="1:26" ht="15.75" customHeight="1">
      <c r="A663" s="590"/>
      <c r="B663" s="590"/>
      <c r="C663" s="590"/>
      <c r="D663" s="590"/>
      <c r="E663" s="590"/>
      <c r="F663" s="590"/>
      <c r="G663" s="590"/>
      <c r="H663" s="590"/>
      <c r="I663" s="590"/>
      <c r="J663" s="590"/>
      <c r="K663" s="590"/>
      <c r="L663" s="590"/>
      <c r="M663" s="590"/>
      <c r="N663" s="590"/>
      <c r="O663" s="590"/>
      <c r="P663" s="590"/>
      <c r="Q663" s="590"/>
      <c r="R663" s="590"/>
      <c r="S663" s="590"/>
      <c r="T663" s="590"/>
      <c r="U663" s="590"/>
      <c r="V663" s="590"/>
      <c r="W663" s="590"/>
      <c r="X663" s="590"/>
      <c r="Y663" s="590"/>
      <c r="Z663" s="590"/>
    </row>
    <row r="664" spans="1:26" ht="15.75" customHeight="1">
      <c r="A664" s="590"/>
      <c r="B664" s="590"/>
      <c r="C664" s="590"/>
      <c r="D664" s="590"/>
      <c r="E664" s="590"/>
      <c r="F664" s="590"/>
      <c r="G664" s="590"/>
      <c r="H664" s="590"/>
      <c r="I664" s="590"/>
      <c r="J664" s="590"/>
      <c r="K664" s="590"/>
      <c r="L664" s="590"/>
      <c r="M664" s="590"/>
      <c r="N664" s="590"/>
      <c r="O664" s="590"/>
      <c r="P664" s="590"/>
      <c r="Q664" s="590"/>
      <c r="R664" s="590"/>
      <c r="S664" s="590"/>
      <c r="T664" s="590"/>
      <c r="U664" s="590"/>
      <c r="V664" s="590"/>
      <c r="W664" s="590"/>
      <c r="X664" s="590"/>
      <c r="Y664" s="590"/>
      <c r="Z664" s="590"/>
    </row>
    <row r="665" spans="1:26" ht="15.75" customHeight="1">
      <c r="A665" s="590"/>
      <c r="B665" s="590"/>
      <c r="C665" s="590"/>
      <c r="D665" s="590"/>
      <c r="E665" s="590"/>
      <c r="F665" s="590"/>
      <c r="G665" s="590"/>
      <c r="H665" s="590"/>
      <c r="I665" s="590"/>
      <c r="J665" s="590"/>
      <c r="K665" s="590"/>
      <c r="L665" s="590"/>
      <c r="M665" s="590"/>
      <c r="N665" s="590"/>
      <c r="O665" s="590"/>
      <c r="P665" s="590"/>
      <c r="Q665" s="590"/>
      <c r="R665" s="590"/>
      <c r="S665" s="590"/>
      <c r="T665" s="590"/>
      <c r="U665" s="590"/>
      <c r="V665" s="590"/>
      <c r="W665" s="590"/>
      <c r="X665" s="590"/>
      <c r="Y665" s="590"/>
      <c r="Z665" s="590"/>
    </row>
    <row r="666" spans="1:26" ht="15.75" customHeight="1">
      <c r="A666" s="590"/>
      <c r="B666" s="590"/>
      <c r="C666" s="590"/>
      <c r="D666" s="590"/>
      <c r="E666" s="590"/>
      <c r="F666" s="590"/>
      <c r="G666" s="590"/>
      <c r="H666" s="590"/>
      <c r="I666" s="590"/>
      <c r="J666" s="590"/>
      <c r="K666" s="590"/>
      <c r="L666" s="590"/>
      <c r="M666" s="590"/>
      <c r="N666" s="590"/>
      <c r="O666" s="590"/>
      <c r="P666" s="590"/>
      <c r="Q666" s="590"/>
      <c r="R666" s="590"/>
      <c r="S666" s="590"/>
      <c r="T666" s="590"/>
      <c r="U666" s="590"/>
      <c r="V666" s="590"/>
      <c r="W666" s="590"/>
      <c r="X666" s="590"/>
      <c r="Y666" s="590"/>
      <c r="Z666" s="590"/>
    </row>
    <row r="667" spans="1:26" ht="15.75" customHeight="1">
      <c r="A667" s="590"/>
      <c r="B667" s="590"/>
      <c r="C667" s="590"/>
      <c r="D667" s="590"/>
      <c r="E667" s="590"/>
      <c r="F667" s="590"/>
      <c r="G667" s="590"/>
      <c r="H667" s="590"/>
      <c r="I667" s="590"/>
      <c r="J667" s="590"/>
      <c r="K667" s="590"/>
      <c r="L667" s="590"/>
      <c r="M667" s="590"/>
      <c r="N667" s="590"/>
      <c r="O667" s="590"/>
      <c r="P667" s="590"/>
      <c r="Q667" s="590"/>
      <c r="R667" s="590"/>
      <c r="S667" s="590"/>
      <c r="T667" s="590"/>
      <c r="U667" s="590"/>
      <c r="V667" s="590"/>
      <c r="W667" s="590"/>
      <c r="X667" s="590"/>
      <c r="Y667" s="590"/>
      <c r="Z667" s="590"/>
    </row>
    <row r="668" spans="1:26" ht="15.75" customHeight="1">
      <c r="A668" s="590"/>
      <c r="B668" s="590"/>
      <c r="C668" s="590"/>
      <c r="D668" s="590"/>
      <c r="E668" s="590"/>
      <c r="F668" s="590"/>
      <c r="G668" s="590"/>
      <c r="H668" s="590"/>
      <c r="I668" s="590"/>
      <c r="J668" s="590"/>
      <c r="K668" s="590"/>
      <c r="L668" s="590"/>
      <c r="M668" s="590"/>
      <c r="N668" s="590"/>
      <c r="O668" s="590"/>
      <c r="P668" s="590"/>
      <c r="Q668" s="590"/>
      <c r="R668" s="590"/>
      <c r="S668" s="590"/>
      <c r="T668" s="590"/>
      <c r="U668" s="590"/>
      <c r="V668" s="590"/>
      <c r="W668" s="590"/>
      <c r="X668" s="590"/>
      <c r="Y668" s="590"/>
      <c r="Z668" s="590"/>
    </row>
    <row r="669" spans="1:26" ht="15.75" customHeight="1">
      <c r="A669" s="590"/>
      <c r="B669" s="590"/>
      <c r="C669" s="590"/>
      <c r="D669" s="590"/>
      <c r="E669" s="590"/>
      <c r="F669" s="590"/>
      <c r="G669" s="590"/>
      <c r="H669" s="590"/>
      <c r="I669" s="590"/>
      <c r="J669" s="590"/>
      <c r="K669" s="590"/>
      <c r="L669" s="590"/>
      <c r="M669" s="590"/>
      <c r="N669" s="590"/>
      <c r="O669" s="590"/>
      <c r="P669" s="590"/>
      <c r="Q669" s="590"/>
      <c r="R669" s="590"/>
      <c r="S669" s="590"/>
      <c r="T669" s="590"/>
      <c r="U669" s="590"/>
      <c r="V669" s="590"/>
      <c r="W669" s="590"/>
      <c r="X669" s="590"/>
      <c r="Y669" s="590"/>
      <c r="Z669" s="590"/>
    </row>
    <row r="670" spans="1:26" ht="15.75" customHeight="1">
      <c r="A670" s="590"/>
      <c r="B670" s="590"/>
      <c r="C670" s="590"/>
      <c r="D670" s="590"/>
      <c r="E670" s="590"/>
      <c r="F670" s="590"/>
      <c r="G670" s="590"/>
      <c r="H670" s="590"/>
      <c r="I670" s="590"/>
      <c r="J670" s="590"/>
      <c r="K670" s="590"/>
      <c r="L670" s="590"/>
      <c r="M670" s="590"/>
      <c r="N670" s="590"/>
      <c r="O670" s="590"/>
      <c r="P670" s="590"/>
      <c r="Q670" s="590"/>
      <c r="R670" s="590"/>
      <c r="S670" s="590"/>
      <c r="T670" s="590"/>
      <c r="U670" s="590"/>
      <c r="V670" s="590"/>
      <c r="W670" s="590"/>
      <c r="X670" s="590"/>
      <c r="Y670" s="590"/>
      <c r="Z670" s="590"/>
    </row>
    <row r="671" spans="1:26" ht="15.75" customHeight="1">
      <c r="A671" s="590"/>
      <c r="B671" s="590"/>
      <c r="C671" s="590"/>
      <c r="D671" s="590"/>
      <c r="E671" s="590"/>
      <c r="F671" s="590"/>
      <c r="G671" s="590"/>
      <c r="H671" s="590"/>
      <c r="I671" s="590"/>
      <c r="J671" s="590"/>
      <c r="K671" s="590"/>
      <c r="L671" s="590"/>
      <c r="M671" s="590"/>
      <c r="N671" s="590"/>
      <c r="O671" s="590"/>
      <c r="P671" s="590"/>
      <c r="Q671" s="590"/>
      <c r="R671" s="590"/>
      <c r="S671" s="590"/>
      <c r="T671" s="590"/>
      <c r="U671" s="590"/>
      <c r="V671" s="590"/>
      <c r="W671" s="590"/>
      <c r="X671" s="590"/>
      <c r="Y671" s="590"/>
      <c r="Z671" s="590"/>
    </row>
    <row r="672" spans="1:26" ht="15.75" customHeight="1">
      <c r="A672" s="590"/>
      <c r="B672" s="590"/>
      <c r="C672" s="590"/>
      <c r="D672" s="590"/>
      <c r="E672" s="590"/>
      <c r="F672" s="590"/>
      <c r="G672" s="590"/>
      <c r="H672" s="590"/>
      <c r="I672" s="590"/>
      <c r="J672" s="590"/>
      <c r="K672" s="590"/>
      <c r="L672" s="590"/>
      <c r="M672" s="590"/>
      <c r="N672" s="590"/>
      <c r="O672" s="590"/>
      <c r="P672" s="590"/>
      <c r="Q672" s="590"/>
      <c r="R672" s="590"/>
      <c r="S672" s="590"/>
      <c r="T672" s="590"/>
      <c r="U672" s="590"/>
      <c r="V672" s="590"/>
      <c r="W672" s="590"/>
      <c r="X672" s="590"/>
      <c r="Y672" s="590"/>
      <c r="Z672" s="590"/>
    </row>
    <row r="673" spans="1:26" ht="15.75" customHeight="1">
      <c r="A673" s="590"/>
      <c r="B673" s="590"/>
      <c r="C673" s="590"/>
      <c r="D673" s="590"/>
      <c r="E673" s="590"/>
      <c r="F673" s="590"/>
      <c r="G673" s="590"/>
      <c r="H673" s="590"/>
      <c r="I673" s="590"/>
      <c r="J673" s="590"/>
      <c r="K673" s="590"/>
      <c r="L673" s="590"/>
      <c r="M673" s="590"/>
      <c r="N673" s="590"/>
      <c r="O673" s="590"/>
      <c r="P673" s="590"/>
      <c r="Q673" s="590"/>
      <c r="R673" s="590"/>
      <c r="S673" s="590"/>
      <c r="T673" s="590"/>
      <c r="U673" s="590"/>
      <c r="V673" s="590"/>
      <c r="W673" s="590"/>
      <c r="X673" s="590"/>
      <c r="Y673" s="590"/>
      <c r="Z673" s="590"/>
    </row>
    <row r="674" spans="1:26" ht="15.75" customHeight="1">
      <c r="A674" s="590"/>
      <c r="B674" s="590"/>
      <c r="C674" s="590"/>
      <c r="D674" s="590"/>
      <c r="E674" s="590"/>
      <c r="F674" s="590"/>
      <c r="G674" s="590"/>
      <c r="H674" s="590"/>
      <c r="I674" s="590"/>
      <c r="J674" s="590"/>
      <c r="K674" s="590"/>
      <c r="L674" s="590"/>
      <c r="M674" s="590"/>
      <c r="N674" s="590"/>
      <c r="O674" s="590"/>
      <c r="P674" s="590"/>
      <c r="Q674" s="590"/>
      <c r="R674" s="590"/>
      <c r="S674" s="590"/>
      <c r="T674" s="590"/>
      <c r="U674" s="590"/>
      <c r="V674" s="590"/>
      <c r="W674" s="590"/>
      <c r="X674" s="590"/>
      <c r="Y674" s="590"/>
      <c r="Z674" s="590"/>
    </row>
    <row r="675" spans="1:26" ht="15.75" customHeight="1">
      <c r="A675" s="590"/>
      <c r="B675" s="590"/>
      <c r="C675" s="590"/>
      <c r="D675" s="590"/>
      <c r="E675" s="590"/>
      <c r="F675" s="590"/>
      <c r="G675" s="590"/>
      <c r="H675" s="590"/>
      <c r="I675" s="590"/>
      <c r="J675" s="590"/>
      <c r="K675" s="590"/>
      <c r="L675" s="590"/>
      <c r="M675" s="590"/>
      <c r="N675" s="590"/>
      <c r="O675" s="590"/>
      <c r="P675" s="590"/>
      <c r="Q675" s="590"/>
      <c r="R675" s="590"/>
      <c r="S675" s="590"/>
      <c r="T675" s="590"/>
      <c r="U675" s="590"/>
      <c r="V675" s="590"/>
      <c r="W675" s="590"/>
      <c r="X675" s="590"/>
      <c r="Y675" s="590"/>
      <c r="Z675" s="590"/>
    </row>
    <row r="676" spans="1:26" ht="15.75" customHeight="1">
      <c r="A676" s="590"/>
      <c r="B676" s="590"/>
      <c r="C676" s="590"/>
      <c r="D676" s="590"/>
      <c r="E676" s="590"/>
      <c r="F676" s="590"/>
      <c r="G676" s="590"/>
      <c r="H676" s="590"/>
      <c r="I676" s="590"/>
      <c r="J676" s="590"/>
      <c r="K676" s="590"/>
      <c r="L676" s="590"/>
      <c r="M676" s="590"/>
      <c r="N676" s="590"/>
      <c r="O676" s="590"/>
      <c r="P676" s="590"/>
      <c r="Q676" s="590"/>
      <c r="R676" s="590"/>
      <c r="S676" s="590"/>
      <c r="T676" s="590"/>
      <c r="U676" s="590"/>
      <c r="V676" s="590"/>
      <c r="W676" s="590"/>
      <c r="X676" s="590"/>
      <c r="Y676" s="590"/>
      <c r="Z676" s="590"/>
    </row>
    <row r="677" spans="1:26" ht="15.75" customHeight="1">
      <c r="A677" s="590"/>
      <c r="B677" s="590"/>
      <c r="C677" s="590"/>
      <c r="D677" s="590"/>
      <c r="E677" s="590"/>
      <c r="F677" s="590"/>
      <c r="G677" s="590"/>
      <c r="H677" s="590"/>
      <c r="I677" s="590"/>
      <c r="J677" s="590"/>
      <c r="K677" s="590"/>
      <c r="L677" s="590"/>
      <c r="M677" s="590"/>
      <c r="N677" s="590"/>
      <c r="O677" s="590"/>
      <c r="P677" s="590"/>
      <c r="Q677" s="590"/>
      <c r="R677" s="590"/>
      <c r="S677" s="590"/>
      <c r="T677" s="590"/>
      <c r="U677" s="590"/>
      <c r="V677" s="590"/>
      <c r="W677" s="590"/>
      <c r="X677" s="590"/>
      <c r="Y677" s="590"/>
      <c r="Z677" s="590"/>
    </row>
    <row r="678" spans="1:26" ht="15.75" customHeight="1">
      <c r="A678" s="590"/>
      <c r="B678" s="590"/>
      <c r="C678" s="590"/>
      <c r="D678" s="590"/>
      <c r="E678" s="590"/>
      <c r="F678" s="590"/>
      <c r="G678" s="590"/>
      <c r="H678" s="590"/>
      <c r="I678" s="590"/>
      <c r="J678" s="590"/>
      <c r="K678" s="590"/>
      <c r="L678" s="590"/>
      <c r="M678" s="590"/>
      <c r="N678" s="590"/>
      <c r="O678" s="590"/>
      <c r="P678" s="590"/>
      <c r="Q678" s="590"/>
      <c r="R678" s="590"/>
      <c r="S678" s="590"/>
      <c r="T678" s="590"/>
      <c r="U678" s="590"/>
      <c r="V678" s="590"/>
      <c r="W678" s="590"/>
      <c r="X678" s="590"/>
      <c r="Y678" s="590"/>
      <c r="Z678" s="590"/>
    </row>
    <row r="679" spans="1:26" ht="15.75" customHeight="1">
      <c r="A679" s="590"/>
      <c r="B679" s="590"/>
      <c r="C679" s="590"/>
      <c r="D679" s="590"/>
      <c r="E679" s="590"/>
      <c r="F679" s="590"/>
      <c r="G679" s="590"/>
      <c r="H679" s="590"/>
      <c r="I679" s="590"/>
      <c r="J679" s="590"/>
      <c r="K679" s="590"/>
      <c r="L679" s="590"/>
      <c r="M679" s="590"/>
      <c r="N679" s="590"/>
      <c r="O679" s="590"/>
      <c r="P679" s="590"/>
      <c r="Q679" s="590"/>
      <c r="R679" s="590"/>
      <c r="S679" s="590"/>
      <c r="T679" s="590"/>
      <c r="U679" s="590"/>
      <c r="V679" s="590"/>
      <c r="W679" s="590"/>
      <c r="X679" s="590"/>
      <c r="Y679" s="590"/>
      <c r="Z679" s="590"/>
    </row>
    <row r="680" spans="1:26" ht="15.75" customHeight="1">
      <c r="A680" s="590"/>
      <c r="B680" s="590"/>
      <c r="C680" s="590"/>
      <c r="D680" s="590"/>
      <c r="E680" s="590"/>
      <c r="F680" s="590"/>
      <c r="G680" s="590"/>
      <c r="H680" s="590"/>
      <c r="I680" s="590"/>
      <c r="J680" s="590"/>
      <c r="K680" s="590"/>
      <c r="L680" s="590"/>
      <c r="M680" s="590"/>
      <c r="N680" s="590"/>
      <c r="O680" s="590"/>
      <c r="P680" s="590"/>
      <c r="Q680" s="590"/>
      <c r="R680" s="590"/>
      <c r="S680" s="590"/>
      <c r="T680" s="590"/>
      <c r="U680" s="590"/>
      <c r="V680" s="590"/>
      <c r="W680" s="590"/>
      <c r="X680" s="590"/>
      <c r="Y680" s="590"/>
      <c r="Z680" s="590"/>
    </row>
    <row r="681" spans="1:26" ht="15.75" customHeight="1">
      <c r="A681" s="590"/>
      <c r="B681" s="590"/>
      <c r="C681" s="590"/>
      <c r="D681" s="590"/>
      <c r="E681" s="590"/>
      <c r="F681" s="590"/>
      <c r="G681" s="590"/>
      <c r="H681" s="590"/>
      <c r="I681" s="590"/>
      <c r="J681" s="590"/>
      <c r="K681" s="590"/>
      <c r="L681" s="590"/>
      <c r="M681" s="590"/>
      <c r="N681" s="590"/>
      <c r="O681" s="590"/>
      <c r="P681" s="590"/>
      <c r="Q681" s="590"/>
      <c r="R681" s="590"/>
      <c r="S681" s="590"/>
      <c r="T681" s="590"/>
      <c r="U681" s="590"/>
      <c r="V681" s="590"/>
      <c r="W681" s="590"/>
      <c r="X681" s="590"/>
      <c r="Y681" s="590"/>
      <c r="Z681" s="590"/>
    </row>
    <row r="682" spans="1:26" ht="15.75" customHeight="1">
      <c r="A682" s="590"/>
      <c r="B682" s="590"/>
      <c r="C682" s="590"/>
      <c r="D682" s="590"/>
      <c r="E682" s="590"/>
      <c r="F682" s="590"/>
      <c r="G682" s="590"/>
      <c r="H682" s="590"/>
      <c r="I682" s="590"/>
      <c r="J682" s="590"/>
      <c r="K682" s="590"/>
      <c r="L682" s="590"/>
      <c r="M682" s="590"/>
      <c r="N682" s="590"/>
      <c r="O682" s="590"/>
      <c r="P682" s="590"/>
      <c r="Q682" s="590"/>
      <c r="R682" s="590"/>
      <c r="S682" s="590"/>
      <c r="T682" s="590"/>
      <c r="U682" s="590"/>
      <c r="V682" s="590"/>
      <c r="W682" s="590"/>
      <c r="X682" s="590"/>
      <c r="Y682" s="590"/>
      <c r="Z682" s="590"/>
    </row>
    <row r="683" spans="1:26" ht="15.75" customHeight="1">
      <c r="A683" s="590"/>
      <c r="B683" s="590"/>
      <c r="C683" s="590"/>
      <c r="D683" s="590"/>
      <c r="E683" s="590"/>
      <c r="F683" s="590"/>
      <c r="G683" s="590"/>
      <c r="H683" s="590"/>
      <c r="I683" s="590"/>
      <c r="J683" s="590"/>
      <c r="K683" s="590"/>
      <c r="L683" s="590"/>
      <c r="M683" s="590"/>
      <c r="N683" s="590"/>
      <c r="O683" s="590"/>
      <c r="P683" s="590"/>
      <c r="Q683" s="590"/>
      <c r="R683" s="590"/>
      <c r="S683" s="590"/>
      <c r="T683" s="590"/>
      <c r="U683" s="590"/>
      <c r="V683" s="590"/>
      <c r="W683" s="590"/>
      <c r="X683" s="590"/>
      <c r="Y683" s="590"/>
      <c r="Z683" s="590"/>
    </row>
    <row r="684" spans="1:26" ht="15.75" customHeight="1">
      <c r="A684" s="590"/>
      <c r="B684" s="590"/>
      <c r="C684" s="590"/>
      <c r="D684" s="590"/>
      <c r="E684" s="590"/>
      <c r="F684" s="590"/>
      <c r="G684" s="590"/>
      <c r="H684" s="590"/>
      <c r="I684" s="590"/>
      <c r="J684" s="590"/>
      <c r="K684" s="590"/>
      <c r="L684" s="590"/>
      <c r="M684" s="590"/>
      <c r="N684" s="590"/>
      <c r="O684" s="590"/>
      <c r="P684" s="590"/>
      <c r="Q684" s="590"/>
      <c r="R684" s="590"/>
      <c r="S684" s="590"/>
      <c r="T684" s="590"/>
      <c r="U684" s="590"/>
      <c r="V684" s="590"/>
      <c r="W684" s="590"/>
      <c r="X684" s="590"/>
      <c r="Y684" s="590"/>
      <c r="Z684" s="590"/>
    </row>
    <row r="685" spans="1:26" ht="15.75" customHeight="1">
      <c r="A685" s="590"/>
      <c r="B685" s="590"/>
      <c r="C685" s="590"/>
      <c r="D685" s="590"/>
      <c r="E685" s="590"/>
      <c r="F685" s="590"/>
      <c r="G685" s="590"/>
      <c r="H685" s="590"/>
      <c r="I685" s="590"/>
      <c r="J685" s="590"/>
      <c r="K685" s="590"/>
      <c r="L685" s="590"/>
      <c r="M685" s="590"/>
      <c r="N685" s="590"/>
      <c r="O685" s="590"/>
      <c r="P685" s="590"/>
      <c r="Q685" s="590"/>
      <c r="R685" s="590"/>
      <c r="S685" s="590"/>
      <c r="T685" s="590"/>
      <c r="U685" s="590"/>
      <c r="V685" s="590"/>
      <c r="W685" s="590"/>
      <c r="X685" s="590"/>
      <c r="Y685" s="590"/>
      <c r="Z685" s="590"/>
    </row>
    <row r="686" spans="1:26" ht="15.75" customHeight="1">
      <c r="A686" s="590"/>
      <c r="B686" s="590"/>
      <c r="C686" s="590"/>
      <c r="D686" s="590"/>
      <c r="E686" s="590"/>
      <c r="F686" s="590"/>
      <c r="G686" s="590"/>
      <c r="H686" s="590"/>
      <c r="I686" s="590"/>
      <c r="J686" s="590"/>
      <c r="K686" s="590"/>
      <c r="L686" s="590"/>
      <c r="M686" s="590"/>
      <c r="N686" s="590"/>
      <c r="O686" s="590"/>
      <c r="P686" s="590"/>
      <c r="Q686" s="590"/>
      <c r="R686" s="590"/>
      <c r="S686" s="590"/>
      <c r="T686" s="590"/>
      <c r="U686" s="590"/>
      <c r="V686" s="590"/>
      <c r="W686" s="590"/>
      <c r="X686" s="590"/>
      <c r="Y686" s="590"/>
      <c r="Z686" s="590"/>
    </row>
    <row r="687" spans="1:26" ht="15.75" customHeight="1">
      <c r="A687" s="590"/>
      <c r="B687" s="590"/>
      <c r="C687" s="590"/>
      <c r="D687" s="590"/>
      <c r="E687" s="590"/>
      <c r="F687" s="590"/>
      <c r="G687" s="590"/>
      <c r="H687" s="590"/>
      <c r="I687" s="590"/>
      <c r="J687" s="590"/>
      <c r="K687" s="590"/>
      <c r="L687" s="590"/>
      <c r="M687" s="590"/>
      <c r="N687" s="590"/>
      <c r="O687" s="590"/>
      <c r="P687" s="590"/>
      <c r="Q687" s="590"/>
      <c r="R687" s="590"/>
      <c r="S687" s="590"/>
      <c r="T687" s="590"/>
      <c r="U687" s="590"/>
      <c r="V687" s="590"/>
      <c r="W687" s="590"/>
      <c r="X687" s="590"/>
      <c r="Y687" s="590"/>
      <c r="Z687" s="590"/>
    </row>
    <row r="688" spans="1:26" ht="15.75" customHeight="1">
      <c r="A688" s="590"/>
      <c r="B688" s="590"/>
      <c r="C688" s="590"/>
      <c r="D688" s="590"/>
      <c r="E688" s="590"/>
      <c r="F688" s="590"/>
      <c r="G688" s="590"/>
      <c r="H688" s="590"/>
      <c r="I688" s="590"/>
      <c r="J688" s="590"/>
      <c r="K688" s="590"/>
      <c r="L688" s="590"/>
      <c r="M688" s="590"/>
      <c r="N688" s="590"/>
      <c r="O688" s="590"/>
      <c r="P688" s="590"/>
      <c r="Q688" s="590"/>
      <c r="R688" s="590"/>
      <c r="S688" s="590"/>
      <c r="T688" s="590"/>
      <c r="U688" s="590"/>
      <c r="V688" s="590"/>
      <c r="W688" s="590"/>
      <c r="X688" s="590"/>
      <c r="Y688" s="590"/>
      <c r="Z688" s="590"/>
    </row>
    <row r="689" spans="1:26" ht="15.75" customHeight="1">
      <c r="A689" s="590"/>
      <c r="B689" s="590"/>
      <c r="C689" s="590"/>
      <c r="D689" s="590"/>
      <c r="E689" s="590"/>
      <c r="F689" s="590"/>
      <c r="G689" s="590"/>
      <c r="H689" s="590"/>
      <c r="I689" s="590"/>
      <c r="J689" s="590"/>
      <c r="K689" s="590"/>
      <c r="L689" s="590"/>
      <c r="M689" s="590"/>
      <c r="N689" s="590"/>
      <c r="O689" s="590"/>
      <c r="P689" s="590"/>
      <c r="Q689" s="590"/>
      <c r="R689" s="590"/>
      <c r="S689" s="590"/>
      <c r="T689" s="590"/>
      <c r="U689" s="590"/>
      <c r="V689" s="590"/>
      <c r="W689" s="590"/>
      <c r="X689" s="590"/>
      <c r="Y689" s="590"/>
      <c r="Z689" s="590"/>
    </row>
    <row r="690" spans="1:26" ht="15.75" customHeight="1">
      <c r="A690" s="590"/>
      <c r="B690" s="590"/>
      <c r="C690" s="590"/>
      <c r="D690" s="590"/>
      <c r="E690" s="590"/>
      <c r="F690" s="590"/>
      <c r="G690" s="590"/>
      <c r="H690" s="590"/>
      <c r="I690" s="590"/>
      <c r="J690" s="590"/>
      <c r="K690" s="590"/>
      <c r="L690" s="590"/>
      <c r="M690" s="590"/>
      <c r="N690" s="590"/>
      <c r="O690" s="590"/>
      <c r="P690" s="590"/>
      <c r="Q690" s="590"/>
      <c r="R690" s="590"/>
      <c r="S690" s="590"/>
      <c r="T690" s="590"/>
      <c r="U690" s="590"/>
      <c r="V690" s="590"/>
      <c r="W690" s="590"/>
      <c r="X690" s="590"/>
      <c r="Y690" s="590"/>
      <c r="Z690" s="590"/>
    </row>
    <row r="691" spans="1:26" ht="15.75" customHeight="1">
      <c r="A691" s="590"/>
      <c r="B691" s="590"/>
      <c r="C691" s="590"/>
      <c r="D691" s="590"/>
      <c r="E691" s="590"/>
      <c r="F691" s="590"/>
      <c r="G691" s="590"/>
      <c r="H691" s="590"/>
      <c r="I691" s="590"/>
      <c r="J691" s="590"/>
      <c r="K691" s="590"/>
      <c r="L691" s="590"/>
      <c r="M691" s="590"/>
      <c r="N691" s="590"/>
      <c r="O691" s="590"/>
      <c r="P691" s="590"/>
      <c r="Q691" s="590"/>
      <c r="R691" s="590"/>
      <c r="S691" s="590"/>
      <c r="T691" s="590"/>
      <c r="U691" s="590"/>
      <c r="V691" s="590"/>
      <c r="W691" s="590"/>
      <c r="X691" s="590"/>
      <c r="Y691" s="590"/>
      <c r="Z691" s="590"/>
    </row>
    <row r="692" spans="1:26" ht="15.75" customHeight="1">
      <c r="A692" s="590"/>
      <c r="B692" s="590"/>
      <c r="C692" s="590"/>
      <c r="D692" s="590"/>
      <c r="E692" s="590"/>
      <c r="F692" s="590"/>
      <c r="G692" s="590"/>
      <c r="H692" s="590"/>
      <c r="I692" s="590"/>
      <c r="J692" s="590"/>
      <c r="K692" s="590"/>
      <c r="L692" s="590"/>
      <c r="M692" s="590"/>
      <c r="N692" s="590"/>
      <c r="O692" s="590"/>
      <c r="P692" s="590"/>
      <c r="Q692" s="590"/>
      <c r="R692" s="590"/>
      <c r="S692" s="590"/>
      <c r="T692" s="590"/>
      <c r="U692" s="590"/>
      <c r="V692" s="590"/>
      <c r="W692" s="590"/>
      <c r="X692" s="590"/>
      <c r="Y692" s="590"/>
      <c r="Z692" s="590"/>
    </row>
    <row r="693" spans="1:26" ht="15.75" customHeight="1">
      <c r="A693" s="590"/>
      <c r="B693" s="590"/>
      <c r="C693" s="590"/>
      <c r="D693" s="590"/>
      <c r="E693" s="590"/>
      <c r="F693" s="590"/>
      <c r="G693" s="590"/>
      <c r="H693" s="590"/>
      <c r="I693" s="590"/>
      <c r="J693" s="590"/>
      <c r="K693" s="590"/>
      <c r="L693" s="590"/>
      <c r="M693" s="590"/>
      <c r="N693" s="590"/>
      <c r="O693" s="590"/>
      <c r="P693" s="590"/>
      <c r="Q693" s="590"/>
      <c r="R693" s="590"/>
      <c r="S693" s="590"/>
      <c r="T693" s="590"/>
      <c r="U693" s="590"/>
      <c r="V693" s="590"/>
      <c r="W693" s="590"/>
      <c r="X693" s="590"/>
      <c r="Y693" s="590"/>
      <c r="Z693" s="590"/>
    </row>
    <row r="694" spans="1:26" ht="15.75" customHeight="1">
      <c r="A694" s="590"/>
      <c r="B694" s="590"/>
      <c r="C694" s="590"/>
      <c r="D694" s="590"/>
      <c r="E694" s="590"/>
      <c r="F694" s="590"/>
      <c r="G694" s="590"/>
      <c r="H694" s="590"/>
      <c r="I694" s="590"/>
      <c r="J694" s="590"/>
      <c r="K694" s="590"/>
      <c r="L694" s="590"/>
      <c r="M694" s="590"/>
      <c r="N694" s="590"/>
      <c r="O694" s="590"/>
      <c r="P694" s="590"/>
      <c r="Q694" s="590"/>
      <c r="R694" s="590"/>
      <c r="S694" s="590"/>
      <c r="T694" s="590"/>
      <c r="U694" s="590"/>
      <c r="V694" s="590"/>
      <c r="W694" s="590"/>
      <c r="X694" s="590"/>
      <c r="Y694" s="590"/>
      <c r="Z694" s="590"/>
    </row>
    <row r="695" spans="1:26" ht="15.75" customHeight="1">
      <c r="A695" s="590"/>
      <c r="B695" s="590"/>
      <c r="C695" s="590"/>
      <c r="D695" s="590"/>
      <c r="E695" s="590"/>
      <c r="F695" s="590"/>
      <c r="G695" s="590"/>
      <c r="H695" s="590"/>
      <c r="I695" s="590"/>
      <c r="J695" s="590"/>
      <c r="K695" s="590"/>
      <c r="L695" s="590"/>
      <c r="M695" s="590"/>
      <c r="N695" s="590"/>
      <c r="O695" s="590"/>
      <c r="P695" s="590"/>
      <c r="Q695" s="590"/>
      <c r="R695" s="590"/>
      <c r="S695" s="590"/>
      <c r="T695" s="590"/>
      <c r="U695" s="590"/>
      <c r="V695" s="590"/>
      <c r="W695" s="590"/>
      <c r="X695" s="590"/>
      <c r="Y695" s="590"/>
      <c r="Z695" s="590"/>
    </row>
    <row r="696" spans="1:26" ht="15.75" customHeight="1">
      <c r="A696" s="590"/>
      <c r="B696" s="590"/>
      <c r="C696" s="590"/>
      <c r="D696" s="590"/>
      <c r="E696" s="590"/>
      <c r="F696" s="590"/>
      <c r="G696" s="590"/>
      <c r="H696" s="590"/>
      <c r="I696" s="590"/>
      <c r="J696" s="590"/>
      <c r="K696" s="590"/>
      <c r="L696" s="590"/>
      <c r="M696" s="590"/>
      <c r="N696" s="590"/>
      <c r="O696" s="590"/>
      <c r="P696" s="590"/>
      <c r="Q696" s="590"/>
      <c r="R696" s="590"/>
      <c r="S696" s="590"/>
      <c r="T696" s="590"/>
      <c r="U696" s="590"/>
      <c r="V696" s="590"/>
      <c r="W696" s="590"/>
      <c r="X696" s="590"/>
      <c r="Y696" s="590"/>
      <c r="Z696" s="590"/>
    </row>
    <row r="697" spans="1:26" ht="15.75" customHeight="1">
      <c r="A697" s="590"/>
      <c r="B697" s="590"/>
      <c r="C697" s="590"/>
      <c r="D697" s="590"/>
      <c r="E697" s="590"/>
      <c r="F697" s="590"/>
      <c r="G697" s="590"/>
      <c r="H697" s="590"/>
      <c r="I697" s="590"/>
      <c r="J697" s="590"/>
      <c r="K697" s="590"/>
      <c r="L697" s="590"/>
      <c r="M697" s="590"/>
      <c r="N697" s="590"/>
      <c r="O697" s="590"/>
      <c r="P697" s="590"/>
      <c r="Q697" s="590"/>
      <c r="R697" s="590"/>
      <c r="S697" s="590"/>
      <c r="T697" s="590"/>
      <c r="U697" s="590"/>
      <c r="V697" s="590"/>
      <c r="W697" s="590"/>
      <c r="X697" s="590"/>
      <c r="Y697" s="590"/>
      <c r="Z697" s="590"/>
    </row>
    <row r="698" spans="1:26" ht="15.75" customHeight="1">
      <c r="A698" s="590"/>
      <c r="B698" s="590"/>
      <c r="C698" s="590"/>
      <c r="D698" s="590"/>
      <c r="E698" s="590"/>
      <c r="F698" s="590"/>
      <c r="G698" s="590"/>
      <c r="H698" s="590"/>
      <c r="I698" s="590"/>
      <c r="J698" s="590"/>
      <c r="K698" s="590"/>
      <c r="L698" s="590"/>
      <c r="M698" s="590"/>
      <c r="N698" s="590"/>
      <c r="O698" s="590"/>
      <c r="P698" s="590"/>
      <c r="Q698" s="590"/>
      <c r="R698" s="590"/>
      <c r="S698" s="590"/>
      <c r="T698" s="590"/>
      <c r="U698" s="590"/>
      <c r="V698" s="590"/>
      <c r="W698" s="590"/>
      <c r="X698" s="590"/>
      <c r="Y698" s="590"/>
      <c r="Z698" s="590"/>
    </row>
    <row r="699" spans="1:26" ht="15.75" customHeight="1">
      <c r="A699" s="590"/>
      <c r="B699" s="590"/>
      <c r="C699" s="590"/>
      <c r="D699" s="590"/>
      <c r="E699" s="590"/>
      <c r="F699" s="590"/>
      <c r="G699" s="590"/>
      <c r="H699" s="590"/>
      <c r="I699" s="590"/>
      <c r="J699" s="590"/>
      <c r="K699" s="590"/>
      <c r="L699" s="590"/>
      <c r="M699" s="590"/>
      <c r="N699" s="590"/>
      <c r="O699" s="590"/>
      <c r="P699" s="590"/>
      <c r="Q699" s="590"/>
      <c r="R699" s="590"/>
      <c r="S699" s="590"/>
      <c r="T699" s="590"/>
      <c r="U699" s="590"/>
      <c r="V699" s="590"/>
      <c r="W699" s="590"/>
      <c r="X699" s="590"/>
      <c r="Y699" s="590"/>
      <c r="Z699" s="590"/>
    </row>
    <row r="700" spans="1:26" ht="15.75" customHeight="1">
      <c r="A700" s="590"/>
      <c r="B700" s="590"/>
      <c r="C700" s="590"/>
      <c r="D700" s="590"/>
      <c r="E700" s="590"/>
      <c r="F700" s="590"/>
      <c r="G700" s="590"/>
      <c r="H700" s="590"/>
      <c r="I700" s="590"/>
      <c r="J700" s="590"/>
      <c r="K700" s="590"/>
      <c r="L700" s="590"/>
      <c r="M700" s="590"/>
      <c r="N700" s="590"/>
      <c r="O700" s="590"/>
      <c r="P700" s="590"/>
      <c r="Q700" s="590"/>
      <c r="R700" s="590"/>
      <c r="S700" s="590"/>
      <c r="T700" s="590"/>
      <c r="U700" s="590"/>
      <c r="V700" s="590"/>
      <c r="W700" s="590"/>
      <c r="X700" s="590"/>
      <c r="Y700" s="590"/>
      <c r="Z700" s="590"/>
    </row>
    <row r="701" spans="1:26" ht="15.75" customHeight="1">
      <c r="A701" s="590"/>
      <c r="B701" s="590"/>
      <c r="C701" s="590"/>
      <c r="D701" s="590"/>
      <c r="E701" s="590"/>
      <c r="F701" s="590"/>
      <c r="G701" s="590"/>
      <c r="H701" s="590"/>
      <c r="I701" s="590"/>
      <c r="J701" s="590"/>
      <c r="K701" s="590"/>
      <c r="L701" s="590"/>
      <c r="M701" s="590"/>
      <c r="N701" s="590"/>
      <c r="O701" s="590"/>
      <c r="P701" s="590"/>
      <c r="Q701" s="590"/>
      <c r="R701" s="590"/>
      <c r="S701" s="590"/>
      <c r="T701" s="590"/>
      <c r="U701" s="590"/>
      <c r="V701" s="590"/>
      <c r="W701" s="590"/>
      <c r="X701" s="590"/>
      <c r="Y701" s="590"/>
      <c r="Z701" s="590"/>
    </row>
    <row r="702" spans="1:26" ht="15.75" customHeight="1">
      <c r="A702" s="590"/>
      <c r="B702" s="590"/>
      <c r="C702" s="590"/>
      <c r="D702" s="590"/>
      <c r="E702" s="590"/>
      <c r="F702" s="590"/>
      <c r="G702" s="590"/>
      <c r="H702" s="590"/>
      <c r="I702" s="590"/>
      <c r="J702" s="590"/>
      <c r="K702" s="590"/>
      <c r="L702" s="590"/>
      <c r="M702" s="590"/>
      <c r="N702" s="590"/>
      <c r="O702" s="590"/>
      <c r="P702" s="590"/>
      <c r="Q702" s="590"/>
      <c r="R702" s="590"/>
      <c r="S702" s="590"/>
      <c r="T702" s="590"/>
      <c r="U702" s="590"/>
      <c r="V702" s="590"/>
      <c r="W702" s="590"/>
      <c r="X702" s="590"/>
      <c r="Y702" s="590"/>
      <c r="Z702" s="590"/>
    </row>
    <row r="703" spans="1:26" ht="15.75" customHeight="1">
      <c r="A703" s="590"/>
      <c r="B703" s="590"/>
      <c r="C703" s="590"/>
      <c r="D703" s="590"/>
      <c r="E703" s="590"/>
      <c r="F703" s="590"/>
      <c r="G703" s="590"/>
      <c r="H703" s="590"/>
      <c r="I703" s="590"/>
      <c r="J703" s="590"/>
      <c r="K703" s="590"/>
      <c r="L703" s="590"/>
      <c r="M703" s="590"/>
      <c r="N703" s="590"/>
      <c r="O703" s="590"/>
      <c r="P703" s="590"/>
      <c r="Q703" s="590"/>
      <c r="R703" s="590"/>
      <c r="S703" s="590"/>
      <c r="T703" s="590"/>
      <c r="U703" s="590"/>
      <c r="V703" s="590"/>
      <c r="W703" s="590"/>
      <c r="X703" s="590"/>
      <c r="Y703" s="590"/>
      <c r="Z703" s="590"/>
    </row>
    <row r="704" spans="1:26" ht="15.75" customHeight="1">
      <c r="A704" s="590"/>
      <c r="B704" s="590"/>
      <c r="C704" s="590"/>
      <c r="D704" s="590"/>
      <c r="E704" s="590"/>
      <c r="F704" s="590"/>
      <c r="G704" s="590"/>
      <c r="H704" s="590"/>
      <c r="I704" s="590"/>
      <c r="J704" s="590"/>
      <c r="K704" s="590"/>
      <c r="L704" s="590"/>
      <c r="M704" s="590"/>
      <c r="N704" s="590"/>
      <c r="O704" s="590"/>
      <c r="P704" s="590"/>
      <c r="Q704" s="590"/>
      <c r="R704" s="590"/>
      <c r="S704" s="590"/>
      <c r="T704" s="590"/>
      <c r="U704" s="590"/>
      <c r="V704" s="590"/>
      <c r="W704" s="590"/>
      <c r="X704" s="590"/>
      <c r="Y704" s="590"/>
      <c r="Z704" s="590"/>
    </row>
    <row r="705" spans="1:26" ht="15.75" customHeight="1">
      <c r="A705" s="590"/>
      <c r="B705" s="590"/>
      <c r="C705" s="590"/>
      <c r="D705" s="590"/>
      <c r="E705" s="590"/>
      <c r="F705" s="590"/>
      <c r="G705" s="590"/>
      <c r="H705" s="590"/>
      <c r="I705" s="590"/>
      <c r="J705" s="590"/>
      <c r="K705" s="590"/>
      <c r="L705" s="590"/>
      <c r="M705" s="590"/>
      <c r="N705" s="590"/>
      <c r="O705" s="590"/>
      <c r="P705" s="590"/>
      <c r="Q705" s="590"/>
      <c r="R705" s="590"/>
      <c r="S705" s="590"/>
      <c r="T705" s="590"/>
      <c r="U705" s="590"/>
      <c r="V705" s="590"/>
      <c r="W705" s="590"/>
      <c r="X705" s="590"/>
      <c r="Y705" s="590"/>
      <c r="Z705" s="590"/>
    </row>
    <row r="706" spans="1:26" ht="15.75" customHeight="1">
      <c r="A706" s="590"/>
      <c r="B706" s="590"/>
      <c r="C706" s="590"/>
      <c r="D706" s="590"/>
      <c r="E706" s="590"/>
      <c r="F706" s="590"/>
      <c r="G706" s="590"/>
      <c r="H706" s="590"/>
      <c r="I706" s="590"/>
      <c r="J706" s="590"/>
      <c r="K706" s="590"/>
      <c r="L706" s="590"/>
      <c r="M706" s="590"/>
      <c r="N706" s="590"/>
      <c r="O706" s="590"/>
      <c r="P706" s="590"/>
      <c r="Q706" s="590"/>
      <c r="R706" s="590"/>
      <c r="S706" s="590"/>
      <c r="T706" s="590"/>
      <c r="U706" s="590"/>
      <c r="V706" s="590"/>
      <c r="W706" s="590"/>
      <c r="X706" s="590"/>
      <c r="Y706" s="590"/>
      <c r="Z706" s="590"/>
    </row>
    <row r="707" spans="1:26" ht="15.75" customHeight="1">
      <c r="A707" s="590"/>
      <c r="B707" s="590"/>
      <c r="C707" s="590"/>
      <c r="D707" s="590"/>
      <c r="E707" s="590"/>
      <c r="F707" s="590"/>
      <c r="G707" s="590"/>
      <c r="H707" s="590"/>
      <c r="I707" s="590"/>
      <c r="J707" s="590"/>
      <c r="K707" s="590"/>
      <c r="L707" s="590"/>
      <c r="M707" s="590"/>
      <c r="N707" s="590"/>
      <c r="O707" s="590"/>
      <c r="P707" s="590"/>
      <c r="Q707" s="590"/>
      <c r="R707" s="590"/>
      <c r="S707" s="590"/>
      <c r="T707" s="590"/>
      <c r="U707" s="590"/>
      <c r="V707" s="590"/>
      <c r="W707" s="590"/>
      <c r="X707" s="590"/>
      <c r="Y707" s="590"/>
      <c r="Z707" s="590"/>
    </row>
    <row r="708" spans="1:26" ht="15.75" customHeight="1">
      <c r="A708" s="590"/>
      <c r="B708" s="590"/>
      <c r="C708" s="590"/>
      <c r="D708" s="590"/>
      <c r="E708" s="590"/>
      <c r="F708" s="590"/>
      <c r="G708" s="590"/>
      <c r="H708" s="590"/>
      <c r="I708" s="590"/>
      <c r="J708" s="590"/>
      <c r="K708" s="590"/>
      <c r="L708" s="590"/>
      <c r="M708" s="590"/>
      <c r="N708" s="590"/>
      <c r="O708" s="590"/>
      <c r="P708" s="590"/>
      <c r="Q708" s="590"/>
      <c r="R708" s="590"/>
      <c r="S708" s="590"/>
      <c r="T708" s="590"/>
      <c r="U708" s="590"/>
      <c r="V708" s="590"/>
      <c r="W708" s="590"/>
      <c r="X708" s="590"/>
      <c r="Y708" s="590"/>
      <c r="Z708" s="590"/>
    </row>
    <row r="709" spans="1:26" ht="15.75" customHeight="1">
      <c r="A709" s="590"/>
      <c r="B709" s="590"/>
      <c r="C709" s="590"/>
      <c r="D709" s="590"/>
      <c r="E709" s="590"/>
      <c r="F709" s="590"/>
      <c r="G709" s="590"/>
      <c r="H709" s="590"/>
      <c r="I709" s="590"/>
      <c r="J709" s="590"/>
      <c r="K709" s="590"/>
      <c r="L709" s="590"/>
      <c r="M709" s="590"/>
      <c r="N709" s="590"/>
      <c r="O709" s="590"/>
      <c r="P709" s="590"/>
      <c r="Q709" s="590"/>
      <c r="R709" s="590"/>
      <c r="S709" s="590"/>
      <c r="T709" s="590"/>
      <c r="U709" s="590"/>
      <c r="V709" s="590"/>
      <c r="W709" s="590"/>
      <c r="X709" s="590"/>
      <c r="Y709" s="590"/>
      <c r="Z709" s="590"/>
    </row>
    <row r="710" spans="1:26" ht="15.75" customHeight="1">
      <c r="A710" s="590"/>
      <c r="B710" s="590"/>
      <c r="C710" s="590"/>
      <c r="D710" s="590"/>
      <c r="E710" s="590"/>
      <c r="F710" s="590"/>
      <c r="G710" s="590"/>
      <c r="H710" s="590"/>
      <c r="I710" s="590"/>
      <c r="J710" s="590"/>
      <c r="K710" s="590"/>
      <c r="L710" s="590"/>
      <c r="M710" s="590"/>
      <c r="N710" s="590"/>
      <c r="O710" s="590"/>
      <c r="P710" s="590"/>
      <c r="Q710" s="590"/>
      <c r="R710" s="590"/>
      <c r="S710" s="590"/>
      <c r="T710" s="590"/>
      <c r="U710" s="590"/>
      <c r="V710" s="590"/>
      <c r="W710" s="590"/>
      <c r="X710" s="590"/>
      <c r="Y710" s="590"/>
      <c r="Z710" s="590"/>
    </row>
    <row r="711" spans="1:26" ht="15.75" customHeight="1">
      <c r="A711" s="590"/>
      <c r="B711" s="590"/>
      <c r="C711" s="590"/>
      <c r="D711" s="590"/>
      <c r="E711" s="590"/>
      <c r="F711" s="590"/>
      <c r="G711" s="590"/>
      <c r="H711" s="590"/>
      <c r="I711" s="590"/>
      <c r="J711" s="590"/>
      <c r="K711" s="590"/>
      <c r="L711" s="590"/>
      <c r="M711" s="590"/>
      <c r="N711" s="590"/>
      <c r="O711" s="590"/>
      <c r="P711" s="590"/>
      <c r="Q711" s="590"/>
      <c r="R711" s="590"/>
      <c r="S711" s="590"/>
      <c r="T711" s="590"/>
      <c r="U711" s="590"/>
      <c r="V711" s="590"/>
      <c r="W711" s="590"/>
      <c r="X711" s="590"/>
      <c r="Y711" s="590"/>
      <c r="Z711" s="590"/>
    </row>
    <row r="712" spans="1:26" ht="15.75" customHeight="1">
      <c r="A712" s="590"/>
      <c r="B712" s="590"/>
      <c r="C712" s="590"/>
      <c r="D712" s="590"/>
      <c r="E712" s="590"/>
      <c r="F712" s="590"/>
      <c r="G712" s="590"/>
      <c r="H712" s="590"/>
      <c r="I712" s="590"/>
      <c r="J712" s="590"/>
      <c r="K712" s="590"/>
      <c r="L712" s="590"/>
      <c r="M712" s="590"/>
      <c r="N712" s="590"/>
      <c r="O712" s="590"/>
      <c r="P712" s="590"/>
      <c r="Q712" s="590"/>
      <c r="R712" s="590"/>
      <c r="S712" s="590"/>
      <c r="T712" s="590"/>
      <c r="U712" s="590"/>
      <c r="V712" s="590"/>
      <c r="W712" s="590"/>
      <c r="X712" s="590"/>
      <c r="Y712" s="590"/>
      <c r="Z712" s="590"/>
    </row>
    <row r="713" spans="1:26" ht="15.75" customHeight="1">
      <c r="A713" s="590"/>
      <c r="B713" s="590"/>
      <c r="C713" s="590"/>
      <c r="D713" s="590"/>
      <c r="E713" s="590"/>
      <c r="F713" s="590"/>
      <c r="G713" s="590"/>
      <c r="H713" s="590"/>
      <c r="I713" s="590"/>
      <c r="J713" s="590"/>
      <c r="K713" s="590"/>
      <c r="L713" s="590"/>
      <c r="M713" s="590"/>
      <c r="N713" s="590"/>
      <c r="O713" s="590"/>
      <c r="P713" s="590"/>
      <c r="Q713" s="590"/>
      <c r="R713" s="590"/>
      <c r="S713" s="590"/>
      <c r="T713" s="590"/>
      <c r="U713" s="590"/>
      <c r="V713" s="590"/>
      <c r="W713" s="590"/>
      <c r="X713" s="590"/>
      <c r="Y713" s="590"/>
      <c r="Z713" s="590"/>
    </row>
    <row r="714" spans="1:26" ht="15.75" customHeight="1">
      <c r="A714" s="590"/>
      <c r="B714" s="590"/>
      <c r="C714" s="590"/>
      <c r="D714" s="590"/>
      <c r="E714" s="590"/>
      <c r="F714" s="590"/>
      <c r="G714" s="590"/>
      <c r="H714" s="590"/>
      <c r="I714" s="590"/>
      <c r="J714" s="590"/>
      <c r="K714" s="590"/>
      <c r="L714" s="590"/>
      <c r="M714" s="590"/>
      <c r="N714" s="590"/>
      <c r="O714" s="590"/>
      <c r="P714" s="590"/>
      <c r="Q714" s="590"/>
      <c r="R714" s="590"/>
      <c r="S714" s="590"/>
      <c r="T714" s="590"/>
      <c r="U714" s="590"/>
      <c r="V714" s="590"/>
      <c r="W714" s="590"/>
      <c r="X714" s="590"/>
      <c r="Y714" s="590"/>
      <c r="Z714" s="590"/>
    </row>
    <row r="715" spans="1:26" ht="15.75" customHeight="1">
      <c r="A715" s="590"/>
      <c r="B715" s="590"/>
      <c r="C715" s="590"/>
      <c r="D715" s="590"/>
      <c r="E715" s="590"/>
      <c r="F715" s="590"/>
      <c r="G715" s="590"/>
      <c r="H715" s="590"/>
      <c r="I715" s="590"/>
      <c r="J715" s="590"/>
      <c r="K715" s="590"/>
      <c r="L715" s="590"/>
      <c r="M715" s="590"/>
      <c r="N715" s="590"/>
      <c r="O715" s="590"/>
      <c r="P715" s="590"/>
      <c r="Q715" s="590"/>
      <c r="R715" s="590"/>
      <c r="S715" s="590"/>
      <c r="T715" s="590"/>
      <c r="U715" s="590"/>
      <c r="V715" s="590"/>
      <c r="W715" s="590"/>
      <c r="X715" s="590"/>
      <c r="Y715" s="590"/>
      <c r="Z715" s="590"/>
    </row>
    <row r="716" spans="1:26" ht="15.75" customHeight="1">
      <c r="A716" s="590"/>
      <c r="B716" s="590"/>
      <c r="C716" s="590"/>
      <c r="D716" s="590"/>
      <c r="E716" s="590"/>
      <c r="F716" s="590"/>
      <c r="G716" s="590"/>
      <c r="H716" s="590"/>
      <c r="I716" s="590"/>
      <c r="J716" s="590"/>
      <c r="K716" s="590"/>
      <c r="L716" s="590"/>
      <c r="M716" s="590"/>
      <c r="N716" s="590"/>
      <c r="O716" s="590"/>
      <c r="P716" s="590"/>
      <c r="Q716" s="590"/>
      <c r="R716" s="590"/>
      <c r="S716" s="590"/>
      <c r="T716" s="590"/>
      <c r="U716" s="590"/>
      <c r="V716" s="590"/>
      <c r="W716" s="590"/>
      <c r="X716" s="590"/>
      <c r="Y716" s="590"/>
      <c r="Z716" s="590"/>
    </row>
    <row r="717" spans="1:26" ht="15.75" customHeight="1">
      <c r="A717" s="590"/>
      <c r="B717" s="590"/>
      <c r="C717" s="590"/>
      <c r="D717" s="590"/>
      <c r="E717" s="590"/>
      <c r="F717" s="590"/>
      <c r="G717" s="590"/>
      <c r="H717" s="590"/>
      <c r="I717" s="590"/>
      <c r="J717" s="590"/>
      <c r="K717" s="590"/>
      <c r="L717" s="590"/>
      <c r="M717" s="590"/>
      <c r="N717" s="590"/>
      <c r="O717" s="590"/>
      <c r="P717" s="590"/>
      <c r="Q717" s="590"/>
      <c r="R717" s="590"/>
      <c r="S717" s="590"/>
      <c r="T717" s="590"/>
      <c r="U717" s="590"/>
      <c r="V717" s="590"/>
      <c r="W717" s="590"/>
      <c r="X717" s="590"/>
      <c r="Y717" s="590"/>
      <c r="Z717" s="590"/>
    </row>
    <row r="718" spans="1:26" ht="15.75" customHeight="1">
      <c r="A718" s="590"/>
      <c r="B718" s="590"/>
      <c r="C718" s="590"/>
      <c r="D718" s="590"/>
      <c r="E718" s="590"/>
      <c r="F718" s="590"/>
      <c r="G718" s="590"/>
      <c r="H718" s="590"/>
      <c r="I718" s="590"/>
      <c r="J718" s="590"/>
      <c r="K718" s="590"/>
      <c r="L718" s="590"/>
      <c r="M718" s="590"/>
      <c r="N718" s="590"/>
      <c r="O718" s="590"/>
      <c r="P718" s="590"/>
      <c r="Q718" s="590"/>
      <c r="R718" s="590"/>
      <c r="S718" s="590"/>
      <c r="T718" s="590"/>
      <c r="U718" s="590"/>
      <c r="V718" s="590"/>
      <c r="W718" s="590"/>
      <c r="X718" s="590"/>
      <c r="Y718" s="590"/>
      <c r="Z718" s="590"/>
    </row>
    <row r="719" spans="1:26" ht="15.75" customHeight="1">
      <c r="A719" s="590"/>
      <c r="B719" s="590"/>
      <c r="C719" s="590"/>
      <c r="D719" s="590"/>
      <c r="E719" s="590"/>
      <c r="F719" s="590"/>
      <c r="G719" s="590"/>
      <c r="H719" s="590"/>
      <c r="I719" s="590"/>
      <c r="J719" s="590"/>
      <c r="K719" s="590"/>
      <c r="L719" s="590"/>
      <c r="M719" s="590"/>
      <c r="N719" s="590"/>
      <c r="O719" s="590"/>
      <c r="P719" s="590"/>
      <c r="Q719" s="590"/>
      <c r="R719" s="590"/>
      <c r="S719" s="590"/>
      <c r="T719" s="590"/>
      <c r="U719" s="590"/>
      <c r="V719" s="590"/>
      <c r="W719" s="590"/>
      <c r="X719" s="590"/>
      <c r="Y719" s="590"/>
      <c r="Z719" s="590"/>
    </row>
    <row r="720" spans="1:26" ht="15.75" customHeight="1">
      <c r="A720" s="590"/>
      <c r="B720" s="590"/>
      <c r="C720" s="590"/>
      <c r="D720" s="590"/>
      <c r="E720" s="590"/>
      <c r="F720" s="590"/>
      <c r="G720" s="590"/>
      <c r="H720" s="590"/>
      <c r="I720" s="590"/>
      <c r="J720" s="590"/>
      <c r="K720" s="590"/>
      <c r="L720" s="590"/>
      <c r="M720" s="590"/>
      <c r="N720" s="590"/>
      <c r="O720" s="590"/>
      <c r="P720" s="590"/>
      <c r="Q720" s="590"/>
      <c r="R720" s="590"/>
      <c r="S720" s="590"/>
      <c r="T720" s="590"/>
      <c r="U720" s="590"/>
      <c r="V720" s="590"/>
      <c r="W720" s="590"/>
      <c r="X720" s="590"/>
      <c r="Y720" s="590"/>
      <c r="Z720" s="590"/>
    </row>
    <row r="721" spans="1:26" ht="15.75" customHeight="1">
      <c r="A721" s="590"/>
      <c r="B721" s="590"/>
      <c r="C721" s="590"/>
      <c r="D721" s="590"/>
      <c r="E721" s="590"/>
      <c r="F721" s="590"/>
      <c r="G721" s="590"/>
      <c r="H721" s="590"/>
      <c r="I721" s="590"/>
      <c r="J721" s="590"/>
      <c r="K721" s="590"/>
      <c r="L721" s="590"/>
      <c r="M721" s="590"/>
      <c r="N721" s="590"/>
      <c r="O721" s="590"/>
      <c r="P721" s="590"/>
      <c r="Q721" s="590"/>
      <c r="R721" s="590"/>
      <c r="S721" s="590"/>
      <c r="T721" s="590"/>
      <c r="U721" s="590"/>
      <c r="V721" s="590"/>
      <c r="W721" s="590"/>
      <c r="X721" s="590"/>
      <c r="Y721" s="590"/>
      <c r="Z721" s="590"/>
    </row>
    <row r="722" spans="1:26" ht="15.75" customHeight="1">
      <c r="A722" s="590"/>
      <c r="B722" s="590"/>
      <c r="C722" s="590"/>
      <c r="D722" s="590"/>
      <c r="E722" s="590"/>
      <c r="F722" s="590"/>
      <c r="G722" s="590"/>
      <c r="H722" s="590"/>
      <c r="I722" s="590"/>
      <c r="J722" s="590"/>
      <c r="K722" s="590"/>
      <c r="L722" s="590"/>
      <c r="M722" s="590"/>
      <c r="N722" s="590"/>
      <c r="O722" s="590"/>
      <c r="P722" s="590"/>
      <c r="Q722" s="590"/>
      <c r="R722" s="590"/>
      <c r="S722" s="590"/>
      <c r="T722" s="590"/>
      <c r="U722" s="590"/>
      <c r="V722" s="590"/>
      <c r="W722" s="590"/>
      <c r="X722" s="590"/>
      <c r="Y722" s="590"/>
      <c r="Z722" s="590"/>
    </row>
    <row r="723" spans="1:26" ht="15.75" customHeight="1">
      <c r="A723" s="590"/>
      <c r="B723" s="590"/>
      <c r="C723" s="590"/>
      <c r="D723" s="590"/>
      <c r="E723" s="590"/>
      <c r="F723" s="590"/>
      <c r="G723" s="590"/>
      <c r="H723" s="590"/>
      <c r="I723" s="590"/>
      <c r="J723" s="590"/>
      <c r="K723" s="590"/>
      <c r="L723" s="590"/>
      <c r="M723" s="590"/>
      <c r="N723" s="590"/>
      <c r="O723" s="590"/>
      <c r="P723" s="590"/>
      <c r="Q723" s="590"/>
      <c r="R723" s="590"/>
      <c r="S723" s="590"/>
      <c r="T723" s="590"/>
      <c r="U723" s="590"/>
      <c r="V723" s="590"/>
      <c r="W723" s="590"/>
      <c r="X723" s="590"/>
      <c r="Y723" s="590"/>
      <c r="Z723" s="590"/>
    </row>
    <row r="724" spans="1:26" ht="15.75" customHeight="1">
      <c r="A724" s="590"/>
      <c r="B724" s="590"/>
      <c r="C724" s="590"/>
      <c r="D724" s="590"/>
      <c r="E724" s="590"/>
      <c r="F724" s="590"/>
      <c r="G724" s="590"/>
      <c r="H724" s="590"/>
      <c r="I724" s="590"/>
      <c r="J724" s="590"/>
      <c r="K724" s="590"/>
      <c r="L724" s="590"/>
      <c r="M724" s="590"/>
      <c r="N724" s="590"/>
      <c r="O724" s="590"/>
      <c r="P724" s="590"/>
      <c r="Q724" s="590"/>
      <c r="R724" s="590"/>
      <c r="S724" s="590"/>
      <c r="T724" s="590"/>
      <c r="U724" s="590"/>
      <c r="V724" s="590"/>
      <c r="W724" s="590"/>
      <c r="X724" s="590"/>
      <c r="Y724" s="590"/>
      <c r="Z724" s="590"/>
    </row>
    <row r="725" spans="1:26" ht="15.75" customHeight="1">
      <c r="A725" s="590"/>
      <c r="B725" s="590"/>
      <c r="C725" s="590"/>
      <c r="D725" s="590"/>
      <c r="E725" s="590"/>
      <c r="F725" s="590"/>
      <c r="G725" s="590"/>
      <c r="H725" s="590"/>
      <c r="I725" s="590"/>
      <c r="J725" s="590"/>
      <c r="K725" s="590"/>
      <c r="L725" s="590"/>
      <c r="M725" s="590"/>
      <c r="N725" s="590"/>
      <c r="O725" s="590"/>
      <c r="P725" s="590"/>
      <c r="Q725" s="590"/>
      <c r="R725" s="590"/>
      <c r="S725" s="590"/>
      <c r="T725" s="590"/>
      <c r="U725" s="590"/>
      <c r="V725" s="590"/>
      <c r="W725" s="590"/>
      <c r="X725" s="590"/>
      <c r="Y725" s="590"/>
      <c r="Z725" s="590"/>
    </row>
    <row r="726" spans="1:26" ht="15.75" customHeight="1">
      <c r="A726" s="590"/>
      <c r="B726" s="590"/>
      <c r="C726" s="590"/>
      <c r="D726" s="590"/>
      <c r="E726" s="590"/>
      <c r="F726" s="590"/>
      <c r="G726" s="590"/>
      <c r="H726" s="590"/>
      <c r="I726" s="590"/>
      <c r="J726" s="590"/>
      <c r="K726" s="590"/>
      <c r="L726" s="590"/>
      <c r="M726" s="590"/>
      <c r="N726" s="590"/>
      <c r="O726" s="590"/>
      <c r="P726" s="590"/>
      <c r="Q726" s="590"/>
      <c r="R726" s="590"/>
      <c r="S726" s="590"/>
      <c r="T726" s="590"/>
      <c r="U726" s="590"/>
      <c r="V726" s="590"/>
      <c r="W726" s="590"/>
      <c r="X726" s="590"/>
      <c r="Y726" s="590"/>
      <c r="Z726" s="590"/>
    </row>
    <row r="727" spans="1:26" ht="15.75" customHeight="1">
      <c r="A727" s="590"/>
      <c r="B727" s="590"/>
      <c r="C727" s="590"/>
      <c r="D727" s="590"/>
      <c r="E727" s="590"/>
      <c r="F727" s="590"/>
      <c r="G727" s="590"/>
      <c r="H727" s="590"/>
      <c r="I727" s="590"/>
      <c r="J727" s="590"/>
      <c r="K727" s="590"/>
      <c r="L727" s="590"/>
      <c r="M727" s="590"/>
      <c r="N727" s="590"/>
      <c r="O727" s="590"/>
      <c r="P727" s="590"/>
      <c r="Q727" s="590"/>
      <c r="R727" s="590"/>
      <c r="S727" s="590"/>
      <c r="T727" s="590"/>
      <c r="U727" s="590"/>
      <c r="V727" s="590"/>
      <c r="W727" s="590"/>
      <c r="X727" s="590"/>
      <c r="Y727" s="590"/>
      <c r="Z727" s="590"/>
    </row>
    <row r="728" spans="1:26" ht="15.75" customHeight="1">
      <c r="A728" s="590"/>
      <c r="B728" s="590"/>
      <c r="C728" s="590"/>
      <c r="D728" s="590"/>
      <c r="E728" s="590"/>
      <c r="F728" s="590"/>
      <c r="G728" s="590"/>
      <c r="H728" s="590"/>
      <c r="I728" s="590"/>
      <c r="J728" s="590"/>
      <c r="K728" s="590"/>
      <c r="L728" s="590"/>
      <c r="M728" s="590"/>
      <c r="N728" s="590"/>
      <c r="O728" s="590"/>
      <c r="P728" s="590"/>
      <c r="Q728" s="590"/>
      <c r="R728" s="590"/>
      <c r="S728" s="590"/>
      <c r="T728" s="590"/>
      <c r="U728" s="590"/>
      <c r="V728" s="590"/>
      <c r="W728" s="590"/>
      <c r="X728" s="590"/>
      <c r="Y728" s="590"/>
      <c r="Z728" s="590"/>
    </row>
    <row r="729" spans="1:26" ht="15.75" customHeight="1">
      <c r="A729" s="590"/>
      <c r="B729" s="590"/>
      <c r="C729" s="590"/>
      <c r="D729" s="590"/>
      <c r="E729" s="590"/>
      <c r="F729" s="590"/>
      <c r="G729" s="590"/>
      <c r="H729" s="590"/>
      <c r="I729" s="590"/>
      <c r="J729" s="590"/>
      <c r="K729" s="590"/>
      <c r="L729" s="590"/>
      <c r="M729" s="590"/>
      <c r="N729" s="590"/>
      <c r="O729" s="590"/>
      <c r="P729" s="590"/>
      <c r="Q729" s="590"/>
      <c r="R729" s="590"/>
      <c r="S729" s="590"/>
      <c r="T729" s="590"/>
      <c r="U729" s="590"/>
      <c r="V729" s="590"/>
      <c r="W729" s="590"/>
      <c r="X729" s="590"/>
      <c r="Y729" s="590"/>
      <c r="Z729" s="590"/>
    </row>
    <row r="730" spans="1:26" ht="15.75" customHeight="1">
      <c r="A730" s="590"/>
      <c r="B730" s="590"/>
      <c r="C730" s="590"/>
      <c r="D730" s="590"/>
      <c r="E730" s="590"/>
      <c r="F730" s="590"/>
      <c r="G730" s="590"/>
      <c r="H730" s="590"/>
      <c r="I730" s="590"/>
      <c r="J730" s="590"/>
      <c r="K730" s="590"/>
      <c r="L730" s="590"/>
      <c r="M730" s="590"/>
      <c r="N730" s="590"/>
      <c r="O730" s="590"/>
      <c r="P730" s="590"/>
      <c r="Q730" s="590"/>
      <c r="R730" s="590"/>
      <c r="S730" s="590"/>
      <c r="T730" s="590"/>
      <c r="U730" s="590"/>
      <c r="V730" s="590"/>
      <c r="W730" s="590"/>
      <c r="X730" s="590"/>
      <c r="Y730" s="590"/>
      <c r="Z730" s="590"/>
    </row>
    <row r="731" spans="1:26" ht="15.75" customHeight="1">
      <c r="A731" s="590"/>
      <c r="B731" s="590"/>
      <c r="C731" s="590"/>
      <c r="D731" s="590"/>
      <c r="E731" s="590"/>
      <c r="F731" s="590"/>
      <c r="G731" s="590"/>
      <c r="H731" s="590"/>
      <c r="I731" s="590"/>
      <c r="J731" s="590"/>
      <c r="K731" s="590"/>
      <c r="L731" s="590"/>
      <c r="M731" s="590"/>
      <c r="N731" s="590"/>
      <c r="O731" s="590"/>
      <c r="P731" s="590"/>
      <c r="Q731" s="590"/>
      <c r="R731" s="590"/>
      <c r="S731" s="590"/>
      <c r="T731" s="590"/>
      <c r="U731" s="590"/>
      <c r="V731" s="590"/>
      <c r="W731" s="590"/>
      <c r="X731" s="590"/>
      <c r="Y731" s="590"/>
      <c r="Z731" s="590"/>
    </row>
    <row r="732" spans="1:26" ht="15.75" customHeight="1">
      <c r="A732" s="590"/>
      <c r="B732" s="590"/>
      <c r="C732" s="590"/>
      <c r="D732" s="590"/>
      <c r="E732" s="590"/>
      <c r="F732" s="590"/>
      <c r="G732" s="590"/>
      <c r="H732" s="590"/>
      <c r="I732" s="590"/>
      <c r="J732" s="590"/>
      <c r="K732" s="590"/>
      <c r="L732" s="590"/>
      <c r="M732" s="590"/>
      <c r="N732" s="590"/>
      <c r="O732" s="590"/>
      <c r="P732" s="590"/>
      <c r="Q732" s="590"/>
      <c r="R732" s="590"/>
      <c r="S732" s="590"/>
      <c r="T732" s="590"/>
      <c r="U732" s="590"/>
      <c r="V732" s="590"/>
      <c r="W732" s="590"/>
      <c r="X732" s="590"/>
      <c r="Y732" s="590"/>
      <c r="Z732" s="590"/>
    </row>
    <row r="733" spans="1:26" ht="15.75" customHeight="1">
      <c r="A733" s="590"/>
      <c r="B733" s="590"/>
      <c r="C733" s="590"/>
      <c r="D733" s="590"/>
      <c r="E733" s="590"/>
      <c r="F733" s="590"/>
      <c r="G733" s="590"/>
      <c r="H733" s="590"/>
      <c r="I733" s="590"/>
      <c r="J733" s="590"/>
      <c r="K733" s="590"/>
      <c r="L733" s="590"/>
      <c r="M733" s="590"/>
      <c r="N733" s="590"/>
      <c r="O733" s="590"/>
      <c r="P733" s="590"/>
      <c r="Q733" s="590"/>
      <c r="R733" s="590"/>
      <c r="S733" s="590"/>
      <c r="T733" s="590"/>
      <c r="U733" s="590"/>
      <c r="V733" s="590"/>
      <c r="W733" s="590"/>
      <c r="X733" s="590"/>
      <c r="Y733" s="590"/>
      <c r="Z733" s="590"/>
    </row>
    <row r="734" spans="1:26" ht="15.75" customHeight="1">
      <c r="A734" s="590"/>
      <c r="B734" s="590"/>
      <c r="C734" s="590"/>
      <c r="D734" s="590"/>
      <c r="E734" s="590"/>
      <c r="F734" s="590"/>
      <c r="G734" s="590"/>
      <c r="H734" s="590"/>
      <c r="I734" s="590"/>
      <c r="J734" s="590"/>
      <c r="K734" s="590"/>
      <c r="L734" s="590"/>
      <c r="M734" s="590"/>
      <c r="N734" s="590"/>
      <c r="O734" s="590"/>
      <c r="P734" s="590"/>
      <c r="Q734" s="590"/>
      <c r="R734" s="590"/>
      <c r="S734" s="590"/>
      <c r="T734" s="590"/>
      <c r="U734" s="590"/>
      <c r="V734" s="590"/>
      <c r="W734" s="590"/>
      <c r="X734" s="590"/>
      <c r="Y734" s="590"/>
      <c r="Z734" s="590"/>
    </row>
    <row r="735" spans="1:26" ht="15.75" customHeight="1">
      <c r="A735" s="590"/>
      <c r="B735" s="590"/>
      <c r="C735" s="590"/>
      <c r="D735" s="590"/>
      <c r="E735" s="590"/>
      <c r="F735" s="590"/>
      <c r="G735" s="590"/>
      <c r="H735" s="590"/>
      <c r="I735" s="590"/>
      <c r="J735" s="590"/>
      <c r="K735" s="590"/>
      <c r="L735" s="590"/>
      <c r="M735" s="590"/>
      <c r="N735" s="590"/>
      <c r="O735" s="590"/>
      <c r="P735" s="590"/>
      <c r="Q735" s="590"/>
      <c r="R735" s="590"/>
      <c r="S735" s="590"/>
      <c r="T735" s="590"/>
      <c r="U735" s="590"/>
      <c r="V735" s="590"/>
      <c r="W735" s="590"/>
      <c r="X735" s="590"/>
      <c r="Y735" s="590"/>
      <c r="Z735" s="590"/>
    </row>
    <row r="736" spans="1:26" ht="15.75" customHeight="1">
      <c r="A736" s="590"/>
      <c r="B736" s="590"/>
      <c r="C736" s="590"/>
      <c r="D736" s="590"/>
      <c r="E736" s="590"/>
      <c r="F736" s="590"/>
      <c r="G736" s="590"/>
      <c r="H736" s="590"/>
      <c r="I736" s="590"/>
      <c r="J736" s="590"/>
      <c r="K736" s="590"/>
      <c r="L736" s="590"/>
      <c r="M736" s="590"/>
      <c r="N736" s="590"/>
      <c r="O736" s="590"/>
      <c r="P736" s="590"/>
      <c r="Q736" s="590"/>
      <c r="R736" s="590"/>
      <c r="S736" s="590"/>
      <c r="T736" s="590"/>
      <c r="U736" s="590"/>
      <c r="V736" s="590"/>
      <c r="W736" s="590"/>
      <c r="X736" s="590"/>
      <c r="Y736" s="590"/>
      <c r="Z736" s="590"/>
    </row>
    <row r="737" spans="1:26" ht="15.75" customHeight="1">
      <c r="A737" s="590"/>
      <c r="B737" s="590"/>
      <c r="C737" s="590"/>
      <c r="D737" s="590"/>
      <c r="E737" s="590"/>
      <c r="F737" s="590"/>
      <c r="G737" s="590"/>
      <c r="H737" s="590"/>
      <c r="I737" s="590"/>
      <c r="J737" s="590"/>
      <c r="K737" s="590"/>
      <c r="L737" s="590"/>
      <c r="M737" s="590"/>
      <c r="N737" s="590"/>
      <c r="O737" s="590"/>
      <c r="P737" s="590"/>
      <c r="Q737" s="590"/>
      <c r="R737" s="590"/>
      <c r="S737" s="590"/>
      <c r="T737" s="590"/>
      <c r="U737" s="590"/>
      <c r="V737" s="590"/>
      <c r="W737" s="590"/>
      <c r="X737" s="590"/>
      <c r="Y737" s="590"/>
      <c r="Z737" s="590"/>
    </row>
    <row r="738" spans="1:26" ht="15.75" customHeight="1">
      <c r="A738" s="590"/>
      <c r="B738" s="590"/>
      <c r="C738" s="590"/>
      <c r="D738" s="590"/>
      <c r="E738" s="590"/>
      <c r="F738" s="590"/>
      <c r="G738" s="590"/>
      <c r="H738" s="590"/>
      <c r="I738" s="590"/>
      <c r="J738" s="590"/>
      <c r="K738" s="590"/>
      <c r="L738" s="590"/>
      <c r="M738" s="590"/>
      <c r="N738" s="590"/>
      <c r="O738" s="590"/>
      <c r="P738" s="590"/>
      <c r="Q738" s="590"/>
      <c r="R738" s="590"/>
      <c r="S738" s="590"/>
      <c r="T738" s="590"/>
      <c r="U738" s="590"/>
      <c r="V738" s="590"/>
      <c r="W738" s="590"/>
      <c r="X738" s="590"/>
      <c r="Y738" s="590"/>
      <c r="Z738" s="590"/>
    </row>
    <row r="739" spans="1:26" ht="15.75" customHeight="1">
      <c r="A739" s="590"/>
      <c r="B739" s="590"/>
      <c r="C739" s="590"/>
      <c r="D739" s="590"/>
      <c r="E739" s="590"/>
      <c r="F739" s="590"/>
      <c r="G739" s="590"/>
      <c r="H739" s="590"/>
      <c r="I739" s="590"/>
      <c r="J739" s="590"/>
      <c r="K739" s="590"/>
      <c r="L739" s="590"/>
      <c r="M739" s="590"/>
      <c r="N739" s="590"/>
      <c r="O739" s="590"/>
      <c r="P739" s="590"/>
      <c r="Q739" s="590"/>
      <c r="R739" s="590"/>
      <c r="S739" s="590"/>
      <c r="T739" s="590"/>
      <c r="U739" s="590"/>
      <c r="V739" s="590"/>
      <c r="W739" s="590"/>
      <c r="X739" s="590"/>
      <c r="Y739" s="590"/>
      <c r="Z739" s="590"/>
    </row>
    <row r="740" spans="1:26" ht="15.75" customHeight="1">
      <c r="A740" s="590"/>
      <c r="B740" s="590"/>
      <c r="C740" s="590"/>
      <c r="D740" s="590"/>
      <c r="E740" s="590"/>
      <c r="F740" s="590"/>
      <c r="G740" s="590"/>
      <c r="H740" s="590"/>
      <c r="I740" s="590"/>
      <c r="J740" s="590"/>
      <c r="K740" s="590"/>
      <c r="L740" s="590"/>
      <c r="M740" s="590"/>
      <c r="N740" s="590"/>
      <c r="O740" s="590"/>
      <c r="P740" s="590"/>
      <c r="Q740" s="590"/>
      <c r="R740" s="590"/>
      <c r="S740" s="590"/>
      <c r="T740" s="590"/>
      <c r="U740" s="590"/>
      <c r="V740" s="590"/>
      <c r="W740" s="590"/>
      <c r="X740" s="590"/>
      <c r="Y740" s="590"/>
      <c r="Z740" s="590"/>
    </row>
    <row r="741" spans="1:26" ht="15.75" customHeight="1">
      <c r="A741" s="590"/>
      <c r="B741" s="590"/>
      <c r="C741" s="590"/>
      <c r="D741" s="590"/>
      <c r="E741" s="590"/>
      <c r="F741" s="590"/>
      <c r="G741" s="590"/>
      <c r="H741" s="590"/>
      <c r="I741" s="590"/>
      <c r="J741" s="590"/>
      <c r="K741" s="590"/>
      <c r="L741" s="590"/>
      <c r="M741" s="590"/>
      <c r="N741" s="590"/>
      <c r="O741" s="590"/>
      <c r="P741" s="590"/>
      <c r="Q741" s="590"/>
      <c r="R741" s="590"/>
      <c r="S741" s="590"/>
      <c r="T741" s="590"/>
      <c r="U741" s="590"/>
      <c r="V741" s="590"/>
      <c r="W741" s="590"/>
      <c r="X741" s="590"/>
      <c r="Y741" s="590"/>
      <c r="Z741" s="590"/>
    </row>
    <row r="742" spans="1:26" ht="15.75" customHeight="1">
      <c r="A742" s="590"/>
      <c r="B742" s="590"/>
      <c r="C742" s="590"/>
      <c r="D742" s="590"/>
      <c r="E742" s="590"/>
      <c r="F742" s="590"/>
      <c r="G742" s="590"/>
      <c r="H742" s="590"/>
      <c r="I742" s="590"/>
      <c r="J742" s="590"/>
      <c r="K742" s="590"/>
      <c r="L742" s="590"/>
      <c r="M742" s="590"/>
      <c r="N742" s="590"/>
      <c r="O742" s="590"/>
      <c r="P742" s="590"/>
      <c r="Q742" s="590"/>
      <c r="R742" s="590"/>
      <c r="S742" s="590"/>
      <c r="T742" s="590"/>
      <c r="U742" s="590"/>
      <c r="V742" s="590"/>
      <c r="W742" s="590"/>
      <c r="X742" s="590"/>
      <c r="Y742" s="590"/>
      <c r="Z742" s="590"/>
    </row>
    <row r="743" spans="1:26" ht="15.75" customHeight="1">
      <c r="A743" s="590"/>
      <c r="B743" s="590"/>
      <c r="C743" s="590"/>
      <c r="D743" s="590"/>
      <c r="E743" s="590"/>
      <c r="F743" s="590"/>
      <c r="G743" s="590"/>
      <c r="H743" s="590"/>
      <c r="I743" s="590"/>
      <c r="J743" s="590"/>
      <c r="K743" s="590"/>
      <c r="L743" s="590"/>
      <c r="M743" s="590"/>
      <c r="N743" s="590"/>
      <c r="O743" s="590"/>
      <c r="P743" s="590"/>
      <c r="Q743" s="590"/>
      <c r="R743" s="590"/>
      <c r="S743" s="590"/>
      <c r="T743" s="590"/>
      <c r="U743" s="590"/>
      <c r="V743" s="590"/>
      <c r="W743" s="590"/>
      <c r="X743" s="590"/>
      <c r="Y743" s="590"/>
      <c r="Z743" s="590"/>
    </row>
    <row r="744" spans="1:26" ht="15.75" customHeight="1">
      <c r="A744" s="590"/>
      <c r="B744" s="590"/>
      <c r="C744" s="590"/>
      <c r="D744" s="590"/>
      <c r="E744" s="590"/>
      <c r="F744" s="590"/>
      <c r="G744" s="590"/>
      <c r="H744" s="590"/>
      <c r="I744" s="590"/>
      <c r="J744" s="590"/>
      <c r="K744" s="590"/>
      <c r="L744" s="590"/>
      <c r="M744" s="590"/>
      <c r="N744" s="590"/>
      <c r="O744" s="590"/>
      <c r="P744" s="590"/>
      <c r="Q744" s="590"/>
      <c r="R744" s="590"/>
      <c r="S744" s="590"/>
      <c r="T744" s="590"/>
      <c r="U744" s="590"/>
      <c r="V744" s="590"/>
      <c r="W744" s="590"/>
      <c r="X744" s="590"/>
      <c r="Y744" s="590"/>
      <c r="Z744" s="590"/>
    </row>
    <row r="745" spans="1:26" ht="15.75" customHeight="1">
      <c r="A745" s="590"/>
      <c r="B745" s="590"/>
      <c r="C745" s="590"/>
      <c r="D745" s="590"/>
      <c r="E745" s="590"/>
      <c r="F745" s="590"/>
      <c r="G745" s="590"/>
      <c r="H745" s="590"/>
      <c r="I745" s="590"/>
      <c r="J745" s="590"/>
      <c r="K745" s="590"/>
      <c r="L745" s="590"/>
      <c r="M745" s="590"/>
      <c r="N745" s="590"/>
      <c r="O745" s="590"/>
      <c r="P745" s="590"/>
      <c r="Q745" s="590"/>
      <c r="R745" s="590"/>
      <c r="S745" s="590"/>
      <c r="T745" s="590"/>
      <c r="U745" s="590"/>
      <c r="V745" s="590"/>
      <c r="W745" s="590"/>
      <c r="X745" s="590"/>
      <c r="Y745" s="590"/>
      <c r="Z745" s="590"/>
    </row>
    <row r="746" spans="1:26" ht="15.75" customHeight="1">
      <c r="A746" s="590"/>
      <c r="B746" s="590"/>
      <c r="C746" s="590"/>
      <c r="D746" s="590"/>
      <c r="E746" s="590"/>
      <c r="F746" s="590"/>
      <c r="G746" s="590"/>
      <c r="H746" s="590"/>
      <c r="I746" s="590"/>
      <c r="J746" s="590"/>
      <c r="K746" s="590"/>
      <c r="L746" s="590"/>
      <c r="M746" s="590"/>
      <c r="N746" s="590"/>
      <c r="O746" s="590"/>
      <c r="P746" s="590"/>
      <c r="Q746" s="590"/>
      <c r="R746" s="590"/>
      <c r="S746" s="590"/>
      <c r="T746" s="590"/>
      <c r="U746" s="590"/>
      <c r="V746" s="590"/>
      <c r="W746" s="590"/>
      <c r="X746" s="590"/>
      <c r="Y746" s="590"/>
      <c r="Z746" s="590"/>
    </row>
    <row r="747" spans="1:26" ht="15.75" customHeight="1">
      <c r="A747" s="590"/>
      <c r="B747" s="590"/>
      <c r="C747" s="590"/>
      <c r="D747" s="590"/>
      <c r="E747" s="590"/>
      <c r="F747" s="590"/>
      <c r="G747" s="590"/>
      <c r="H747" s="590"/>
      <c r="I747" s="590"/>
      <c r="J747" s="590"/>
      <c r="K747" s="590"/>
      <c r="L747" s="590"/>
      <c r="M747" s="590"/>
      <c r="N747" s="590"/>
      <c r="O747" s="590"/>
      <c r="P747" s="590"/>
      <c r="Q747" s="590"/>
      <c r="R747" s="590"/>
      <c r="S747" s="590"/>
      <c r="T747" s="590"/>
      <c r="U747" s="590"/>
      <c r="V747" s="590"/>
      <c r="W747" s="590"/>
      <c r="X747" s="590"/>
      <c r="Y747" s="590"/>
      <c r="Z747" s="590"/>
    </row>
    <row r="748" spans="1:26" ht="15.75" customHeight="1">
      <c r="A748" s="590"/>
      <c r="B748" s="590"/>
      <c r="C748" s="590"/>
      <c r="D748" s="590"/>
      <c r="E748" s="590"/>
      <c r="F748" s="590"/>
      <c r="G748" s="590"/>
      <c r="H748" s="590"/>
      <c r="I748" s="590"/>
      <c r="J748" s="590"/>
      <c r="K748" s="590"/>
      <c r="L748" s="590"/>
      <c r="M748" s="590"/>
      <c r="N748" s="590"/>
      <c r="O748" s="590"/>
      <c r="P748" s="590"/>
      <c r="Q748" s="590"/>
      <c r="R748" s="590"/>
      <c r="S748" s="590"/>
      <c r="T748" s="590"/>
      <c r="U748" s="590"/>
      <c r="V748" s="590"/>
      <c r="W748" s="590"/>
      <c r="X748" s="590"/>
      <c r="Y748" s="590"/>
      <c r="Z748" s="590"/>
    </row>
    <row r="749" spans="1:26" ht="15.75" customHeight="1">
      <c r="A749" s="590"/>
      <c r="B749" s="590"/>
      <c r="C749" s="590"/>
      <c r="D749" s="590"/>
      <c r="E749" s="590"/>
      <c r="F749" s="590"/>
      <c r="G749" s="590"/>
      <c r="H749" s="590"/>
      <c r="I749" s="590"/>
      <c r="J749" s="590"/>
      <c r="K749" s="590"/>
      <c r="L749" s="590"/>
      <c r="M749" s="590"/>
      <c r="N749" s="590"/>
      <c r="O749" s="590"/>
      <c r="P749" s="590"/>
      <c r="Q749" s="590"/>
      <c r="R749" s="590"/>
      <c r="S749" s="590"/>
      <c r="T749" s="590"/>
      <c r="U749" s="590"/>
      <c r="V749" s="590"/>
      <c r="W749" s="590"/>
      <c r="X749" s="590"/>
      <c r="Y749" s="590"/>
      <c r="Z749" s="590"/>
    </row>
    <row r="750" spans="1:26" ht="15.75" customHeight="1">
      <c r="A750" s="590"/>
      <c r="B750" s="590"/>
      <c r="C750" s="590"/>
      <c r="D750" s="590"/>
      <c r="E750" s="590"/>
      <c r="F750" s="590"/>
      <c r="G750" s="590"/>
      <c r="H750" s="590"/>
      <c r="I750" s="590"/>
      <c r="J750" s="590"/>
      <c r="K750" s="590"/>
      <c r="L750" s="590"/>
      <c r="M750" s="590"/>
      <c r="N750" s="590"/>
      <c r="O750" s="590"/>
      <c r="P750" s="590"/>
      <c r="Q750" s="590"/>
      <c r="R750" s="590"/>
      <c r="S750" s="590"/>
      <c r="T750" s="590"/>
      <c r="U750" s="590"/>
      <c r="V750" s="590"/>
      <c r="W750" s="590"/>
      <c r="X750" s="590"/>
      <c r="Y750" s="590"/>
      <c r="Z750" s="590"/>
    </row>
    <row r="751" spans="1:26" ht="15.75" customHeight="1">
      <c r="A751" s="590"/>
      <c r="B751" s="590"/>
      <c r="C751" s="590"/>
      <c r="D751" s="590"/>
      <c r="E751" s="590"/>
      <c r="F751" s="590"/>
      <c r="G751" s="590"/>
      <c r="H751" s="590"/>
      <c r="I751" s="590"/>
      <c r="J751" s="590"/>
      <c r="K751" s="590"/>
      <c r="L751" s="590"/>
      <c r="M751" s="590"/>
      <c r="N751" s="590"/>
      <c r="O751" s="590"/>
      <c r="P751" s="590"/>
      <c r="Q751" s="590"/>
      <c r="R751" s="590"/>
      <c r="S751" s="590"/>
      <c r="T751" s="590"/>
      <c r="U751" s="590"/>
      <c r="V751" s="590"/>
      <c r="W751" s="590"/>
      <c r="X751" s="590"/>
      <c r="Y751" s="590"/>
      <c r="Z751" s="590"/>
    </row>
    <row r="752" spans="1:26" ht="15.75" customHeight="1">
      <c r="A752" s="590"/>
      <c r="B752" s="590"/>
      <c r="C752" s="590"/>
      <c r="D752" s="590"/>
      <c r="E752" s="590"/>
      <c r="F752" s="590"/>
      <c r="G752" s="590"/>
      <c r="H752" s="590"/>
      <c r="I752" s="590"/>
      <c r="J752" s="590"/>
      <c r="K752" s="590"/>
      <c r="L752" s="590"/>
      <c r="M752" s="590"/>
      <c r="N752" s="590"/>
      <c r="O752" s="590"/>
      <c r="P752" s="590"/>
      <c r="Q752" s="590"/>
      <c r="R752" s="590"/>
      <c r="S752" s="590"/>
      <c r="T752" s="590"/>
      <c r="U752" s="590"/>
      <c r="V752" s="590"/>
      <c r="W752" s="590"/>
      <c r="X752" s="590"/>
      <c r="Y752" s="590"/>
      <c r="Z752" s="590"/>
    </row>
    <row r="753" spans="1:26" ht="15.75" customHeight="1">
      <c r="A753" s="590"/>
      <c r="B753" s="590"/>
      <c r="C753" s="590"/>
      <c r="D753" s="590"/>
      <c r="E753" s="590"/>
      <c r="F753" s="590"/>
      <c r="G753" s="590"/>
      <c r="H753" s="590"/>
      <c r="I753" s="590"/>
      <c r="J753" s="590"/>
      <c r="K753" s="590"/>
      <c r="L753" s="590"/>
      <c r="M753" s="590"/>
      <c r="N753" s="590"/>
      <c r="O753" s="590"/>
      <c r="P753" s="590"/>
      <c r="Q753" s="590"/>
      <c r="R753" s="590"/>
      <c r="S753" s="590"/>
      <c r="T753" s="590"/>
      <c r="U753" s="590"/>
      <c r="V753" s="590"/>
      <c r="W753" s="590"/>
      <c r="X753" s="590"/>
      <c r="Y753" s="590"/>
      <c r="Z753" s="590"/>
    </row>
    <row r="754" spans="1:26" ht="15.75" customHeight="1">
      <c r="A754" s="590"/>
      <c r="B754" s="590"/>
      <c r="C754" s="590"/>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row>
    <row r="755" spans="1:26" ht="15.75" customHeight="1">
      <c r="A755" s="590"/>
      <c r="B755" s="590"/>
      <c r="C755" s="590"/>
      <c r="D755" s="590"/>
      <c r="E755" s="590"/>
      <c r="F755" s="590"/>
      <c r="G755" s="590"/>
      <c r="H755" s="590"/>
      <c r="I755" s="590"/>
      <c r="J755" s="590"/>
      <c r="K755" s="590"/>
      <c r="L755" s="590"/>
      <c r="M755" s="590"/>
      <c r="N755" s="590"/>
      <c r="O755" s="590"/>
      <c r="P755" s="590"/>
      <c r="Q755" s="590"/>
      <c r="R755" s="590"/>
      <c r="S755" s="590"/>
      <c r="T755" s="590"/>
      <c r="U755" s="590"/>
      <c r="V755" s="590"/>
      <c r="W755" s="590"/>
      <c r="X755" s="590"/>
      <c r="Y755" s="590"/>
      <c r="Z755" s="590"/>
    </row>
    <row r="756" spans="1:26" ht="15.75" customHeight="1">
      <c r="A756" s="590"/>
      <c r="B756" s="590"/>
      <c r="C756" s="590"/>
      <c r="D756" s="590"/>
      <c r="E756" s="590"/>
      <c r="F756" s="590"/>
      <c r="G756" s="590"/>
      <c r="H756" s="590"/>
      <c r="I756" s="590"/>
      <c r="J756" s="590"/>
      <c r="K756" s="590"/>
      <c r="L756" s="590"/>
      <c r="M756" s="590"/>
      <c r="N756" s="590"/>
      <c r="O756" s="590"/>
      <c r="P756" s="590"/>
      <c r="Q756" s="590"/>
      <c r="R756" s="590"/>
      <c r="S756" s="590"/>
      <c r="T756" s="590"/>
      <c r="U756" s="590"/>
      <c r="V756" s="590"/>
      <c r="W756" s="590"/>
      <c r="X756" s="590"/>
      <c r="Y756" s="590"/>
      <c r="Z756" s="590"/>
    </row>
    <row r="757" spans="1:26" ht="15.75" customHeight="1">
      <c r="A757" s="590"/>
      <c r="B757" s="590"/>
      <c r="C757" s="590"/>
      <c r="D757" s="590"/>
      <c r="E757" s="590"/>
      <c r="F757" s="590"/>
      <c r="G757" s="590"/>
      <c r="H757" s="590"/>
      <c r="I757" s="590"/>
      <c r="J757" s="590"/>
      <c r="K757" s="590"/>
      <c r="L757" s="590"/>
      <c r="M757" s="590"/>
      <c r="N757" s="590"/>
      <c r="O757" s="590"/>
      <c r="P757" s="590"/>
      <c r="Q757" s="590"/>
      <c r="R757" s="590"/>
      <c r="S757" s="590"/>
      <c r="T757" s="590"/>
      <c r="U757" s="590"/>
      <c r="V757" s="590"/>
      <c r="W757" s="590"/>
      <c r="X757" s="590"/>
      <c r="Y757" s="590"/>
      <c r="Z757" s="590"/>
    </row>
    <row r="758" spans="1:26" ht="15.75" customHeight="1">
      <c r="A758" s="590"/>
      <c r="B758" s="590"/>
      <c r="C758" s="590"/>
      <c r="D758" s="590"/>
      <c r="E758" s="590"/>
      <c r="F758" s="590"/>
      <c r="G758" s="590"/>
      <c r="H758" s="590"/>
      <c r="I758" s="590"/>
      <c r="J758" s="590"/>
      <c r="K758" s="590"/>
      <c r="L758" s="590"/>
      <c r="M758" s="590"/>
      <c r="N758" s="590"/>
      <c r="O758" s="590"/>
      <c r="P758" s="590"/>
      <c r="Q758" s="590"/>
      <c r="R758" s="590"/>
      <c r="S758" s="590"/>
      <c r="T758" s="590"/>
      <c r="U758" s="590"/>
      <c r="V758" s="590"/>
      <c r="W758" s="590"/>
      <c r="X758" s="590"/>
      <c r="Y758" s="590"/>
      <c r="Z758" s="590"/>
    </row>
    <row r="759" spans="1:26" ht="15.75" customHeight="1">
      <c r="A759" s="590"/>
      <c r="B759" s="590"/>
      <c r="C759" s="590"/>
      <c r="D759" s="590"/>
      <c r="E759" s="590"/>
      <c r="F759" s="590"/>
      <c r="G759" s="590"/>
      <c r="H759" s="590"/>
      <c r="I759" s="590"/>
      <c r="J759" s="590"/>
      <c r="K759" s="590"/>
      <c r="L759" s="590"/>
      <c r="M759" s="590"/>
      <c r="N759" s="590"/>
      <c r="O759" s="590"/>
      <c r="P759" s="590"/>
      <c r="Q759" s="590"/>
      <c r="R759" s="590"/>
      <c r="S759" s="590"/>
      <c r="T759" s="590"/>
      <c r="U759" s="590"/>
      <c r="V759" s="590"/>
      <c r="W759" s="590"/>
      <c r="X759" s="590"/>
      <c r="Y759" s="590"/>
      <c r="Z759" s="590"/>
    </row>
    <row r="760" spans="1:26" ht="15.75" customHeight="1">
      <c r="A760" s="590"/>
      <c r="B760" s="590"/>
      <c r="C760" s="590"/>
      <c r="D760" s="590"/>
      <c r="E760" s="590"/>
      <c r="F760" s="590"/>
      <c r="G760" s="590"/>
      <c r="H760" s="590"/>
      <c r="I760" s="590"/>
      <c r="J760" s="590"/>
      <c r="K760" s="590"/>
      <c r="L760" s="590"/>
      <c r="M760" s="590"/>
      <c r="N760" s="590"/>
      <c r="O760" s="590"/>
      <c r="P760" s="590"/>
      <c r="Q760" s="590"/>
      <c r="R760" s="590"/>
      <c r="S760" s="590"/>
      <c r="T760" s="590"/>
      <c r="U760" s="590"/>
      <c r="V760" s="590"/>
      <c r="W760" s="590"/>
      <c r="X760" s="590"/>
      <c r="Y760" s="590"/>
      <c r="Z760" s="590"/>
    </row>
    <row r="761" spans="1:26" ht="15.75" customHeight="1">
      <c r="A761" s="590"/>
      <c r="B761" s="590"/>
      <c r="C761" s="590"/>
      <c r="D761" s="590"/>
      <c r="E761" s="590"/>
      <c r="F761" s="590"/>
      <c r="G761" s="590"/>
      <c r="H761" s="590"/>
      <c r="I761" s="590"/>
      <c r="J761" s="590"/>
      <c r="K761" s="590"/>
      <c r="L761" s="590"/>
      <c r="M761" s="590"/>
      <c r="N761" s="590"/>
      <c r="O761" s="590"/>
      <c r="P761" s="590"/>
      <c r="Q761" s="590"/>
      <c r="R761" s="590"/>
      <c r="S761" s="590"/>
      <c r="T761" s="590"/>
      <c r="U761" s="590"/>
      <c r="V761" s="590"/>
      <c r="W761" s="590"/>
      <c r="X761" s="590"/>
      <c r="Y761" s="590"/>
      <c r="Z761" s="590"/>
    </row>
    <row r="762" spans="1:26" ht="15.75" customHeight="1">
      <c r="A762" s="590"/>
      <c r="B762" s="590"/>
      <c r="C762" s="590"/>
      <c r="D762" s="590"/>
      <c r="E762" s="590"/>
      <c r="F762" s="590"/>
      <c r="G762" s="590"/>
      <c r="H762" s="590"/>
      <c r="I762" s="590"/>
      <c r="J762" s="590"/>
      <c r="K762" s="590"/>
      <c r="L762" s="590"/>
      <c r="M762" s="590"/>
      <c r="N762" s="590"/>
      <c r="O762" s="590"/>
      <c r="P762" s="590"/>
      <c r="Q762" s="590"/>
      <c r="R762" s="590"/>
      <c r="S762" s="590"/>
      <c r="T762" s="590"/>
      <c r="U762" s="590"/>
      <c r="V762" s="590"/>
      <c r="W762" s="590"/>
      <c r="X762" s="590"/>
      <c r="Y762" s="590"/>
      <c r="Z762" s="590"/>
    </row>
    <row r="763" spans="1:26" ht="15.75" customHeight="1">
      <c r="A763" s="590"/>
      <c r="B763" s="590"/>
      <c r="C763" s="590"/>
      <c r="D763" s="590"/>
      <c r="E763" s="590"/>
      <c r="F763" s="590"/>
      <c r="G763" s="590"/>
      <c r="H763" s="590"/>
      <c r="I763" s="590"/>
      <c r="J763" s="590"/>
      <c r="K763" s="590"/>
      <c r="L763" s="590"/>
      <c r="M763" s="590"/>
      <c r="N763" s="590"/>
      <c r="O763" s="590"/>
      <c r="P763" s="590"/>
      <c r="Q763" s="590"/>
      <c r="R763" s="590"/>
      <c r="S763" s="590"/>
      <c r="T763" s="590"/>
      <c r="U763" s="590"/>
      <c r="V763" s="590"/>
      <c r="W763" s="590"/>
      <c r="X763" s="590"/>
      <c r="Y763" s="590"/>
      <c r="Z763" s="590"/>
    </row>
    <row r="764" spans="1:26" ht="15.75" customHeight="1">
      <c r="A764" s="590"/>
      <c r="B764" s="590"/>
      <c r="C764" s="590"/>
      <c r="D764" s="590"/>
      <c r="E764" s="590"/>
      <c r="F764" s="590"/>
      <c r="G764" s="590"/>
      <c r="H764" s="590"/>
      <c r="I764" s="590"/>
      <c r="J764" s="590"/>
      <c r="K764" s="590"/>
      <c r="L764" s="590"/>
      <c r="M764" s="590"/>
      <c r="N764" s="590"/>
      <c r="O764" s="590"/>
      <c r="P764" s="590"/>
      <c r="Q764" s="590"/>
      <c r="R764" s="590"/>
      <c r="S764" s="590"/>
      <c r="T764" s="590"/>
      <c r="U764" s="590"/>
      <c r="V764" s="590"/>
      <c r="W764" s="590"/>
      <c r="X764" s="590"/>
      <c r="Y764" s="590"/>
      <c r="Z764" s="590"/>
    </row>
    <row r="765" spans="1:26" ht="15.75" customHeight="1">
      <c r="A765" s="590"/>
      <c r="B765" s="590"/>
      <c r="C765" s="590"/>
      <c r="D765" s="590"/>
      <c r="E765" s="590"/>
      <c r="F765" s="590"/>
      <c r="G765" s="590"/>
      <c r="H765" s="590"/>
      <c r="I765" s="590"/>
      <c r="J765" s="590"/>
      <c r="K765" s="590"/>
      <c r="L765" s="590"/>
      <c r="M765" s="590"/>
      <c r="N765" s="590"/>
      <c r="O765" s="590"/>
      <c r="P765" s="590"/>
      <c r="Q765" s="590"/>
      <c r="R765" s="590"/>
      <c r="S765" s="590"/>
      <c r="T765" s="590"/>
      <c r="U765" s="590"/>
      <c r="V765" s="590"/>
      <c r="W765" s="590"/>
      <c r="X765" s="590"/>
      <c r="Y765" s="590"/>
      <c r="Z765" s="590"/>
    </row>
    <row r="766" spans="1:26" ht="15.75" customHeight="1">
      <c r="A766" s="590"/>
      <c r="B766" s="590"/>
      <c r="C766" s="590"/>
      <c r="D766" s="590"/>
      <c r="E766" s="590"/>
      <c r="F766" s="590"/>
      <c r="G766" s="590"/>
      <c r="H766" s="590"/>
      <c r="I766" s="590"/>
      <c r="J766" s="590"/>
      <c r="K766" s="590"/>
      <c r="L766" s="590"/>
      <c r="M766" s="590"/>
      <c r="N766" s="590"/>
      <c r="O766" s="590"/>
      <c r="P766" s="590"/>
      <c r="Q766" s="590"/>
      <c r="R766" s="590"/>
      <c r="S766" s="590"/>
      <c r="T766" s="590"/>
      <c r="U766" s="590"/>
      <c r="V766" s="590"/>
      <c r="W766" s="590"/>
      <c r="X766" s="590"/>
      <c r="Y766" s="590"/>
      <c r="Z766" s="590"/>
    </row>
    <row r="767" spans="1:26" ht="15.75" customHeight="1">
      <c r="A767" s="590"/>
      <c r="B767" s="590"/>
      <c r="C767" s="590"/>
      <c r="D767" s="590"/>
      <c r="E767" s="590"/>
      <c r="F767" s="590"/>
      <c r="G767" s="590"/>
      <c r="H767" s="590"/>
      <c r="I767" s="590"/>
      <c r="J767" s="590"/>
      <c r="K767" s="590"/>
      <c r="L767" s="590"/>
      <c r="M767" s="590"/>
      <c r="N767" s="590"/>
      <c r="O767" s="590"/>
      <c r="P767" s="590"/>
      <c r="Q767" s="590"/>
      <c r="R767" s="590"/>
      <c r="S767" s="590"/>
      <c r="T767" s="590"/>
      <c r="U767" s="590"/>
      <c r="V767" s="590"/>
      <c r="W767" s="590"/>
      <c r="X767" s="590"/>
      <c r="Y767" s="590"/>
      <c r="Z767" s="590"/>
    </row>
    <row r="768" spans="1:26" ht="15.75" customHeight="1">
      <c r="A768" s="590"/>
      <c r="B768" s="590"/>
      <c r="C768" s="590"/>
      <c r="D768" s="590"/>
      <c r="E768" s="590"/>
      <c r="F768" s="590"/>
      <c r="G768" s="590"/>
      <c r="H768" s="590"/>
      <c r="I768" s="590"/>
      <c r="J768" s="590"/>
      <c r="K768" s="590"/>
      <c r="L768" s="590"/>
      <c r="M768" s="590"/>
      <c r="N768" s="590"/>
      <c r="O768" s="590"/>
      <c r="P768" s="590"/>
      <c r="Q768" s="590"/>
      <c r="R768" s="590"/>
      <c r="S768" s="590"/>
      <c r="T768" s="590"/>
      <c r="U768" s="590"/>
      <c r="V768" s="590"/>
      <c r="W768" s="590"/>
      <c r="X768" s="590"/>
      <c r="Y768" s="590"/>
      <c r="Z768" s="590"/>
    </row>
    <row r="769" spans="1:26" ht="15.75" customHeight="1">
      <c r="A769" s="590"/>
      <c r="B769" s="590"/>
      <c r="C769" s="590"/>
      <c r="D769" s="590"/>
      <c r="E769" s="590"/>
      <c r="F769" s="590"/>
      <c r="G769" s="590"/>
      <c r="H769" s="590"/>
      <c r="I769" s="590"/>
      <c r="J769" s="590"/>
      <c r="K769" s="590"/>
      <c r="L769" s="590"/>
      <c r="M769" s="590"/>
      <c r="N769" s="590"/>
      <c r="O769" s="590"/>
      <c r="P769" s="590"/>
      <c r="Q769" s="590"/>
      <c r="R769" s="590"/>
      <c r="S769" s="590"/>
      <c r="T769" s="590"/>
      <c r="U769" s="590"/>
      <c r="V769" s="590"/>
      <c r="W769" s="590"/>
      <c r="X769" s="590"/>
      <c r="Y769" s="590"/>
      <c r="Z769" s="590"/>
    </row>
    <row r="770" spans="1:26" ht="15.75" customHeight="1">
      <c r="A770" s="590"/>
      <c r="B770" s="590"/>
      <c r="C770" s="590"/>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row>
    <row r="771" spans="1:26" ht="15.75" customHeight="1">
      <c r="A771" s="590"/>
      <c r="B771" s="590"/>
      <c r="C771" s="590"/>
      <c r="D771" s="590"/>
      <c r="E771" s="590"/>
      <c r="F771" s="590"/>
      <c r="G771" s="590"/>
      <c r="H771" s="590"/>
      <c r="I771" s="590"/>
      <c r="J771" s="590"/>
      <c r="K771" s="590"/>
      <c r="L771" s="590"/>
      <c r="M771" s="590"/>
      <c r="N771" s="590"/>
      <c r="O771" s="590"/>
      <c r="P771" s="590"/>
      <c r="Q771" s="590"/>
      <c r="R771" s="590"/>
      <c r="S771" s="590"/>
      <c r="T771" s="590"/>
      <c r="U771" s="590"/>
      <c r="V771" s="590"/>
      <c r="W771" s="590"/>
      <c r="X771" s="590"/>
      <c r="Y771" s="590"/>
      <c r="Z771" s="590"/>
    </row>
    <row r="772" spans="1:26" ht="15.75" customHeight="1">
      <c r="A772" s="590"/>
      <c r="B772" s="590"/>
      <c r="C772" s="590"/>
      <c r="D772" s="590"/>
      <c r="E772" s="590"/>
      <c r="F772" s="590"/>
      <c r="G772" s="590"/>
      <c r="H772" s="590"/>
      <c r="I772" s="590"/>
      <c r="J772" s="590"/>
      <c r="K772" s="590"/>
      <c r="L772" s="590"/>
      <c r="M772" s="590"/>
      <c r="N772" s="590"/>
      <c r="O772" s="590"/>
      <c r="P772" s="590"/>
      <c r="Q772" s="590"/>
      <c r="R772" s="590"/>
      <c r="S772" s="590"/>
      <c r="T772" s="590"/>
      <c r="U772" s="590"/>
      <c r="V772" s="590"/>
      <c r="W772" s="590"/>
      <c r="X772" s="590"/>
      <c r="Y772" s="590"/>
      <c r="Z772" s="590"/>
    </row>
    <row r="773" spans="1:26" ht="15.75" customHeight="1">
      <c r="A773" s="590"/>
      <c r="B773" s="590"/>
      <c r="C773" s="590"/>
      <c r="D773" s="590"/>
      <c r="E773" s="590"/>
      <c r="F773" s="590"/>
      <c r="G773" s="590"/>
      <c r="H773" s="590"/>
      <c r="I773" s="590"/>
      <c r="J773" s="590"/>
      <c r="K773" s="590"/>
      <c r="L773" s="590"/>
      <c r="M773" s="590"/>
      <c r="N773" s="590"/>
      <c r="O773" s="590"/>
      <c r="P773" s="590"/>
      <c r="Q773" s="590"/>
      <c r="R773" s="590"/>
      <c r="S773" s="590"/>
      <c r="T773" s="590"/>
      <c r="U773" s="590"/>
      <c r="V773" s="590"/>
      <c r="W773" s="590"/>
      <c r="X773" s="590"/>
      <c r="Y773" s="590"/>
      <c r="Z773" s="590"/>
    </row>
    <row r="774" spans="1:26" ht="15.75" customHeight="1">
      <c r="A774" s="590"/>
      <c r="B774" s="590"/>
      <c r="C774" s="590"/>
      <c r="D774" s="590"/>
      <c r="E774" s="590"/>
      <c r="F774" s="590"/>
      <c r="G774" s="590"/>
      <c r="H774" s="590"/>
      <c r="I774" s="590"/>
      <c r="J774" s="590"/>
      <c r="K774" s="590"/>
      <c r="L774" s="590"/>
      <c r="M774" s="590"/>
      <c r="N774" s="590"/>
      <c r="O774" s="590"/>
      <c r="P774" s="590"/>
      <c r="Q774" s="590"/>
      <c r="R774" s="590"/>
      <c r="S774" s="590"/>
      <c r="T774" s="590"/>
      <c r="U774" s="590"/>
      <c r="V774" s="590"/>
      <c r="W774" s="590"/>
      <c r="X774" s="590"/>
      <c r="Y774" s="590"/>
      <c r="Z774" s="590"/>
    </row>
    <row r="775" spans="1:26" ht="15.75" customHeight="1">
      <c r="A775" s="590"/>
      <c r="B775" s="590"/>
      <c r="C775" s="590"/>
      <c r="D775" s="590"/>
      <c r="E775" s="590"/>
      <c r="F775" s="590"/>
      <c r="G775" s="590"/>
      <c r="H775" s="590"/>
      <c r="I775" s="590"/>
      <c r="J775" s="590"/>
      <c r="K775" s="590"/>
      <c r="L775" s="590"/>
      <c r="M775" s="590"/>
      <c r="N775" s="590"/>
      <c r="O775" s="590"/>
      <c r="P775" s="590"/>
      <c r="Q775" s="590"/>
      <c r="R775" s="590"/>
      <c r="S775" s="590"/>
      <c r="T775" s="590"/>
      <c r="U775" s="590"/>
      <c r="V775" s="590"/>
      <c r="W775" s="590"/>
      <c r="X775" s="590"/>
      <c r="Y775" s="590"/>
      <c r="Z775" s="590"/>
    </row>
    <row r="776" spans="1:26" ht="15.75" customHeight="1">
      <c r="A776" s="590"/>
      <c r="B776" s="590"/>
      <c r="C776" s="590"/>
      <c r="D776" s="590"/>
      <c r="E776" s="590"/>
      <c r="F776" s="590"/>
      <c r="G776" s="590"/>
      <c r="H776" s="590"/>
      <c r="I776" s="590"/>
      <c r="J776" s="590"/>
      <c r="K776" s="590"/>
      <c r="L776" s="590"/>
      <c r="M776" s="590"/>
      <c r="N776" s="590"/>
      <c r="O776" s="590"/>
      <c r="P776" s="590"/>
      <c r="Q776" s="590"/>
      <c r="R776" s="590"/>
      <c r="S776" s="590"/>
      <c r="T776" s="590"/>
      <c r="U776" s="590"/>
      <c r="V776" s="590"/>
      <c r="W776" s="590"/>
      <c r="X776" s="590"/>
      <c r="Y776" s="590"/>
      <c r="Z776" s="590"/>
    </row>
    <row r="777" spans="1:26" ht="15.75" customHeight="1">
      <c r="A777" s="590"/>
      <c r="B777" s="590"/>
      <c r="C777" s="590"/>
      <c r="D777" s="590"/>
      <c r="E777" s="590"/>
      <c r="F777" s="590"/>
      <c r="G777" s="590"/>
      <c r="H777" s="590"/>
      <c r="I777" s="590"/>
      <c r="J777" s="590"/>
      <c r="K777" s="590"/>
      <c r="L777" s="590"/>
      <c r="M777" s="590"/>
      <c r="N777" s="590"/>
      <c r="O777" s="590"/>
      <c r="P777" s="590"/>
      <c r="Q777" s="590"/>
      <c r="R777" s="590"/>
      <c r="S777" s="590"/>
      <c r="T777" s="590"/>
      <c r="U777" s="590"/>
      <c r="V777" s="590"/>
      <c r="W777" s="590"/>
      <c r="X777" s="590"/>
      <c r="Y777" s="590"/>
      <c r="Z777" s="590"/>
    </row>
    <row r="778" spans="1:26" ht="15.75" customHeight="1">
      <c r="A778" s="590"/>
      <c r="B778" s="590"/>
      <c r="C778" s="590"/>
      <c r="D778" s="590"/>
      <c r="E778" s="590"/>
      <c r="F778" s="590"/>
      <c r="G778" s="590"/>
      <c r="H778" s="590"/>
      <c r="I778" s="590"/>
      <c r="J778" s="590"/>
      <c r="K778" s="590"/>
      <c r="L778" s="590"/>
      <c r="M778" s="590"/>
      <c r="N778" s="590"/>
      <c r="O778" s="590"/>
      <c r="P778" s="590"/>
      <c r="Q778" s="590"/>
      <c r="R778" s="590"/>
      <c r="S778" s="590"/>
      <c r="T778" s="590"/>
      <c r="U778" s="590"/>
      <c r="V778" s="590"/>
      <c r="W778" s="590"/>
      <c r="X778" s="590"/>
      <c r="Y778" s="590"/>
      <c r="Z778" s="590"/>
    </row>
    <row r="779" spans="1:26" ht="15.75" customHeight="1">
      <c r="A779" s="590"/>
      <c r="B779" s="590"/>
      <c r="C779" s="590"/>
      <c r="D779" s="590"/>
      <c r="E779" s="590"/>
      <c r="F779" s="590"/>
      <c r="G779" s="590"/>
      <c r="H779" s="590"/>
      <c r="I779" s="590"/>
      <c r="J779" s="590"/>
      <c r="K779" s="590"/>
      <c r="L779" s="590"/>
      <c r="M779" s="590"/>
      <c r="N779" s="590"/>
      <c r="O779" s="590"/>
      <c r="P779" s="590"/>
      <c r="Q779" s="590"/>
      <c r="R779" s="590"/>
      <c r="S779" s="590"/>
      <c r="T779" s="590"/>
      <c r="U779" s="590"/>
      <c r="V779" s="590"/>
      <c r="W779" s="590"/>
      <c r="X779" s="590"/>
      <c r="Y779" s="590"/>
      <c r="Z779" s="590"/>
    </row>
    <row r="780" spans="1:26" ht="15.75" customHeight="1">
      <c r="A780" s="590"/>
      <c r="B780" s="590"/>
      <c r="C780" s="590"/>
      <c r="D780" s="590"/>
      <c r="E780" s="590"/>
      <c r="F780" s="590"/>
      <c r="G780" s="590"/>
      <c r="H780" s="590"/>
      <c r="I780" s="590"/>
      <c r="J780" s="590"/>
      <c r="K780" s="590"/>
      <c r="L780" s="590"/>
      <c r="M780" s="590"/>
      <c r="N780" s="590"/>
      <c r="O780" s="590"/>
      <c r="P780" s="590"/>
      <c r="Q780" s="590"/>
      <c r="R780" s="590"/>
      <c r="S780" s="590"/>
      <c r="T780" s="590"/>
      <c r="U780" s="590"/>
      <c r="V780" s="590"/>
      <c r="W780" s="590"/>
      <c r="X780" s="590"/>
      <c r="Y780" s="590"/>
      <c r="Z780" s="590"/>
    </row>
    <row r="781" spans="1:26" ht="15.75" customHeight="1">
      <c r="A781" s="590"/>
      <c r="B781" s="590"/>
      <c r="C781" s="590"/>
      <c r="D781" s="590"/>
      <c r="E781" s="590"/>
      <c r="F781" s="590"/>
      <c r="G781" s="590"/>
      <c r="H781" s="590"/>
      <c r="I781" s="590"/>
      <c r="J781" s="590"/>
      <c r="K781" s="590"/>
      <c r="L781" s="590"/>
      <c r="M781" s="590"/>
      <c r="N781" s="590"/>
      <c r="O781" s="590"/>
      <c r="P781" s="590"/>
      <c r="Q781" s="590"/>
      <c r="R781" s="590"/>
      <c r="S781" s="590"/>
      <c r="T781" s="590"/>
      <c r="U781" s="590"/>
      <c r="V781" s="590"/>
      <c r="W781" s="590"/>
      <c r="X781" s="590"/>
      <c r="Y781" s="590"/>
      <c r="Z781" s="590"/>
    </row>
    <row r="782" spans="1:26" ht="15.75" customHeight="1">
      <c r="A782" s="590"/>
      <c r="B782" s="590"/>
      <c r="C782" s="590"/>
      <c r="D782" s="590"/>
      <c r="E782" s="590"/>
      <c r="F782" s="590"/>
      <c r="G782" s="590"/>
      <c r="H782" s="590"/>
      <c r="I782" s="590"/>
      <c r="J782" s="590"/>
      <c r="K782" s="590"/>
      <c r="L782" s="590"/>
      <c r="M782" s="590"/>
      <c r="N782" s="590"/>
      <c r="O782" s="590"/>
      <c r="P782" s="590"/>
      <c r="Q782" s="590"/>
      <c r="R782" s="590"/>
      <c r="S782" s="590"/>
      <c r="T782" s="590"/>
      <c r="U782" s="590"/>
      <c r="V782" s="590"/>
      <c r="W782" s="590"/>
      <c r="X782" s="590"/>
      <c r="Y782" s="590"/>
      <c r="Z782" s="590"/>
    </row>
    <row r="783" spans="1:26" ht="15.75" customHeight="1">
      <c r="A783" s="590"/>
      <c r="B783" s="590"/>
      <c r="C783" s="590"/>
      <c r="D783" s="590"/>
      <c r="E783" s="590"/>
      <c r="F783" s="590"/>
      <c r="G783" s="590"/>
      <c r="H783" s="590"/>
      <c r="I783" s="590"/>
      <c r="J783" s="590"/>
      <c r="K783" s="590"/>
      <c r="L783" s="590"/>
      <c r="M783" s="590"/>
      <c r="N783" s="590"/>
      <c r="O783" s="590"/>
      <c r="P783" s="590"/>
      <c r="Q783" s="590"/>
      <c r="R783" s="590"/>
      <c r="S783" s="590"/>
      <c r="T783" s="590"/>
      <c r="U783" s="590"/>
      <c r="V783" s="590"/>
      <c r="W783" s="590"/>
      <c r="X783" s="590"/>
      <c r="Y783" s="590"/>
      <c r="Z783" s="590"/>
    </row>
    <row r="784" spans="1:26" ht="15.75" customHeight="1">
      <c r="A784" s="590"/>
      <c r="B784" s="590"/>
      <c r="C784" s="590"/>
      <c r="D784" s="590"/>
      <c r="E784" s="590"/>
      <c r="F784" s="590"/>
      <c r="G784" s="590"/>
      <c r="H784" s="590"/>
      <c r="I784" s="590"/>
      <c r="J784" s="590"/>
      <c r="K784" s="590"/>
      <c r="L784" s="590"/>
      <c r="M784" s="590"/>
      <c r="N784" s="590"/>
      <c r="O784" s="590"/>
      <c r="P784" s="590"/>
      <c r="Q784" s="590"/>
      <c r="R784" s="590"/>
      <c r="S784" s="590"/>
      <c r="T784" s="590"/>
      <c r="U784" s="590"/>
      <c r="V784" s="590"/>
      <c r="W784" s="590"/>
      <c r="X784" s="590"/>
      <c r="Y784" s="590"/>
      <c r="Z784" s="590"/>
    </row>
    <row r="785" spans="1:26" ht="15.75" customHeight="1">
      <c r="A785" s="590"/>
      <c r="B785" s="590"/>
      <c r="C785" s="590"/>
      <c r="D785" s="590"/>
      <c r="E785" s="590"/>
      <c r="F785" s="590"/>
      <c r="G785" s="590"/>
      <c r="H785" s="590"/>
      <c r="I785" s="590"/>
      <c r="J785" s="590"/>
      <c r="K785" s="590"/>
      <c r="L785" s="590"/>
      <c r="M785" s="590"/>
      <c r="N785" s="590"/>
      <c r="O785" s="590"/>
      <c r="P785" s="590"/>
      <c r="Q785" s="590"/>
      <c r="R785" s="590"/>
      <c r="S785" s="590"/>
      <c r="T785" s="590"/>
      <c r="U785" s="590"/>
      <c r="V785" s="590"/>
      <c r="W785" s="590"/>
      <c r="X785" s="590"/>
      <c r="Y785" s="590"/>
      <c r="Z785" s="590"/>
    </row>
    <row r="786" spans="1:26" ht="15.75" customHeight="1">
      <c r="A786" s="590"/>
      <c r="B786" s="590"/>
      <c r="C786" s="590"/>
      <c r="D786" s="590"/>
      <c r="E786" s="590"/>
      <c r="F786" s="590"/>
      <c r="G786" s="590"/>
      <c r="H786" s="590"/>
      <c r="I786" s="590"/>
      <c r="J786" s="590"/>
      <c r="K786" s="590"/>
      <c r="L786" s="590"/>
      <c r="M786" s="590"/>
      <c r="N786" s="590"/>
      <c r="O786" s="590"/>
      <c r="P786" s="590"/>
      <c r="Q786" s="590"/>
      <c r="R786" s="590"/>
      <c r="S786" s="590"/>
      <c r="T786" s="590"/>
      <c r="U786" s="590"/>
      <c r="V786" s="590"/>
      <c r="W786" s="590"/>
      <c r="X786" s="590"/>
      <c r="Y786" s="590"/>
      <c r="Z786" s="590"/>
    </row>
    <row r="787" spans="1:26" ht="15.75" customHeight="1">
      <c r="A787" s="590"/>
      <c r="B787" s="590"/>
      <c r="C787" s="590"/>
      <c r="D787" s="590"/>
      <c r="E787" s="590"/>
      <c r="F787" s="590"/>
      <c r="G787" s="590"/>
      <c r="H787" s="590"/>
      <c r="I787" s="590"/>
      <c r="J787" s="590"/>
      <c r="K787" s="590"/>
      <c r="L787" s="590"/>
      <c r="M787" s="590"/>
      <c r="N787" s="590"/>
      <c r="O787" s="590"/>
      <c r="P787" s="590"/>
      <c r="Q787" s="590"/>
      <c r="R787" s="590"/>
      <c r="S787" s="590"/>
      <c r="T787" s="590"/>
      <c r="U787" s="590"/>
      <c r="V787" s="590"/>
      <c r="W787" s="590"/>
      <c r="X787" s="590"/>
      <c r="Y787" s="590"/>
      <c r="Z787" s="590"/>
    </row>
    <row r="788" spans="1:26" ht="15.75" customHeight="1">
      <c r="A788" s="590"/>
      <c r="B788" s="590"/>
      <c r="C788" s="590"/>
      <c r="D788" s="590"/>
      <c r="E788" s="590"/>
      <c r="F788" s="590"/>
      <c r="G788" s="590"/>
      <c r="H788" s="590"/>
      <c r="I788" s="590"/>
      <c r="J788" s="590"/>
      <c r="K788" s="590"/>
      <c r="L788" s="590"/>
      <c r="M788" s="590"/>
      <c r="N788" s="590"/>
      <c r="O788" s="590"/>
      <c r="P788" s="590"/>
      <c r="Q788" s="590"/>
      <c r="R788" s="590"/>
      <c r="S788" s="590"/>
      <c r="T788" s="590"/>
      <c r="U788" s="590"/>
      <c r="V788" s="590"/>
      <c r="W788" s="590"/>
      <c r="X788" s="590"/>
      <c r="Y788" s="590"/>
      <c r="Z788" s="590"/>
    </row>
    <row r="789" spans="1:26" ht="15.75" customHeight="1">
      <c r="A789" s="590"/>
      <c r="B789" s="590"/>
      <c r="C789" s="590"/>
      <c r="D789" s="590"/>
      <c r="E789" s="590"/>
      <c r="F789" s="590"/>
      <c r="G789" s="590"/>
      <c r="H789" s="590"/>
      <c r="I789" s="590"/>
      <c r="J789" s="590"/>
      <c r="K789" s="590"/>
      <c r="L789" s="590"/>
      <c r="M789" s="590"/>
      <c r="N789" s="590"/>
      <c r="O789" s="590"/>
      <c r="P789" s="590"/>
      <c r="Q789" s="590"/>
      <c r="R789" s="590"/>
      <c r="S789" s="590"/>
      <c r="T789" s="590"/>
      <c r="U789" s="590"/>
      <c r="V789" s="590"/>
      <c r="W789" s="590"/>
      <c r="X789" s="590"/>
      <c r="Y789" s="590"/>
      <c r="Z789" s="590"/>
    </row>
    <row r="790" spans="1:26" ht="15.75" customHeight="1">
      <c r="A790" s="590"/>
      <c r="B790" s="590"/>
      <c r="C790" s="590"/>
      <c r="D790" s="590"/>
      <c r="E790" s="590"/>
      <c r="F790" s="590"/>
      <c r="G790" s="590"/>
      <c r="H790" s="590"/>
      <c r="I790" s="590"/>
      <c r="J790" s="590"/>
      <c r="K790" s="590"/>
      <c r="L790" s="590"/>
      <c r="M790" s="590"/>
      <c r="N790" s="590"/>
      <c r="O790" s="590"/>
      <c r="P790" s="590"/>
      <c r="Q790" s="590"/>
      <c r="R790" s="590"/>
      <c r="S790" s="590"/>
      <c r="T790" s="590"/>
      <c r="U790" s="590"/>
      <c r="V790" s="590"/>
      <c r="W790" s="590"/>
      <c r="X790" s="590"/>
      <c r="Y790" s="590"/>
      <c r="Z790" s="590"/>
    </row>
    <row r="791" spans="1:26" ht="15.75" customHeight="1">
      <c r="A791" s="590"/>
      <c r="B791" s="590"/>
      <c r="C791" s="590"/>
      <c r="D791" s="590"/>
      <c r="E791" s="590"/>
      <c r="F791" s="590"/>
      <c r="G791" s="590"/>
      <c r="H791" s="590"/>
      <c r="I791" s="590"/>
      <c r="J791" s="590"/>
      <c r="K791" s="590"/>
      <c r="L791" s="590"/>
      <c r="M791" s="590"/>
      <c r="N791" s="590"/>
      <c r="O791" s="590"/>
      <c r="P791" s="590"/>
      <c r="Q791" s="590"/>
      <c r="R791" s="590"/>
      <c r="S791" s="590"/>
      <c r="T791" s="590"/>
      <c r="U791" s="590"/>
      <c r="V791" s="590"/>
      <c r="W791" s="590"/>
      <c r="X791" s="590"/>
      <c r="Y791" s="590"/>
      <c r="Z791" s="590"/>
    </row>
    <row r="792" spans="1:26" ht="15.75" customHeight="1">
      <c r="A792" s="590"/>
      <c r="B792" s="590"/>
      <c r="C792" s="590"/>
      <c r="D792" s="590"/>
      <c r="E792" s="590"/>
      <c r="F792" s="590"/>
      <c r="G792" s="590"/>
      <c r="H792" s="590"/>
      <c r="I792" s="590"/>
      <c r="J792" s="590"/>
      <c r="K792" s="590"/>
      <c r="L792" s="590"/>
      <c r="M792" s="590"/>
      <c r="N792" s="590"/>
      <c r="O792" s="590"/>
      <c r="P792" s="590"/>
      <c r="Q792" s="590"/>
      <c r="R792" s="590"/>
      <c r="S792" s="590"/>
      <c r="T792" s="590"/>
      <c r="U792" s="590"/>
      <c r="V792" s="590"/>
      <c r="W792" s="590"/>
      <c r="X792" s="590"/>
      <c r="Y792" s="590"/>
      <c r="Z792" s="590"/>
    </row>
    <row r="793" spans="1:26" ht="15.75" customHeight="1">
      <c r="A793" s="590"/>
      <c r="B793" s="590"/>
      <c r="C793" s="590"/>
      <c r="D793" s="590"/>
      <c r="E793" s="590"/>
      <c r="F793" s="590"/>
      <c r="G793" s="590"/>
      <c r="H793" s="590"/>
      <c r="I793" s="590"/>
      <c r="J793" s="590"/>
      <c r="K793" s="590"/>
      <c r="L793" s="590"/>
      <c r="M793" s="590"/>
      <c r="N793" s="590"/>
      <c r="O793" s="590"/>
      <c r="P793" s="590"/>
      <c r="Q793" s="590"/>
      <c r="R793" s="590"/>
      <c r="S793" s="590"/>
      <c r="T793" s="590"/>
      <c r="U793" s="590"/>
      <c r="V793" s="590"/>
      <c r="W793" s="590"/>
      <c r="X793" s="590"/>
      <c r="Y793" s="590"/>
      <c r="Z793" s="590"/>
    </row>
    <row r="794" spans="1:26" ht="15.75" customHeight="1">
      <c r="A794" s="590"/>
      <c r="B794" s="590"/>
      <c r="C794" s="590"/>
      <c r="D794" s="590"/>
      <c r="E794" s="590"/>
      <c r="F794" s="590"/>
      <c r="G794" s="590"/>
      <c r="H794" s="590"/>
      <c r="I794" s="590"/>
      <c r="J794" s="590"/>
      <c r="K794" s="590"/>
      <c r="L794" s="590"/>
      <c r="M794" s="590"/>
      <c r="N794" s="590"/>
      <c r="O794" s="590"/>
      <c r="P794" s="590"/>
      <c r="Q794" s="590"/>
      <c r="R794" s="590"/>
      <c r="S794" s="590"/>
      <c r="T794" s="590"/>
      <c r="U794" s="590"/>
      <c r="V794" s="590"/>
      <c r="W794" s="590"/>
      <c r="X794" s="590"/>
      <c r="Y794" s="590"/>
      <c r="Z794" s="590"/>
    </row>
    <row r="795" spans="1:26" ht="15.75" customHeight="1">
      <c r="A795" s="590"/>
      <c r="B795" s="590"/>
      <c r="C795" s="590"/>
      <c r="D795" s="590"/>
      <c r="E795" s="590"/>
      <c r="F795" s="590"/>
      <c r="G795" s="590"/>
      <c r="H795" s="590"/>
      <c r="I795" s="590"/>
      <c r="J795" s="590"/>
      <c r="K795" s="590"/>
      <c r="L795" s="590"/>
      <c r="M795" s="590"/>
      <c r="N795" s="590"/>
      <c r="O795" s="590"/>
      <c r="P795" s="590"/>
      <c r="Q795" s="590"/>
      <c r="R795" s="590"/>
      <c r="S795" s="590"/>
      <c r="T795" s="590"/>
      <c r="U795" s="590"/>
      <c r="V795" s="590"/>
      <c r="W795" s="590"/>
      <c r="X795" s="590"/>
      <c r="Y795" s="590"/>
      <c r="Z795" s="590"/>
    </row>
    <row r="796" spans="1:26" ht="15.75" customHeight="1">
      <c r="A796" s="590"/>
      <c r="B796" s="590"/>
      <c r="C796" s="590"/>
      <c r="D796" s="590"/>
      <c r="E796" s="590"/>
      <c r="F796" s="590"/>
      <c r="G796" s="590"/>
      <c r="H796" s="590"/>
      <c r="I796" s="590"/>
      <c r="J796" s="590"/>
      <c r="K796" s="590"/>
      <c r="L796" s="590"/>
      <c r="M796" s="590"/>
      <c r="N796" s="590"/>
      <c r="O796" s="590"/>
      <c r="P796" s="590"/>
      <c r="Q796" s="590"/>
      <c r="R796" s="590"/>
      <c r="S796" s="590"/>
      <c r="T796" s="590"/>
      <c r="U796" s="590"/>
      <c r="V796" s="590"/>
      <c r="W796" s="590"/>
      <c r="X796" s="590"/>
      <c r="Y796" s="590"/>
      <c r="Z796" s="590"/>
    </row>
    <row r="797" spans="1:26" ht="15.75" customHeight="1">
      <c r="A797" s="590"/>
      <c r="B797" s="590"/>
      <c r="C797" s="590"/>
      <c r="D797" s="590"/>
      <c r="E797" s="590"/>
      <c r="F797" s="590"/>
      <c r="G797" s="590"/>
      <c r="H797" s="590"/>
      <c r="I797" s="590"/>
      <c r="J797" s="590"/>
      <c r="K797" s="590"/>
      <c r="L797" s="590"/>
      <c r="M797" s="590"/>
      <c r="N797" s="590"/>
      <c r="O797" s="590"/>
      <c r="P797" s="590"/>
      <c r="Q797" s="590"/>
      <c r="R797" s="590"/>
      <c r="S797" s="590"/>
      <c r="T797" s="590"/>
      <c r="U797" s="590"/>
      <c r="V797" s="590"/>
      <c r="W797" s="590"/>
      <c r="X797" s="590"/>
      <c r="Y797" s="590"/>
      <c r="Z797" s="590"/>
    </row>
    <row r="798" spans="1:26" ht="15.75" customHeight="1">
      <c r="A798" s="590"/>
      <c r="B798" s="590"/>
      <c r="C798" s="590"/>
      <c r="D798" s="590"/>
      <c r="E798" s="590"/>
      <c r="F798" s="590"/>
      <c r="G798" s="590"/>
      <c r="H798" s="590"/>
      <c r="I798" s="590"/>
      <c r="J798" s="590"/>
      <c r="K798" s="590"/>
      <c r="L798" s="590"/>
      <c r="M798" s="590"/>
      <c r="N798" s="590"/>
      <c r="O798" s="590"/>
      <c r="P798" s="590"/>
      <c r="Q798" s="590"/>
      <c r="R798" s="590"/>
      <c r="S798" s="590"/>
      <c r="T798" s="590"/>
      <c r="U798" s="590"/>
      <c r="V798" s="590"/>
      <c r="W798" s="590"/>
      <c r="X798" s="590"/>
      <c r="Y798" s="590"/>
      <c r="Z798" s="590"/>
    </row>
    <row r="799" spans="1:26" ht="15.75" customHeight="1">
      <c r="A799" s="590"/>
      <c r="B799" s="590"/>
      <c r="C799" s="590"/>
      <c r="D799" s="590"/>
      <c r="E799" s="590"/>
      <c r="F799" s="590"/>
      <c r="G799" s="590"/>
      <c r="H799" s="590"/>
      <c r="I799" s="590"/>
      <c r="J799" s="590"/>
      <c r="K799" s="590"/>
      <c r="L799" s="590"/>
      <c r="M799" s="590"/>
      <c r="N799" s="590"/>
      <c r="O799" s="590"/>
      <c r="P799" s="590"/>
      <c r="Q799" s="590"/>
      <c r="R799" s="590"/>
      <c r="S799" s="590"/>
      <c r="T799" s="590"/>
      <c r="U799" s="590"/>
      <c r="V799" s="590"/>
      <c r="W799" s="590"/>
      <c r="X799" s="590"/>
      <c r="Y799" s="590"/>
      <c r="Z799" s="590"/>
    </row>
    <row r="800" spans="1:26" ht="15.75" customHeight="1">
      <c r="A800" s="590"/>
      <c r="B800" s="590"/>
      <c r="C800" s="590"/>
      <c r="D800" s="590"/>
      <c r="E800" s="590"/>
      <c r="F800" s="590"/>
      <c r="G800" s="590"/>
      <c r="H800" s="590"/>
      <c r="I800" s="590"/>
      <c r="J800" s="590"/>
      <c r="K800" s="590"/>
      <c r="L800" s="590"/>
      <c r="M800" s="590"/>
      <c r="N800" s="590"/>
      <c r="O800" s="590"/>
      <c r="P800" s="590"/>
      <c r="Q800" s="590"/>
      <c r="R800" s="590"/>
      <c r="S800" s="590"/>
      <c r="T800" s="590"/>
      <c r="U800" s="590"/>
      <c r="V800" s="590"/>
      <c r="W800" s="590"/>
      <c r="X800" s="590"/>
      <c r="Y800" s="590"/>
      <c r="Z800" s="590"/>
    </row>
    <row r="801" spans="1:26" ht="15.75" customHeight="1">
      <c r="A801" s="590"/>
      <c r="B801" s="590"/>
      <c r="C801" s="590"/>
      <c r="D801" s="590"/>
      <c r="E801" s="590"/>
      <c r="F801" s="590"/>
      <c r="G801" s="590"/>
      <c r="H801" s="590"/>
      <c r="I801" s="590"/>
      <c r="J801" s="590"/>
      <c r="K801" s="590"/>
      <c r="L801" s="590"/>
      <c r="M801" s="590"/>
      <c r="N801" s="590"/>
      <c r="O801" s="590"/>
      <c r="P801" s="590"/>
      <c r="Q801" s="590"/>
      <c r="R801" s="590"/>
      <c r="S801" s="590"/>
      <c r="T801" s="590"/>
      <c r="U801" s="590"/>
      <c r="V801" s="590"/>
      <c r="W801" s="590"/>
      <c r="X801" s="590"/>
      <c r="Y801" s="590"/>
      <c r="Z801" s="590"/>
    </row>
    <row r="802" spans="1:26" ht="15.75" customHeight="1">
      <c r="A802" s="590"/>
      <c r="B802" s="590"/>
      <c r="C802" s="590"/>
      <c r="D802" s="590"/>
      <c r="E802" s="590"/>
      <c r="F802" s="590"/>
      <c r="G802" s="590"/>
      <c r="H802" s="590"/>
      <c r="I802" s="590"/>
      <c r="J802" s="590"/>
      <c r="K802" s="590"/>
      <c r="L802" s="590"/>
      <c r="M802" s="590"/>
      <c r="N802" s="590"/>
      <c r="O802" s="590"/>
      <c r="P802" s="590"/>
      <c r="Q802" s="590"/>
      <c r="R802" s="590"/>
      <c r="S802" s="590"/>
      <c r="T802" s="590"/>
      <c r="U802" s="590"/>
      <c r="V802" s="590"/>
      <c r="W802" s="590"/>
      <c r="X802" s="590"/>
      <c r="Y802" s="590"/>
      <c r="Z802" s="590"/>
    </row>
    <row r="803" spans="1:26" ht="15.75" customHeight="1">
      <c r="A803" s="590"/>
      <c r="B803" s="590"/>
      <c r="C803" s="590"/>
      <c r="D803" s="590"/>
      <c r="E803" s="590"/>
      <c r="F803" s="590"/>
      <c r="G803" s="590"/>
      <c r="H803" s="590"/>
      <c r="I803" s="590"/>
      <c r="J803" s="590"/>
      <c r="K803" s="590"/>
      <c r="L803" s="590"/>
      <c r="M803" s="590"/>
      <c r="N803" s="590"/>
      <c r="O803" s="590"/>
      <c r="P803" s="590"/>
      <c r="Q803" s="590"/>
      <c r="R803" s="590"/>
      <c r="S803" s="590"/>
      <c r="T803" s="590"/>
      <c r="U803" s="590"/>
      <c r="V803" s="590"/>
      <c r="W803" s="590"/>
      <c r="X803" s="590"/>
      <c r="Y803" s="590"/>
      <c r="Z803" s="590"/>
    </row>
    <row r="804" spans="1:26" ht="15.75" customHeight="1">
      <c r="A804" s="590"/>
      <c r="B804" s="590"/>
      <c r="C804" s="590"/>
      <c r="D804" s="590"/>
      <c r="E804" s="590"/>
      <c r="F804" s="590"/>
      <c r="G804" s="590"/>
      <c r="H804" s="590"/>
      <c r="I804" s="590"/>
      <c r="J804" s="590"/>
      <c r="K804" s="590"/>
      <c r="L804" s="590"/>
      <c r="M804" s="590"/>
      <c r="N804" s="590"/>
      <c r="O804" s="590"/>
      <c r="P804" s="590"/>
      <c r="Q804" s="590"/>
      <c r="R804" s="590"/>
      <c r="S804" s="590"/>
      <c r="T804" s="590"/>
      <c r="U804" s="590"/>
      <c r="V804" s="590"/>
      <c r="W804" s="590"/>
      <c r="X804" s="590"/>
      <c r="Y804" s="590"/>
      <c r="Z804" s="590"/>
    </row>
    <row r="805" spans="1:26" ht="15.75" customHeight="1">
      <c r="A805" s="590"/>
      <c r="B805" s="590"/>
      <c r="C805" s="590"/>
      <c r="D805" s="590"/>
      <c r="E805" s="590"/>
      <c r="F805" s="590"/>
      <c r="G805" s="590"/>
      <c r="H805" s="590"/>
      <c r="I805" s="590"/>
      <c r="J805" s="590"/>
      <c r="K805" s="590"/>
      <c r="L805" s="590"/>
      <c r="M805" s="590"/>
      <c r="N805" s="590"/>
      <c r="O805" s="590"/>
      <c r="P805" s="590"/>
      <c r="Q805" s="590"/>
      <c r="R805" s="590"/>
      <c r="S805" s="590"/>
      <c r="T805" s="590"/>
      <c r="U805" s="590"/>
      <c r="V805" s="590"/>
      <c r="W805" s="590"/>
      <c r="X805" s="590"/>
      <c r="Y805" s="590"/>
      <c r="Z805" s="590"/>
    </row>
    <row r="806" spans="1:26" ht="15.75" customHeight="1">
      <c r="A806" s="590"/>
      <c r="B806" s="590"/>
      <c r="C806" s="590"/>
      <c r="D806" s="590"/>
      <c r="E806" s="590"/>
      <c r="F806" s="590"/>
      <c r="G806" s="590"/>
      <c r="H806" s="590"/>
      <c r="I806" s="590"/>
      <c r="J806" s="590"/>
      <c r="K806" s="590"/>
      <c r="L806" s="590"/>
      <c r="M806" s="590"/>
      <c r="N806" s="590"/>
      <c r="O806" s="590"/>
      <c r="P806" s="590"/>
      <c r="Q806" s="590"/>
      <c r="R806" s="590"/>
      <c r="S806" s="590"/>
      <c r="T806" s="590"/>
      <c r="U806" s="590"/>
      <c r="V806" s="590"/>
      <c r="W806" s="590"/>
      <c r="X806" s="590"/>
      <c r="Y806" s="590"/>
      <c r="Z806" s="590"/>
    </row>
    <row r="807" spans="1:26" ht="15.75" customHeight="1">
      <c r="A807" s="590"/>
      <c r="B807" s="590"/>
      <c r="C807" s="590"/>
      <c r="D807" s="590"/>
      <c r="E807" s="590"/>
      <c r="F807" s="590"/>
      <c r="G807" s="590"/>
      <c r="H807" s="590"/>
      <c r="I807" s="590"/>
      <c r="J807" s="590"/>
      <c r="K807" s="590"/>
      <c r="L807" s="590"/>
      <c r="M807" s="590"/>
      <c r="N807" s="590"/>
      <c r="O807" s="590"/>
      <c r="P807" s="590"/>
      <c r="Q807" s="590"/>
      <c r="R807" s="590"/>
      <c r="S807" s="590"/>
      <c r="T807" s="590"/>
      <c r="U807" s="590"/>
      <c r="V807" s="590"/>
      <c r="W807" s="590"/>
      <c r="X807" s="590"/>
      <c r="Y807" s="590"/>
      <c r="Z807" s="590"/>
    </row>
    <row r="808" spans="1:26" ht="15.75" customHeight="1">
      <c r="A808" s="590"/>
      <c r="B808" s="590"/>
      <c r="C808" s="590"/>
      <c r="D808" s="590"/>
      <c r="E808" s="590"/>
      <c r="F808" s="590"/>
      <c r="G808" s="590"/>
      <c r="H808" s="590"/>
      <c r="I808" s="590"/>
      <c r="J808" s="590"/>
      <c r="K808" s="590"/>
      <c r="L808" s="590"/>
      <c r="M808" s="590"/>
      <c r="N808" s="590"/>
      <c r="O808" s="590"/>
      <c r="P808" s="590"/>
      <c r="Q808" s="590"/>
      <c r="R808" s="590"/>
      <c r="S808" s="590"/>
      <c r="T808" s="590"/>
      <c r="U808" s="590"/>
      <c r="V808" s="590"/>
      <c r="W808" s="590"/>
      <c r="X808" s="590"/>
      <c r="Y808" s="590"/>
      <c r="Z808" s="590"/>
    </row>
    <row r="809" spans="1:26" ht="15.75" customHeight="1">
      <c r="A809" s="590"/>
      <c r="B809" s="590"/>
      <c r="C809" s="590"/>
      <c r="D809" s="590"/>
      <c r="E809" s="590"/>
      <c r="F809" s="590"/>
      <c r="G809" s="590"/>
      <c r="H809" s="590"/>
      <c r="I809" s="590"/>
      <c r="J809" s="590"/>
      <c r="K809" s="590"/>
      <c r="L809" s="590"/>
      <c r="M809" s="590"/>
      <c r="N809" s="590"/>
      <c r="O809" s="590"/>
      <c r="P809" s="590"/>
      <c r="Q809" s="590"/>
      <c r="R809" s="590"/>
      <c r="S809" s="590"/>
      <c r="T809" s="590"/>
      <c r="U809" s="590"/>
      <c r="V809" s="590"/>
      <c r="W809" s="590"/>
      <c r="X809" s="590"/>
      <c r="Y809" s="590"/>
      <c r="Z809" s="590"/>
    </row>
    <row r="810" spans="1:26" ht="15.75" customHeight="1">
      <c r="A810" s="590"/>
      <c r="B810" s="590"/>
      <c r="C810" s="590"/>
      <c r="D810" s="590"/>
      <c r="E810" s="590"/>
      <c r="F810" s="590"/>
      <c r="G810" s="590"/>
      <c r="H810" s="590"/>
      <c r="I810" s="590"/>
      <c r="J810" s="590"/>
      <c r="K810" s="590"/>
      <c r="L810" s="590"/>
      <c r="M810" s="590"/>
      <c r="N810" s="590"/>
      <c r="O810" s="590"/>
      <c r="P810" s="590"/>
      <c r="Q810" s="590"/>
      <c r="R810" s="590"/>
      <c r="S810" s="590"/>
      <c r="T810" s="590"/>
      <c r="U810" s="590"/>
      <c r="V810" s="590"/>
      <c r="W810" s="590"/>
      <c r="X810" s="590"/>
      <c r="Y810" s="590"/>
      <c r="Z810" s="590"/>
    </row>
    <row r="811" spans="1:26" ht="15.75" customHeight="1">
      <c r="A811" s="590"/>
      <c r="B811" s="590"/>
      <c r="C811" s="590"/>
      <c r="D811" s="590"/>
      <c r="E811" s="590"/>
      <c r="F811" s="590"/>
      <c r="G811" s="590"/>
      <c r="H811" s="590"/>
      <c r="I811" s="590"/>
      <c r="J811" s="590"/>
      <c r="K811" s="590"/>
      <c r="L811" s="590"/>
      <c r="M811" s="590"/>
      <c r="N811" s="590"/>
      <c r="O811" s="590"/>
      <c r="P811" s="590"/>
      <c r="Q811" s="590"/>
      <c r="R811" s="590"/>
      <c r="S811" s="590"/>
      <c r="T811" s="590"/>
      <c r="U811" s="590"/>
      <c r="V811" s="590"/>
      <c r="W811" s="590"/>
      <c r="X811" s="590"/>
      <c r="Y811" s="590"/>
      <c r="Z811" s="590"/>
    </row>
    <row r="812" spans="1:26" ht="15.75" customHeight="1">
      <c r="A812" s="590"/>
      <c r="B812" s="590"/>
      <c r="C812" s="590"/>
      <c r="D812" s="590"/>
      <c r="E812" s="590"/>
      <c r="F812" s="590"/>
      <c r="G812" s="590"/>
      <c r="H812" s="590"/>
      <c r="I812" s="590"/>
      <c r="J812" s="590"/>
      <c r="K812" s="590"/>
      <c r="L812" s="590"/>
      <c r="M812" s="590"/>
      <c r="N812" s="590"/>
      <c r="O812" s="590"/>
      <c r="P812" s="590"/>
      <c r="Q812" s="590"/>
      <c r="R812" s="590"/>
      <c r="S812" s="590"/>
      <c r="T812" s="590"/>
      <c r="U812" s="590"/>
      <c r="V812" s="590"/>
      <c r="W812" s="590"/>
      <c r="X812" s="590"/>
      <c r="Y812" s="590"/>
      <c r="Z812" s="590"/>
    </row>
    <row r="813" spans="1:26" ht="15.75" customHeight="1">
      <c r="A813" s="590"/>
      <c r="B813" s="590"/>
      <c r="C813" s="590"/>
      <c r="D813" s="590"/>
      <c r="E813" s="590"/>
      <c r="F813" s="590"/>
      <c r="G813" s="590"/>
      <c r="H813" s="590"/>
      <c r="I813" s="590"/>
      <c r="J813" s="590"/>
      <c r="K813" s="590"/>
      <c r="L813" s="590"/>
      <c r="M813" s="590"/>
      <c r="N813" s="590"/>
      <c r="O813" s="590"/>
      <c r="P813" s="590"/>
      <c r="Q813" s="590"/>
      <c r="R813" s="590"/>
      <c r="S813" s="590"/>
      <c r="T813" s="590"/>
      <c r="U813" s="590"/>
      <c r="V813" s="590"/>
      <c r="W813" s="590"/>
      <c r="X813" s="590"/>
      <c r="Y813" s="590"/>
      <c r="Z813" s="590"/>
    </row>
    <row r="814" spans="1:26" ht="15.75" customHeight="1">
      <c r="A814" s="590"/>
      <c r="B814" s="590"/>
      <c r="C814" s="590"/>
      <c r="D814" s="590"/>
      <c r="E814" s="590"/>
      <c r="F814" s="590"/>
      <c r="G814" s="590"/>
      <c r="H814" s="590"/>
      <c r="I814" s="590"/>
      <c r="J814" s="590"/>
      <c r="K814" s="590"/>
      <c r="L814" s="590"/>
      <c r="M814" s="590"/>
      <c r="N814" s="590"/>
      <c r="O814" s="590"/>
      <c r="P814" s="590"/>
      <c r="Q814" s="590"/>
      <c r="R814" s="590"/>
      <c r="S814" s="590"/>
      <c r="T814" s="590"/>
      <c r="U814" s="590"/>
      <c r="V814" s="590"/>
      <c r="W814" s="590"/>
      <c r="X814" s="590"/>
      <c r="Y814" s="590"/>
      <c r="Z814" s="590"/>
    </row>
    <row r="815" spans="1:26" ht="15.75" customHeight="1">
      <c r="A815" s="590"/>
      <c r="B815" s="590"/>
      <c r="C815" s="590"/>
      <c r="D815" s="590"/>
      <c r="E815" s="590"/>
      <c r="F815" s="590"/>
      <c r="G815" s="590"/>
      <c r="H815" s="590"/>
      <c r="I815" s="590"/>
      <c r="J815" s="590"/>
      <c r="K815" s="590"/>
      <c r="L815" s="590"/>
      <c r="M815" s="590"/>
      <c r="N815" s="590"/>
      <c r="O815" s="590"/>
      <c r="P815" s="590"/>
      <c r="Q815" s="590"/>
      <c r="R815" s="590"/>
      <c r="S815" s="590"/>
      <c r="T815" s="590"/>
      <c r="U815" s="590"/>
      <c r="V815" s="590"/>
      <c r="W815" s="590"/>
      <c r="X815" s="590"/>
      <c r="Y815" s="590"/>
      <c r="Z815" s="590"/>
    </row>
    <row r="816" spans="1:26" ht="15.75" customHeight="1">
      <c r="A816" s="590"/>
      <c r="B816" s="590"/>
      <c r="C816" s="590"/>
      <c r="D816" s="590"/>
      <c r="E816" s="590"/>
      <c r="F816" s="590"/>
      <c r="G816" s="590"/>
      <c r="H816" s="590"/>
      <c r="I816" s="590"/>
      <c r="J816" s="590"/>
      <c r="K816" s="590"/>
      <c r="L816" s="590"/>
      <c r="M816" s="590"/>
      <c r="N816" s="590"/>
      <c r="O816" s="590"/>
      <c r="P816" s="590"/>
      <c r="Q816" s="590"/>
      <c r="R816" s="590"/>
      <c r="S816" s="590"/>
      <c r="T816" s="590"/>
      <c r="U816" s="590"/>
      <c r="V816" s="590"/>
      <c r="W816" s="590"/>
      <c r="X816" s="590"/>
      <c r="Y816" s="590"/>
      <c r="Z816" s="590"/>
    </row>
    <row r="817" spans="1:26" ht="15.75" customHeight="1">
      <c r="A817" s="590"/>
      <c r="B817" s="590"/>
      <c r="C817" s="590"/>
      <c r="D817" s="590"/>
      <c r="E817" s="590"/>
      <c r="F817" s="590"/>
      <c r="G817" s="590"/>
      <c r="H817" s="590"/>
      <c r="I817" s="590"/>
      <c r="J817" s="590"/>
      <c r="K817" s="590"/>
      <c r="L817" s="590"/>
      <c r="M817" s="590"/>
      <c r="N817" s="590"/>
      <c r="O817" s="590"/>
      <c r="P817" s="590"/>
      <c r="Q817" s="590"/>
      <c r="R817" s="590"/>
      <c r="S817" s="590"/>
      <c r="T817" s="590"/>
      <c r="U817" s="590"/>
      <c r="V817" s="590"/>
      <c r="W817" s="590"/>
      <c r="X817" s="590"/>
      <c r="Y817" s="590"/>
      <c r="Z817" s="590"/>
    </row>
    <row r="818" spans="1:26" ht="15.75" customHeight="1">
      <c r="A818" s="590"/>
      <c r="B818" s="590"/>
      <c r="C818" s="590"/>
      <c r="D818" s="590"/>
      <c r="E818" s="590"/>
      <c r="F818" s="590"/>
      <c r="G818" s="590"/>
      <c r="H818" s="590"/>
      <c r="I818" s="590"/>
      <c r="J818" s="590"/>
      <c r="K818" s="590"/>
      <c r="L818" s="590"/>
      <c r="M818" s="590"/>
      <c r="N818" s="590"/>
      <c r="O818" s="590"/>
      <c r="P818" s="590"/>
      <c r="Q818" s="590"/>
      <c r="R818" s="590"/>
      <c r="S818" s="590"/>
      <c r="T818" s="590"/>
      <c r="U818" s="590"/>
      <c r="V818" s="590"/>
      <c r="W818" s="590"/>
      <c r="X818" s="590"/>
      <c r="Y818" s="590"/>
      <c r="Z818" s="590"/>
    </row>
    <row r="819" spans="1:26" ht="15.75" customHeight="1">
      <c r="A819" s="590"/>
      <c r="B819" s="590"/>
      <c r="C819" s="590"/>
      <c r="D819" s="590"/>
      <c r="E819" s="590"/>
      <c r="F819" s="590"/>
      <c r="G819" s="590"/>
      <c r="H819" s="590"/>
      <c r="I819" s="590"/>
      <c r="J819" s="590"/>
      <c r="K819" s="590"/>
      <c r="L819" s="590"/>
      <c r="M819" s="590"/>
      <c r="N819" s="590"/>
      <c r="O819" s="590"/>
      <c r="P819" s="590"/>
      <c r="Q819" s="590"/>
      <c r="R819" s="590"/>
      <c r="S819" s="590"/>
      <c r="T819" s="590"/>
      <c r="U819" s="590"/>
      <c r="V819" s="590"/>
      <c r="W819" s="590"/>
      <c r="X819" s="590"/>
      <c r="Y819" s="590"/>
      <c r="Z819" s="590"/>
    </row>
    <row r="820" spans="1:26" ht="15.75" customHeight="1">
      <c r="A820" s="590"/>
      <c r="B820" s="590"/>
      <c r="C820" s="590"/>
      <c r="D820" s="590"/>
      <c r="E820" s="590"/>
      <c r="F820" s="590"/>
      <c r="G820" s="590"/>
      <c r="H820" s="590"/>
      <c r="I820" s="590"/>
      <c r="J820" s="590"/>
      <c r="K820" s="590"/>
      <c r="L820" s="590"/>
      <c r="M820" s="590"/>
      <c r="N820" s="590"/>
      <c r="O820" s="590"/>
      <c r="P820" s="590"/>
      <c r="Q820" s="590"/>
      <c r="R820" s="590"/>
      <c r="S820" s="590"/>
      <c r="T820" s="590"/>
      <c r="U820" s="590"/>
      <c r="V820" s="590"/>
      <c r="W820" s="590"/>
      <c r="X820" s="590"/>
      <c r="Y820" s="590"/>
      <c r="Z820" s="590"/>
    </row>
    <row r="821" spans="1:26" ht="15.75" customHeight="1">
      <c r="A821" s="590"/>
      <c r="B821" s="590"/>
      <c r="C821" s="590"/>
      <c r="D821" s="590"/>
      <c r="E821" s="590"/>
      <c r="F821" s="590"/>
      <c r="G821" s="590"/>
      <c r="H821" s="590"/>
      <c r="I821" s="590"/>
      <c r="J821" s="590"/>
      <c r="K821" s="590"/>
      <c r="L821" s="590"/>
      <c r="M821" s="590"/>
      <c r="N821" s="590"/>
      <c r="O821" s="590"/>
      <c r="P821" s="590"/>
      <c r="Q821" s="590"/>
      <c r="R821" s="590"/>
      <c r="S821" s="590"/>
      <c r="T821" s="590"/>
      <c r="U821" s="590"/>
      <c r="V821" s="590"/>
      <c r="W821" s="590"/>
      <c r="X821" s="590"/>
      <c r="Y821" s="590"/>
      <c r="Z821" s="590"/>
    </row>
    <row r="822" spans="1:26" ht="15.75" customHeight="1">
      <c r="A822" s="590"/>
      <c r="B822" s="590"/>
      <c r="C822" s="590"/>
      <c r="D822" s="590"/>
      <c r="E822" s="590"/>
      <c r="F822" s="590"/>
      <c r="G822" s="590"/>
      <c r="H822" s="590"/>
      <c r="I822" s="590"/>
      <c r="J822" s="590"/>
      <c r="K822" s="590"/>
      <c r="L822" s="590"/>
      <c r="M822" s="590"/>
      <c r="N822" s="590"/>
      <c r="O822" s="590"/>
      <c r="P822" s="590"/>
      <c r="Q822" s="590"/>
      <c r="R822" s="590"/>
      <c r="S822" s="590"/>
      <c r="T822" s="590"/>
      <c r="U822" s="590"/>
      <c r="V822" s="590"/>
      <c r="W822" s="590"/>
      <c r="X822" s="590"/>
      <c r="Y822" s="590"/>
      <c r="Z822" s="590"/>
    </row>
    <row r="823" spans="1:26" ht="15.75" customHeight="1">
      <c r="A823" s="590"/>
      <c r="B823" s="590"/>
      <c r="C823" s="590"/>
      <c r="D823" s="590"/>
      <c r="E823" s="590"/>
      <c r="F823" s="590"/>
      <c r="G823" s="590"/>
      <c r="H823" s="590"/>
      <c r="I823" s="590"/>
      <c r="J823" s="590"/>
      <c r="K823" s="590"/>
      <c r="L823" s="590"/>
      <c r="M823" s="590"/>
      <c r="N823" s="590"/>
      <c r="O823" s="590"/>
      <c r="P823" s="590"/>
      <c r="Q823" s="590"/>
      <c r="R823" s="590"/>
      <c r="S823" s="590"/>
      <c r="T823" s="590"/>
      <c r="U823" s="590"/>
      <c r="V823" s="590"/>
      <c r="W823" s="590"/>
      <c r="X823" s="590"/>
      <c r="Y823" s="590"/>
      <c r="Z823" s="590"/>
    </row>
    <row r="824" spans="1:26" ht="15.75" customHeight="1">
      <c r="A824" s="590"/>
      <c r="B824" s="590"/>
      <c r="C824" s="590"/>
      <c r="D824" s="590"/>
      <c r="E824" s="590"/>
      <c r="F824" s="590"/>
      <c r="G824" s="590"/>
      <c r="H824" s="590"/>
      <c r="I824" s="590"/>
      <c r="J824" s="590"/>
      <c r="K824" s="590"/>
      <c r="L824" s="590"/>
      <c r="M824" s="590"/>
      <c r="N824" s="590"/>
      <c r="O824" s="590"/>
      <c r="P824" s="590"/>
      <c r="Q824" s="590"/>
      <c r="R824" s="590"/>
      <c r="S824" s="590"/>
      <c r="T824" s="590"/>
      <c r="U824" s="590"/>
      <c r="V824" s="590"/>
      <c r="W824" s="590"/>
      <c r="X824" s="590"/>
      <c r="Y824" s="590"/>
      <c r="Z824" s="590"/>
    </row>
    <row r="825" spans="1:26" ht="15.75" customHeight="1">
      <c r="A825" s="590"/>
      <c r="B825" s="590"/>
      <c r="C825" s="590"/>
      <c r="D825" s="590"/>
      <c r="E825" s="590"/>
      <c r="F825" s="590"/>
      <c r="G825" s="590"/>
      <c r="H825" s="590"/>
      <c r="I825" s="590"/>
      <c r="J825" s="590"/>
      <c r="K825" s="590"/>
      <c r="L825" s="590"/>
      <c r="M825" s="590"/>
      <c r="N825" s="590"/>
      <c r="O825" s="590"/>
      <c r="P825" s="590"/>
      <c r="Q825" s="590"/>
      <c r="R825" s="590"/>
      <c r="S825" s="590"/>
      <c r="T825" s="590"/>
      <c r="U825" s="590"/>
      <c r="V825" s="590"/>
      <c r="W825" s="590"/>
      <c r="X825" s="590"/>
      <c r="Y825" s="590"/>
      <c r="Z825" s="590"/>
    </row>
    <row r="826" spans="1:26" ht="15.75" customHeight="1">
      <c r="A826" s="590"/>
      <c r="B826" s="590"/>
      <c r="C826" s="590"/>
      <c r="D826" s="590"/>
      <c r="E826" s="590"/>
      <c r="F826" s="590"/>
      <c r="G826" s="590"/>
      <c r="H826" s="590"/>
      <c r="I826" s="590"/>
      <c r="J826" s="590"/>
      <c r="K826" s="590"/>
      <c r="L826" s="590"/>
      <c r="M826" s="590"/>
      <c r="N826" s="590"/>
      <c r="O826" s="590"/>
      <c r="P826" s="590"/>
      <c r="Q826" s="590"/>
      <c r="R826" s="590"/>
      <c r="S826" s="590"/>
      <c r="T826" s="590"/>
      <c r="U826" s="590"/>
      <c r="V826" s="590"/>
      <c r="W826" s="590"/>
      <c r="X826" s="590"/>
      <c r="Y826" s="590"/>
      <c r="Z826" s="590"/>
    </row>
    <row r="827" spans="1:26" ht="15.75" customHeight="1">
      <c r="A827" s="590"/>
      <c r="B827" s="590"/>
      <c r="C827" s="590"/>
      <c r="D827" s="590"/>
      <c r="E827" s="590"/>
      <c r="F827" s="590"/>
      <c r="G827" s="590"/>
      <c r="H827" s="590"/>
      <c r="I827" s="590"/>
      <c r="J827" s="590"/>
      <c r="K827" s="590"/>
      <c r="L827" s="590"/>
      <c r="M827" s="590"/>
      <c r="N827" s="590"/>
      <c r="O827" s="590"/>
      <c r="P827" s="590"/>
      <c r="Q827" s="590"/>
      <c r="R827" s="590"/>
      <c r="S827" s="590"/>
      <c r="T827" s="590"/>
      <c r="U827" s="590"/>
      <c r="V827" s="590"/>
      <c r="W827" s="590"/>
      <c r="X827" s="590"/>
      <c r="Y827" s="590"/>
      <c r="Z827" s="590"/>
    </row>
    <row r="828" spans="1:26" ht="15.75" customHeight="1">
      <c r="A828" s="590"/>
      <c r="B828" s="590"/>
      <c r="C828" s="590"/>
      <c r="D828" s="590"/>
      <c r="E828" s="590"/>
      <c r="F828" s="590"/>
      <c r="G828" s="590"/>
      <c r="H828" s="590"/>
      <c r="I828" s="590"/>
      <c r="J828" s="590"/>
      <c r="K828" s="590"/>
      <c r="L828" s="590"/>
      <c r="M828" s="590"/>
      <c r="N828" s="590"/>
      <c r="O828" s="590"/>
      <c r="P828" s="590"/>
      <c r="Q828" s="590"/>
      <c r="R828" s="590"/>
      <c r="S828" s="590"/>
      <c r="T828" s="590"/>
      <c r="U828" s="590"/>
      <c r="V828" s="590"/>
      <c r="W828" s="590"/>
      <c r="X828" s="590"/>
      <c r="Y828" s="590"/>
      <c r="Z828" s="590"/>
    </row>
    <row r="829" spans="1:26" ht="15.75" customHeight="1">
      <c r="A829" s="590"/>
      <c r="B829" s="590"/>
      <c r="C829" s="590"/>
      <c r="D829" s="590"/>
      <c r="E829" s="590"/>
      <c r="F829" s="590"/>
      <c r="G829" s="590"/>
      <c r="H829" s="590"/>
      <c r="I829" s="590"/>
      <c r="J829" s="590"/>
      <c r="K829" s="590"/>
      <c r="L829" s="590"/>
      <c r="M829" s="590"/>
      <c r="N829" s="590"/>
      <c r="O829" s="590"/>
      <c r="P829" s="590"/>
      <c r="Q829" s="590"/>
      <c r="R829" s="590"/>
      <c r="S829" s="590"/>
      <c r="T829" s="590"/>
      <c r="U829" s="590"/>
      <c r="V829" s="590"/>
      <c r="W829" s="590"/>
      <c r="X829" s="590"/>
      <c r="Y829" s="590"/>
      <c r="Z829" s="590"/>
    </row>
    <row r="830" spans="1:26" ht="15.75" customHeight="1">
      <c r="A830" s="590"/>
      <c r="B830" s="590"/>
      <c r="C830" s="590"/>
      <c r="D830" s="590"/>
      <c r="E830" s="590"/>
      <c r="F830" s="590"/>
      <c r="G830" s="590"/>
      <c r="H830" s="590"/>
      <c r="I830" s="590"/>
      <c r="J830" s="590"/>
      <c r="K830" s="590"/>
      <c r="L830" s="590"/>
      <c r="M830" s="590"/>
      <c r="N830" s="590"/>
      <c r="O830" s="590"/>
      <c r="P830" s="590"/>
      <c r="Q830" s="590"/>
      <c r="R830" s="590"/>
      <c r="S830" s="590"/>
      <c r="T830" s="590"/>
      <c r="U830" s="590"/>
      <c r="V830" s="590"/>
      <c r="W830" s="590"/>
      <c r="X830" s="590"/>
      <c r="Y830" s="590"/>
      <c r="Z830" s="590"/>
    </row>
    <row r="831" spans="1:26" ht="15.75" customHeight="1">
      <c r="A831" s="590"/>
      <c r="B831" s="590"/>
      <c r="C831" s="590"/>
      <c r="D831" s="590"/>
      <c r="E831" s="590"/>
      <c r="F831" s="590"/>
      <c r="G831" s="590"/>
      <c r="H831" s="590"/>
      <c r="I831" s="590"/>
      <c r="J831" s="590"/>
      <c r="K831" s="590"/>
      <c r="L831" s="590"/>
      <c r="M831" s="590"/>
      <c r="N831" s="590"/>
      <c r="O831" s="590"/>
      <c r="P831" s="590"/>
      <c r="Q831" s="590"/>
      <c r="R831" s="590"/>
      <c r="S831" s="590"/>
      <c r="T831" s="590"/>
      <c r="U831" s="590"/>
      <c r="V831" s="590"/>
      <c r="W831" s="590"/>
      <c r="X831" s="590"/>
      <c r="Y831" s="590"/>
      <c r="Z831" s="590"/>
    </row>
    <row r="832" spans="1:26" ht="15.75" customHeight="1">
      <c r="A832" s="590"/>
      <c r="B832" s="590"/>
      <c r="C832" s="590"/>
      <c r="D832" s="590"/>
      <c r="E832" s="590"/>
      <c r="F832" s="590"/>
      <c r="G832" s="590"/>
      <c r="H832" s="590"/>
      <c r="I832" s="590"/>
      <c r="J832" s="590"/>
      <c r="K832" s="590"/>
      <c r="L832" s="590"/>
      <c r="M832" s="590"/>
      <c r="N832" s="590"/>
      <c r="O832" s="590"/>
      <c r="P832" s="590"/>
      <c r="Q832" s="590"/>
      <c r="R832" s="590"/>
      <c r="S832" s="590"/>
      <c r="T832" s="590"/>
      <c r="U832" s="590"/>
      <c r="V832" s="590"/>
      <c r="W832" s="590"/>
      <c r="X832" s="590"/>
      <c r="Y832" s="590"/>
      <c r="Z832" s="590"/>
    </row>
    <row r="833" spans="1:26" ht="15.75" customHeight="1">
      <c r="A833" s="590"/>
      <c r="B833" s="590"/>
      <c r="C833" s="590"/>
      <c r="D833" s="590"/>
      <c r="E833" s="590"/>
      <c r="F833" s="590"/>
      <c r="G833" s="590"/>
      <c r="H833" s="590"/>
      <c r="I833" s="590"/>
      <c r="J833" s="590"/>
      <c r="K833" s="590"/>
      <c r="L833" s="590"/>
      <c r="M833" s="590"/>
      <c r="N833" s="590"/>
      <c r="O833" s="590"/>
      <c r="P833" s="590"/>
      <c r="Q833" s="590"/>
      <c r="R833" s="590"/>
      <c r="S833" s="590"/>
      <c r="T833" s="590"/>
      <c r="U833" s="590"/>
      <c r="V833" s="590"/>
      <c r="W833" s="590"/>
      <c r="X833" s="590"/>
      <c r="Y833" s="590"/>
      <c r="Z833" s="590"/>
    </row>
    <row r="834" spans="1:26" ht="15.75" customHeight="1">
      <c r="A834" s="590"/>
      <c r="B834" s="590"/>
      <c r="C834" s="590"/>
      <c r="D834" s="590"/>
      <c r="E834" s="590"/>
      <c r="F834" s="590"/>
      <c r="G834" s="590"/>
      <c r="H834" s="590"/>
      <c r="I834" s="590"/>
      <c r="J834" s="590"/>
      <c r="K834" s="590"/>
      <c r="L834" s="590"/>
      <c r="M834" s="590"/>
      <c r="N834" s="590"/>
      <c r="O834" s="590"/>
      <c r="P834" s="590"/>
      <c r="Q834" s="590"/>
      <c r="R834" s="590"/>
      <c r="S834" s="590"/>
      <c r="T834" s="590"/>
      <c r="U834" s="590"/>
      <c r="V834" s="590"/>
      <c r="W834" s="590"/>
      <c r="X834" s="590"/>
      <c r="Y834" s="590"/>
      <c r="Z834" s="590"/>
    </row>
    <row r="835" spans="1:26" ht="15.75" customHeight="1">
      <c r="A835" s="590"/>
      <c r="B835" s="590"/>
      <c r="C835" s="590"/>
      <c r="D835" s="590"/>
      <c r="E835" s="590"/>
      <c r="F835" s="590"/>
      <c r="G835" s="590"/>
      <c r="H835" s="590"/>
      <c r="I835" s="590"/>
      <c r="J835" s="590"/>
      <c r="K835" s="590"/>
      <c r="L835" s="590"/>
      <c r="M835" s="590"/>
      <c r="N835" s="590"/>
      <c r="O835" s="590"/>
      <c r="P835" s="590"/>
      <c r="Q835" s="590"/>
      <c r="R835" s="590"/>
      <c r="S835" s="590"/>
      <c r="T835" s="590"/>
      <c r="U835" s="590"/>
      <c r="V835" s="590"/>
      <c r="W835" s="590"/>
      <c r="X835" s="590"/>
      <c r="Y835" s="590"/>
      <c r="Z835" s="590"/>
    </row>
    <row r="836" spans="1:26" ht="15.75" customHeight="1">
      <c r="A836" s="590"/>
      <c r="B836" s="590"/>
      <c r="C836" s="590"/>
      <c r="D836" s="590"/>
      <c r="E836" s="590"/>
      <c r="F836" s="590"/>
      <c r="G836" s="590"/>
      <c r="H836" s="590"/>
      <c r="I836" s="590"/>
      <c r="J836" s="590"/>
      <c r="K836" s="590"/>
      <c r="L836" s="590"/>
      <c r="M836" s="590"/>
      <c r="N836" s="590"/>
      <c r="O836" s="590"/>
      <c r="P836" s="590"/>
      <c r="Q836" s="590"/>
      <c r="R836" s="590"/>
      <c r="S836" s="590"/>
      <c r="T836" s="590"/>
      <c r="U836" s="590"/>
      <c r="V836" s="590"/>
      <c r="W836" s="590"/>
      <c r="X836" s="590"/>
      <c r="Y836" s="590"/>
      <c r="Z836" s="590"/>
    </row>
    <row r="837" spans="1:26" ht="15.75" customHeight="1">
      <c r="A837" s="590"/>
      <c r="B837" s="590"/>
      <c r="C837" s="590"/>
      <c r="D837" s="590"/>
      <c r="E837" s="590"/>
      <c r="F837" s="590"/>
      <c r="G837" s="590"/>
      <c r="H837" s="590"/>
      <c r="I837" s="590"/>
      <c r="J837" s="590"/>
      <c r="K837" s="590"/>
      <c r="L837" s="590"/>
      <c r="M837" s="590"/>
      <c r="N837" s="590"/>
      <c r="O837" s="590"/>
      <c r="P837" s="590"/>
      <c r="Q837" s="590"/>
      <c r="R837" s="590"/>
      <c r="S837" s="590"/>
      <c r="T837" s="590"/>
      <c r="U837" s="590"/>
      <c r="V837" s="590"/>
      <c r="W837" s="590"/>
      <c r="X837" s="590"/>
      <c r="Y837" s="590"/>
      <c r="Z837" s="590"/>
    </row>
    <row r="838" spans="1:26" ht="15.75" customHeight="1">
      <c r="A838" s="590"/>
      <c r="B838" s="590"/>
      <c r="C838" s="590"/>
      <c r="D838" s="590"/>
      <c r="E838" s="590"/>
      <c r="F838" s="590"/>
      <c r="G838" s="590"/>
      <c r="H838" s="590"/>
      <c r="I838" s="590"/>
      <c r="J838" s="590"/>
      <c r="K838" s="590"/>
      <c r="L838" s="590"/>
      <c r="M838" s="590"/>
      <c r="N838" s="590"/>
      <c r="O838" s="590"/>
      <c r="P838" s="590"/>
      <c r="Q838" s="590"/>
      <c r="R838" s="590"/>
      <c r="S838" s="590"/>
      <c r="T838" s="590"/>
      <c r="U838" s="590"/>
      <c r="V838" s="590"/>
      <c r="W838" s="590"/>
      <c r="X838" s="590"/>
      <c r="Y838" s="590"/>
      <c r="Z838" s="590"/>
    </row>
    <row r="839" spans="1:26" ht="15.75" customHeight="1">
      <c r="A839" s="590"/>
      <c r="B839" s="590"/>
      <c r="C839" s="590"/>
      <c r="D839" s="590"/>
      <c r="E839" s="590"/>
      <c r="F839" s="590"/>
      <c r="G839" s="590"/>
      <c r="H839" s="590"/>
      <c r="I839" s="590"/>
      <c r="J839" s="590"/>
      <c r="K839" s="590"/>
      <c r="L839" s="590"/>
      <c r="M839" s="590"/>
      <c r="N839" s="590"/>
      <c r="O839" s="590"/>
      <c r="P839" s="590"/>
      <c r="Q839" s="590"/>
      <c r="R839" s="590"/>
      <c r="S839" s="590"/>
      <c r="T839" s="590"/>
      <c r="U839" s="590"/>
      <c r="V839" s="590"/>
      <c r="W839" s="590"/>
      <c r="X839" s="590"/>
      <c r="Y839" s="590"/>
      <c r="Z839" s="590"/>
    </row>
    <row r="840" spans="1:26" ht="15.75" customHeight="1">
      <c r="A840" s="590"/>
      <c r="B840" s="590"/>
      <c r="C840" s="590"/>
      <c r="D840" s="590"/>
      <c r="E840" s="590"/>
      <c r="F840" s="590"/>
      <c r="G840" s="590"/>
      <c r="H840" s="590"/>
      <c r="I840" s="590"/>
      <c r="J840" s="590"/>
      <c r="K840" s="590"/>
      <c r="L840" s="590"/>
      <c r="M840" s="590"/>
      <c r="N840" s="590"/>
      <c r="O840" s="590"/>
      <c r="P840" s="590"/>
      <c r="Q840" s="590"/>
      <c r="R840" s="590"/>
      <c r="S840" s="590"/>
      <c r="T840" s="590"/>
      <c r="U840" s="590"/>
      <c r="V840" s="590"/>
      <c r="W840" s="590"/>
      <c r="X840" s="590"/>
      <c r="Y840" s="590"/>
      <c r="Z840" s="590"/>
    </row>
    <row r="841" spans="1:26" ht="15.75" customHeight="1">
      <c r="A841" s="590"/>
      <c r="B841" s="590"/>
      <c r="C841" s="590"/>
      <c r="D841" s="590"/>
      <c r="E841" s="590"/>
      <c r="F841" s="590"/>
      <c r="G841" s="590"/>
      <c r="H841" s="590"/>
      <c r="I841" s="590"/>
      <c r="J841" s="590"/>
      <c r="K841" s="590"/>
      <c r="L841" s="590"/>
      <c r="M841" s="590"/>
      <c r="N841" s="590"/>
      <c r="O841" s="590"/>
      <c r="P841" s="590"/>
      <c r="Q841" s="590"/>
      <c r="R841" s="590"/>
      <c r="S841" s="590"/>
      <c r="T841" s="590"/>
      <c r="U841" s="590"/>
      <c r="V841" s="590"/>
      <c r="W841" s="590"/>
      <c r="X841" s="590"/>
      <c r="Y841" s="590"/>
      <c r="Z841" s="590"/>
    </row>
    <row r="842" spans="1:26" ht="15.75" customHeight="1">
      <c r="A842" s="590"/>
      <c r="B842" s="590"/>
      <c r="C842" s="590"/>
      <c r="D842" s="590"/>
      <c r="E842" s="590"/>
      <c r="F842" s="590"/>
      <c r="G842" s="590"/>
      <c r="H842" s="590"/>
      <c r="I842" s="590"/>
      <c r="J842" s="590"/>
      <c r="K842" s="590"/>
      <c r="L842" s="590"/>
      <c r="M842" s="590"/>
      <c r="N842" s="590"/>
      <c r="O842" s="590"/>
      <c r="P842" s="590"/>
      <c r="Q842" s="590"/>
      <c r="R842" s="590"/>
      <c r="S842" s="590"/>
      <c r="T842" s="590"/>
      <c r="U842" s="590"/>
      <c r="V842" s="590"/>
      <c r="W842" s="590"/>
      <c r="X842" s="590"/>
      <c r="Y842" s="590"/>
      <c r="Z842" s="590"/>
    </row>
    <row r="843" spans="1:26" ht="15.75" customHeight="1">
      <c r="A843" s="590"/>
      <c r="B843" s="590"/>
      <c r="C843" s="590"/>
      <c r="D843" s="590"/>
      <c r="E843" s="590"/>
      <c r="F843" s="590"/>
      <c r="G843" s="590"/>
      <c r="H843" s="590"/>
      <c r="I843" s="590"/>
      <c r="J843" s="590"/>
      <c r="K843" s="590"/>
      <c r="L843" s="590"/>
      <c r="M843" s="590"/>
      <c r="N843" s="590"/>
      <c r="O843" s="590"/>
      <c r="P843" s="590"/>
      <c r="Q843" s="590"/>
      <c r="R843" s="590"/>
      <c r="S843" s="590"/>
      <c r="T843" s="590"/>
      <c r="U843" s="590"/>
      <c r="V843" s="590"/>
      <c r="W843" s="590"/>
      <c r="X843" s="590"/>
      <c r="Y843" s="590"/>
      <c r="Z843" s="590"/>
    </row>
    <row r="844" spans="1:26" ht="15.75" customHeight="1">
      <c r="A844" s="590"/>
      <c r="B844" s="590"/>
      <c r="C844" s="590"/>
      <c r="D844" s="590"/>
      <c r="E844" s="590"/>
      <c r="F844" s="590"/>
      <c r="G844" s="590"/>
      <c r="H844" s="590"/>
      <c r="I844" s="590"/>
      <c r="J844" s="590"/>
      <c r="K844" s="590"/>
      <c r="L844" s="590"/>
      <c r="M844" s="590"/>
      <c r="N844" s="590"/>
      <c r="O844" s="590"/>
      <c r="P844" s="590"/>
      <c r="Q844" s="590"/>
      <c r="R844" s="590"/>
      <c r="S844" s="590"/>
      <c r="T844" s="590"/>
      <c r="U844" s="590"/>
      <c r="V844" s="590"/>
      <c r="W844" s="590"/>
      <c r="X844" s="590"/>
      <c r="Y844" s="590"/>
      <c r="Z844" s="590"/>
    </row>
    <row r="845" spans="1:26" ht="15.75" customHeight="1">
      <c r="A845" s="590"/>
      <c r="B845" s="590"/>
      <c r="C845" s="590"/>
      <c r="D845" s="590"/>
      <c r="E845" s="590"/>
      <c r="F845" s="590"/>
      <c r="G845" s="590"/>
      <c r="H845" s="590"/>
      <c r="I845" s="590"/>
      <c r="J845" s="590"/>
      <c r="K845" s="590"/>
      <c r="L845" s="590"/>
      <c r="M845" s="590"/>
      <c r="N845" s="590"/>
      <c r="O845" s="590"/>
      <c r="P845" s="590"/>
      <c r="Q845" s="590"/>
      <c r="R845" s="590"/>
      <c r="S845" s="590"/>
      <c r="T845" s="590"/>
      <c r="U845" s="590"/>
      <c r="V845" s="590"/>
      <c r="W845" s="590"/>
      <c r="X845" s="590"/>
      <c r="Y845" s="590"/>
      <c r="Z845" s="590"/>
    </row>
    <row r="846" spans="1:26" ht="15.75" customHeight="1">
      <c r="A846" s="590"/>
      <c r="B846" s="590"/>
      <c r="C846" s="590"/>
      <c r="D846" s="590"/>
      <c r="E846" s="590"/>
      <c r="F846" s="590"/>
      <c r="G846" s="590"/>
      <c r="H846" s="590"/>
      <c r="I846" s="590"/>
      <c r="J846" s="590"/>
      <c r="K846" s="590"/>
      <c r="L846" s="590"/>
      <c r="M846" s="590"/>
      <c r="N846" s="590"/>
      <c r="O846" s="590"/>
      <c r="P846" s="590"/>
      <c r="Q846" s="590"/>
      <c r="R846" s="590"/>
      <c r="S846" s="590"/>
      <c r="T846" s="590"/>
      <c r="U846" s="590"/>
      <c r="V846" s="590"/>
      <c r="W846" s="590"/>
      <c r="X846" s="590"/>
      <c r="Y846" s="590"/>
      <c r="Z846" s="590"/>
    </row>
    <row r="847" spans="1:26" ht="15.75" customHeight="1">
      <c r="A847" s="590"/>
      <c r="B847" s="590"/>
      <c r="C847" s="590"/>
      <c r="D847" s="590"/>
      <c r="E847" s="590"/>
      <c r="F847" s="590"/>
      <c r="G847" s="590"/>
      <c r="H847" s="590"/>
      <c r="I847" s="590"/>
      <c r="J847" s="590"/>
      <c r="K847" s="590"/>
      <c r="L847" s="590"/>
      <c r="M847" s="590"/>
      <c r="N847" s="590"/>
      <c r="O847" s="590"/>
      <c r="P847" s="590"/>
      <c r="Q847" s="590"/>
      <c r="R847" s="590"/>
      <c r="S847" s="590"/>
      <c r="T847" s="590"/>
      <c r="U847" s="590"/>
      <c r="V847" s="590"/>
      <c r="W847" s="590"/>
      <c r="X847" s="590"/>
      <c r="Y847" s="590"/>
      <c r="Z847" s="590"/>
    </row>
    <row r="848" spans="1:26" ht="15.75" customHeight="1">
      <c r="A848" s="590"/>
      <c r="B848" s="590"/>
      <c r="C848" s="590"/>
      <c r="D848" s="590"/>
      <c r="E848" s="590"/>
      <c r="F848" s="590"/>
      <c r="G848" s="590"/>
      <c r="H848" s="590"/>
      <c r="I848" s="590"/>
      <c r="J848" s="590"/>
      <c r="K848" s="590"/>
      <c r="L848" s="590"/>
      <c r="M848" s="590"/>
      <c r="N848" s="590"/>
      <c r="O848" s="590"/>
      <c r="P848" s="590"/>
      <c r="Q848" s="590"/>
      <c r="R848" s="590"/>
      <c r="S848" s="590"/>
      <c r="T848" s="590"/>
      <c r="U848" s="590"/>
      <c r="V848" s="590"/>
      <c r="W848" s="590"/>
      <c r="X848" s="590"/>
      <c r="Y848" s="590"/>
      <c r="Z848" s="590"/>
    </row>
    <row r="849" spans="1:26" ht="15.75" customHeight="1">
      <c r="A849" s="590"/>
      <c r="B849" s="590"/>
      <c r="C849" s="590"/>
      <c r="D849" s="590"/>
      <c r="E849" s="590"/>
      <c r="F849" s="590"/>
      <c r="G849" s="590"/>
      <c r="H849" s="590"/>
      <c r="I849" s="590"/>
      <c r="J849" s="590"/>
      <c r="K849" s="590"/>
      <c r="L849" s="590"/>
      <c r="M849" s="590"/>
      <c r="N849" s="590"/>
      <c r="O849" s="590"/>
      <c r="P849" s="590"/>
      <c r="Q849" s="590"/>
      <c r="R849" s="590"/>
      <c r="S849" s="590"/>
      <c r="T849" s="590"/>
      <c r="U849" s="590"/>
      <c r="V849" s="590"/>
      <c r="W849" s="590"/>
      <c r="X849" s="590"/>
      <c r="Y849" s="590"/>
      <c r="Z849" s="590"/>
    </row>
    <row r="850" spans="1:26" ht="15.75" customHeight="1">
      <c r="A850" s="590"/>
      <c r="B850" s="590"/>
      <c r="C850" s="590"/>
      <c r="D850" s="590"/>
      <c r="E850" s="590"/>
      <c r="F850" s="590"/>
      <c r="G850" s="590"/>
      <c r="H850" s="590"/>
      <c r="I850" s="590"/>
      <c r="J850" s="590"/>
      <c r="K850" s="590"/>
      <c r="L850" s="590"/>
      <c r="M850" s="590"/>
      <c r="N850" s="590"/>
      <c r="O850" s="590"/>
      <c r="P850" s="590"/>
      <c r="Q850" s="590"/>
      <c r="R850" s="590"/>
      <c r="S850" s="590"/>
      <c r="T850" s="590"/>
      <c r="U850" s="590"/>
      <c r="V850" s="590"/>
      <c r="W850" s="590"/>
      <c r="X850" s="590"/>
      <c r="Y850" s="590"/>
      <c r="Z850" s="590"/>
    </row>
    <row r="851" spans="1:26" ht="15.75" customHeight="1">
      <c r="A851" s="590"/>
      <c r="B851" s="590"/>
      <c r="C851" s="590"/>
      <c r="D851" s="590"/>
      <c r="E851" s="590"/>
      <c r="F851" s="590"/>
      <c r="G851" s="590"/>
      <c r="H851" s="590"/>
      <c r="I851" s="590"/>
      <c r="J851" s="590"/>
      <c r="K851" s="590"/>
      <c r="L851" s="590"/>
      <c r="M851" s="590"/>
      <c r="N851" s="590"/>
      <c r="O851" s="590"/>
      <c r="P851" s="590"/>
      <c r="Q851" s="590"/>
      <c r="R851" s="590"/>
      <c r="S851" s="590"/>
      <c r="T851" s="590"/>
      <c r="U851" s="590"/>
      <c r="V851" s="590"/>
      <c r="W851" s="590"/>
      <c r="X851" s="590"/>
      <c r="Y851" s="590"/>
      <c r="Z851" s="590"/>
    </row>
    <row r="852" spans="1:26" ht="15.75" customHeight="1">
      <c r="A852" s="590"/>
      <c r="B852" s="590"/>
      <c r="C852" s="590"/>
      <c r="D852" s="590"/>
      <c r="E852" s="590"/>
      <c r="F852" s="590"/>
      <c r="G852" s="590"/>
      <c r="H852" s="590"/>
      <c r="I852" s="590"/>
      <c r="J852" s="590"/>
      <c r="K852" s="590"/>
      <c r="L852" s="590"/>
      <c r="M852" s="590"/>
      <c r="N852" s="590"/>
      <c r="O852" s="590"/>
      <c r="P852" s="590"/>
      <c r="Q852" s="590"/>
      <c r="R852" s="590"/>
      <c r="S852" s="590"/>
      <c r="T852" s="590"/>
      <c r="U852" s="590"/>
      <c r="V852" s="590"/>
      <c r="W852" s="590"/>
      <c r="X852" s="590"/>
      <c r="Y852" s="590"/>
      <c r="Z852" s="590"/>
    </row>
    <row r="853" spans="1:26" ht="15.75" customHeight="1">
      <c r="A853" s="590"/>
      <c r="B853" s="590"/>
      <c r="C853" s="590"/>
      <c r="D853" s="590"/>
      <c r="E853" s="590"/>
      <c r="F853" s="590"/>
      <c r="G853" s="590"/>
      <c r="H853" s="590"/>
      <c r="I853" s="590"/>
      <c r="J853" s="590"/>
      <c r="K853" s="590"/>
      <c r="L853" s="590"/>
      <c r="M853" s="590"/>
      <c r="N853" s="590"/>
      <c r="O853" s="590"/>
      <c r="P853" s="590"/>
      <c r="Q853" s="590"/>
      <c r="R853" s="590"/>
      <c r="S853" s="590"/>
      <c r="T853" s="590"/>
      <c r="U853" s="590"/>
      <c r="V853" s="590"/>
      <c r="W853" s="590"/>
      <c r="X853" s="590"/>
      <c r="Y853" s="590"/>
      <c r="Z853" s="590"/>
    </row>
    <row r="854" spans="1:26" ht="15.75" customHeight="1">
      <c r="A854" s="590"/>
      <c r="B854" s="590"/>
      <c r="C854" s="590"/>
      <c r="D854" s="590"/>
      <c r="E854" s="590"/>
      <c r="F854" s="590"/>
      <c r="G854" s="590"/>
      <c r="H854" s="590"/>
      <c r="I854" s="590"/>
      <c r="J854" s="590"/>
      <c r="K854" s="590"/>
      <c r="L854" s="590"/>
      <c r="M854" s="590"/>
      <c r="N854" s="590"/>
      <c r="O854" s="590"/>
      <c r="P854" s="590"/>
      <c r="Q854" s="590"/>
      <c r="R854" s="590"/>
      <c r="S854" s="590"/>
      <c r="T854" s="590"/>
      <c r="U854" s="590"/>
      <c r="V854" s="590"/>
      <c r="W854" s="590"/>
      <c r="X854" s="590"/>
      <c r="Y854" s="590"/>
      <c r="Z854" s="590"/>
    </row>
    <row r="855" spans="1:26" ht="15.75" customHeight="1">
      <c r="A855" s="590"/>
      <c r="B855" s="590"/>
      <c r="C855" s="590"/>
      <c r="D855" s="590"/>
      <c r="E855" s="590"/>
      <c r="F855" s="590"/>
      <c r="G855" s="590"/>
      <c r="H855" s="590"/>
      <c r="I855" s="590"/>
      <c r="J855" s="590"/>
      <c r="K855" s="590"/>
      <c r="L855" s="590"/>
      <c r="M855" s="590"/>
      <c r="N855" s="590"/>
      <c r="O855" s="590"/>
      <c r="P855" s="590"/>
      <c r="Q855" s="590"/>
      <c r="R855" s="590"/>
      <c r="S855" s="590"/>
      <c r="T855" s="590"/>
      <c r="U855" s="590"/>
      <c r="V855" s="590"/>
      <c r="W855" s="590"/>
      <c r="X855" s="590"/>
      <c r="Y855" s="590"/>
      <c r="Z855" s="590"/>
    </row>
    <row r="856" spans="1:26" ht="15.75" customHeight="1">
      <c r="A856" s="590"/>
      <c r="B856" s="590"/>
      <c r="C856" s="590"/>
      <c r="D856" s="590"/>
      <c r="E856" s="590"/>
      <c r="F856" s="590"/>
      <c r="G856" s="590"/>
      <c r="H856" s="590"/>
      <c r="I856" s="590"/>
      <c r="J856" s="590"/>
      <c r="K856" s="590"/>
      <c r="L856" s="590"/>
      <c r="M856" s="590"/>
      <c r="N856" s="590"/>
      <c r="O856" s="590"/>
      <c r="P856" s="590"/>
      <c r="Q856" s="590"/>
      <c r="R856" s="590"/>
      <c r="S856" s="590"/>
      <c r="T856" s="590"/>
      <c r="U856" s="590"/>
      <c r="V856" s="590"/>
      <c r="W856" s="590"/>
      <c r="X856" s="590"/>
      <c r="Y856" s="590"/>
      <c r="Z856" s="590"/>
    </row>
    <row r="857" spans="1:26" ht="15.75" customHeight="1">
      <c r="A857" s="590"/>
      <c r="B857" s="590"/>
      <c r="C857" s="590"/>
      <c r="D857" s="590"/>
      <c r="E857" s="590"/>
      <c r="F857" s="590"/>
      <c r="G857" s="590"/>
      <c r="H857" s="590"/>
      <c r="I857" s="590"/>
      <c r="J857" s="590"/>
      <c r="K857" s="590"/>
      <c r="L857" s="590"/>
      <c r="M857" s="590"/>
      <c r="N857" s="590"/>
      <c r="O857" s="590"/>
      <c r="P857" s="590"/>
      <c r="Q857" s="590"/>
      <c r="R857" s="590"/>
      <c r="S857" s="590"/>
      <c r="T857" s="590"/>
      <c r="U857" s="590"/>
      <c r="V857" s="590"/>
      <c r="W857" s="590"/>
      <c r="X857" s="590"/>
      <c r="Y857" s="590"/>
      <c r="Z857" s="590"/>
    </row>
    <row r="858" spans="1:26" ht="15.75" customHeight="1">
      <c r="A858" s="590"/>
      <c r="B858" s="590"/>
      <c r="C858" s="590"/>
      <c r="D858" s="590"/>
      <c r="E858" s="590"/>
      <c r="F858" s="590"/>
      <c r="G858" s="590"/>
      <c r="H858" s="590"/>
      <c r="I858" s="590"/>
      <c r="J858" s="590"/>
      <c r="K858" s="590"/>
      <c r="L858" s="590"/>
      <c r="M858" s="590"/>
      <c r="N858" s="590"/>
      <c r="O858" s="590"/>
      <c r="P858" s="590"/>
      <c r="Q858" s="590"/>
      <c r="R858" s="590"/>
      <c r="S858" s="590"/>
      <c r="T858" s="590"/>
      <c r="U858" s="590"/>
      <c r="V858" s="590"/>
      <c r="W858" s="590"/>
      <c r="X858" s="590"/>
      <c r="Y858" s="590"/>
      <c r="Z858" s="590"/>
    </row>
    <row r="859" spans="1:26" ht="15.75" customHeight="1">
      <c r="A859" s="590"/>
      <c r="B859" s="590"/>
      <c r="C859" s="590"/>
      <c r="D859" s="590"/>
      <c r="E859" s="590"/>
      <c r="F859" s="590"/>
      <c r="G859" s="590"/>
      <c r="H859" s="590"/>
      <c r="I859" s="590"/>
      <c r="J859" s="590"/>
      <c r="K859" s="590"/>
      <c r="L859" s="590"/>
      <c r="M859" s="590"/>
      <c r="N859" s="590"/>
      <c r="O859" s="590"/>
      <c r="P859" s="590"/>
      <c r="Q859" s="590"/>
      <c r="R859" s="590"/>
      <c r="S859" s="590"/>
      <c r="T859" s="590"/>
      <c r="U859" s="590"/>
      <c r="V859" s="590"/>
      <c r="W859" s="590"/>
      <c r="X859" s="590"/>
      <c r="Y859" s="590"/>
      <c r="Z859" s="590"/>
    </row>
    <row r="860" spans="1:26" ht="15.75" customHeight="1">
      <c r="A860" s="590"/>
      <c r="B860" s="590"/>
      <c r="C860" s="590"/>
      <c r="D860" s="590"/>
      <c r="E860" s="590"/>
      <c r="F860" s="590"/>
      <c r="G860" s="590"/>
      <c r="H860" s="590"/>
      <c r="I860" s="590"/>
      <c r="J860" s="590"/>
      <c r="K860" s="590"/>
      <c r="L860" s="590"/>
      <c r="M860" s="590"/>
      <c r="N860" s="590"/>
      <c r="O860" s="590"/>
      <c r="P860" s="590"/>
      <c r="Q860" s="590"/>
      <c r="R860" s="590"/>
      <c r="S860" s="590"/>
      <c r="T860" s="590"/>
      <c r="U860" s="590"/>
      <c r="V860" s="590"/>
      <c r="W860" s="590"/>
      <c r="X860" s="590"/>
      <c r="Y860" s="590"/>
      <c r="Z860" s="590"/>
    </row>
    <row r="861" spans="1:26" ht="15.75" customHeight="1">
      <c r="A861" s="590"/>
      <c r="B861" s="590"/>
      <c r="C861" s="590"/>
      <c r="D861" s="590"/>
      <c r="E861" s="590"/>
      <c r="F861" s="590"/>
      <c r="G861" s="590"/>
      <c r="H861" s="590"/>
      <c r="I861" s="590"/>
      <c r="J861" s="590"/>
      <c r="K861" s="590"/>
      <c r="L861" s="590"/>
      <c r="M861" s="590"/>
      <c r="N861" s="590"/>
      <c r="O861" s="590"/>
      <c r="P861" s="590"/>
      <c r="Q861" s="590"/>
      <c r="R861" s="590"/>
      <c r="S861" s="590"/>
      <c r="T861" s="590"/>
      <c r="U861" s="590"/>
      <c r="V861" s="590"/>
      <c r="W861" s="590"/>
      <c r="X861" s="590"/>
      <c r="Y861" s="590"/>
      <c r="Z861" s="590"/>
    </row>
    <row r="862" spans="1:26" ht="15.75" customHeight="1">
      <c r="A862" s="590"/>
      <c r="B862" s="590"/>
      <c r="C862" s="590"/>
      <c r="D862" s="590"/>
      <c r="E862" s="590"/>
      <c r="F862" s="590"/>
      <c r="G862" s="590"/>
      <c r="H862" s="590"/>
      <c r="I862" s="590"/>
      <c r="J862" s="590"/>
      <c r="K862" s="590"/>
      <c r="L862" s="590"/>
      <c r="M862" s="590"/>
      <c r="N862" s="590"/>
      <c r="O862" s="590"/>
      <c r="P862" s="590"/>
      <c r="Q862" s="590"/>
      <c r="R862" s="590"/>
      <c r="S862" s="590"/>
      <c r="T862" s="590"/>
      <c r="U862" s="590"/>
      <c r="V862" s="590"/>
      <c r="W862" s="590"/>
      <c r="X862" s="590"/>
      <c r="Y862" s="590"/>
      <c r="Z862" s="590"/>
    </row>
    <row r="863" spans="1:26" ht="15.75" customHeight="1">
      <c r="A863" s="590"/>
      <c r="B863" s="590"/>
      <c r="C863" s="590"/>
      <c r="D863" s="590"/>
      <c r="E863" s="590"/>
      <c r="F863" s="590"/>
      <c r="G863" s="590"/>
      <c r="H863" s="590"/>
      <c r="I863" s="590"/>
      <c r="J863" s="590"/>
      <c r="K863" s="590"/>
      <c r="L863" s="590"/>
      <c r="M863" s="590"/>
      <c r="N863" s="590"/>
      <c r="O863" s="590"/>
      <c r="P863" s="590"/>
      <c r="Q863" s="590"/>
      <c r="R863" s="590"/>
      <c r="S863" s="590"/>
      <c r="T863" s="590"/>
      <c r="U863" s="590"/>
      <c r="V863" s="590"/>
      <c r="W863" s="590"/>
      <c r="X863" s="590"/>
      <c r="Y863" s="590"/>
      <c r="Z863" s="590"/>
    </row>
    <row r="864" spans="1:26" ht="15.75" customHeight="1">
      <c r="A864" s="590"/>
      <c r="B864" s="590"/>
      <c r="C864" s="590"/>
      <c r="D864" s="590"/>
      <c r="E864" s="590"/>
      <c r="F864" s="590"/>
      <c r="G864" s="590"/>
      <c r="H864" s="590"/>
      <c r="I864" s="590"/>
      <c r="J864" s="590"/>
      <c r="K864" s="590"/>
      <c r="L864" s="590"/>
      <c r="M864" s="590"/>
      <c r="N864" s="590"/>
      <c r="O864" s="590"/>
      <c r="P864" s="590"/>
      <c r="Q864" s="590"/>
      <c r="R864" s="590"/>
      <c r="S864" s="590"/>
      <c r="T864" s="590"/>
      <c r="U864" s="590"/>
      <c r="V864" s="590"/>
      <c r="W864" s="590"/>
      <c r="X864" s="590"/>
      <c r="Y864" s="590"/>
      <c r="Z864" s="590"/>
    </row>
    <row r="865" spans="1:26" ht="15.75" customHeight="1">
      <c r="A865" s="590"/>
      <c r="B865" s="590"/>
      <c r="C865" s="590"/>
      <c r="D865" s="590"/>
      <c r="E865" s="590"/>
      <c r="F865" s="590"/>
      <c r="G865" s="590"/>
      <c r="H865" s="590"/>
      <c r="I865" s="590"/>
      <c r="J865" s="590"/>
      <c r="K865" s="590"/>
      <c r="L865" s="590"/>
      <c r="M865" s="590"/>
      <c r="N865" s="590"/>
      <c r="O865" s="590"/>
      <c r="P865" s="590"/>
      <c r="Q865" s="590"/>
      <c r="R865" s="590"/>
      <c r="S865" s="590"/>
      <c r="T865" s="590"/>
      <c r="U865" s="590"/>
      <c r="V865" s="590"/>
      <c r="W865" s="590"/>
      <c r="X865" s="590"/>
      <c r="Y865" s="590"/>
      <c r="Z865" s="590"/>
    </row>
    <row r="866" spans="1:26" ht="15.75" customHeight="1">
      <c r="A866" s="590"/>
      <c r="B866" s="590"/>
      <c r="C866" s="590"/>
      <c r="D866" s="590"/>
      <c r="E866" s="590"/>
      <c r="F866" s="590"/>
      <c r="G866" s="590"/>
      <c r="H866" s="590"/>
      <c r="I866" s="590"/>
      <c r="J866" s="590"/>
      <c r="K866" s="590"/>
      <c r="L866" s="590"/>
      <c r="M866" s="590"/>
      <c r="N866" s="590"/>
      <c r="O866" s="590"/>
      <c r="P866" s="590"/>
      <c r="Q866" s="590"/>
      <c r="R866" s="590"/>
      <c r="S866" s="590"/>
      <c r="T866" s="590"/>
      <c r="U866" s="590"/>
      <c r="V866" s="590"/>
      <c r="W866" s="590"/>
      <c r="X866" s="590"/>
      <c r="Y866" s="590"/>
      <c r="Z866" s="590"/>
    </row>
    <row r="867" spans="1:26" ht="15.75" customHeight="1">
      <c r="A867" s="590"/>
      <c r="B867" s="590"/>
      <c r="C867" s="590"/>
      <c r="D867" s="590"/>
      <c r="E867" s="590"/>
      <c r="F867" s="590"/>
      <c r="G867" s="590"/>
      <c r="H867" s="590"/>
      <c r="I867" s="590"/>
      <c r="J867" s="590"/>
      <c r="K867" s="590"/>
      <c r="L867" s="590"/>
      <c r="M867" s="590"/>
      <c r="N867" s="590"/>
      <c r="O867" s="590"/>
      <c r="P867" s="590"/>
      <c r="Q867" s="590"/>
      <c r="R867" s="590"/>
      <c r="S867" s="590"/>
      <c r="T867" s="590"/>
      <c r="U867" s="590"/>
      <c r="V867" s="590"/>
      <c r="W867" s="590"/>
      <c r="X867" s="590"/>
      <c r="Y867" s="590"/>
      <c r="Z867" s="590"/>
    </row>
    <row r="868" spans="1:26" ht="15.75" customHeight="1">
      <c r="A868" s="590"/>
      <c r="B868" s="590"/>
      <c r="C868" s="590"/>
      <c r="D868" s="590"/>
      <c r="E868" s="590"/>
      <c r="F868" s="590"/>
      <c r="G868" s="590"/>
      <c r="H868" s="590"/>
      <c r="I868" s="590"/>
      <c r="J868" s="590"/>
      <c r="K868" s="590"/>
      <c r="L868" s="590"/>
      <c r="M868" s="590"/>
      <c r="N868" s="590"/>
      <c r="O868" s="590"/>
      <c r="P868" s="590"/>
      <c r="Q868" s="590"/>
      <c r="R868" s="590"/>
      <c r="S868" s="590"/>
      <c r="T868" s="590"/>
      <c r="U868" s="590"/>
      <c r="V868" s="590"/>
      <c r="W868" s="590"/>
      <c r="X868" s="590"/>
      <c r="Y868" s="590"/>
      <c r="Z868" s="590"/>
    </row>
    <row r="869" spans="1:26" ht="15.75" customHeight="1">
      <c r="A869" s="590"/>
      <c r="B869" s="590"/>
      <c r="C869" s="590"/>
      <c r="D869" s="590"/>
      <c r="E869" s="590"/>
      <c r="F869" s="590"/>
      <c r="G869" s="590"/>
      <c r="H869" s="590"/>
      <c r="I869" s="590"/>
      <c r="J869" s="590"/>
      <c r="K869" s="590"/>
      <c r="L869" s="590"/>
      <c r="M869" s="590"/>
      <c r="N869" s="590"/>
      <c r="O869" s="590"/>
      <c r="P869" s="590"/>
      <c r="Q869" s="590"/>
      <c r="R869" s="590"/>
      <c r="S869" s="590"/>
      <c r="T869" s="590"/>
      <c r="U869" s="590"/>
      <c r="V869" s="590"/>
      <c r="W869" s="590"/>
      <c r="X869" s="590"/>
      <c r="Y869" s="590"/>
      <c r="Z869" s="590"/>
    </row>
    <row r="870" spans="1:26" ht="15.75" customHeight="1">
      <c r="A870" s="590"/>
      <c r="B870" s="590"/>
      <c r="C870" s="590"/>
      <c r="D870" s="590"/>
      <c r="E870" s="590"/>
      <c r="F870" s="590"/>
      <c r="G870" s="590"/>
      <c r="H870" s="590"/>
      <c r="I870" s="590"/>
      <c r="J870" s="590"/>
      <c r="K870" s="590"/>
      <c r="L870" s="590"/>
      <c r="M870" s="590"/>
      <c r="N870" s="590"/>
      <c r="O870" s="590"/>
      <c r="P870" s="590"/>
      <c r="Q870" s="590"/>
      <c r="R870" s="590"/>
      <c r="S870" s="590"/>
      <c r="T870" s="590"/>
      <c r="U870" s="590"/>
      <c r="V870" s="590"/>
      <c r="W870" s="590"/>
      <c r="X870" s="590"/>
      <c r="Y870" s="590"/>
      <c r="Z870" s="590"/>
    </row>
    <row r="871" spans="1:26" ht="15.75" customHeight="1">
      <c r="A871" s="590"/>
      <c r="B871" s="590"/>
      <c r="C871" s="590"/>
      <c r="D871" s="590"/>
      <c r="E871" s="590"/>
      <c r="F871" s="590"/>
      <c r="G871" s="590"/>
      <c r="H871" s="590"/>
      <c r="I871" s="590"/>
      <c r="J871" s="590"/>
      <c r="K871" s="590"/>
      <c r="L871" s="590"/>
      <c r="M871" s="590"/>
      <c r="N871" s="590"/>
      <c r="O871" s="590"/>
      <c r="P871" s="590"/>
      <c r="Q871" s="590"/>
      <c r="R871" s="590"/>
      <c r="S871" s="590"/>
      <c r="T871" s="590"/>
      <c r="U871" s="590"/>
      <c r="V871" s="590"/>
      <c r="W871" s="590"/>
      <c r="X871" s="590"/>
      <c r="Y871" s="590"/>
      <c r="Z871" s="590"/>
    </row>
    <row r="872" spans="1:26" ht="15.75" customHeight="1">
      <c r="A872" s="590"/>
      <c r="B872" s="590"/>
      <c r="C872" s="590"/>
      <c r="D872" s="590"/>
      <c r="E872" s="590"/>
      <c r="F872" s="590"/>
      <c r="G872" s="590"/>
      <c r="H872" s="590"/>
      <c r="I872" s="590"/>
      <c r="J872" s="590"/>
      <c r="K872" s="590"/>
      <c r="L872" s="590"/>
      <c r="M872" s="590"/>
      <c r="N872" s="590"/>
      <c r="O872" s="590"/>
      <c r="P872" s="590"/>
      <c r="Q872" s="590"/>
      <c r="R872" s="590"/>
      <c r="S872" s="590"/>
      <c r="T872" s="590"/>
      <c r="U872" s="590"/>
      <c r="V872" s="590"/>
      <c r="W872" s="590"/>
      <c r="X872" s="590"/>
      <c r="Y872" s="590"/>
      <c r="Z872" s="590"/>
    </row>
    <row r="873" spans="1:26" ht="15.75" customHeight="1">
      <c r="A873" s="590"/>
      <c r="B873" s="590"/>
      <c r="C873" s="590"/>
      <c r="D873" s="590"/>
      <c r="E873" s="590"/>
      <c r="F873" s="590"/>
      <c r="G873" s="590"/>
      <c r="H873" s="590"/>
      <c r="I873" s="590"/>
      <c r="J873" s="590"/>
      <c r="K873" s="590"/>
      <c r="L873" s="590"/>
      <c r="M873" s="590"/>
      <c r="N873" s="590"/>
      <c r="O873" s="590"/>
      <c r="P873" s="590"/>
      <c r="Q873" s="590"/>
      <c r="R873" s="590"/>
      <c r="S873" s="590"/>
      <c r="T873" s="590"/>
      <c r="U873" s="590"/>
      <c r="V873" s="590"/>
      <c r="W873" s="590"/>
      <c r="X873" s="590"/>
      <c r="Y873" s="590"/>
      <c r="Z873" s="590"/>
    </row>
    <row r="874" spans="1:26" ht="15.75" customHeight="1">
      <c r="A874" s="590"/>
      <c r="B874" s="590"/>
      <c r="C874" s="590"/>
      <c r="D874" s="590"/>
      <c r="E874" s="590"/>
      <c r="F874" s="590"/>
      <c r="G874" s="590"/>
      <c r="H874" s="590"/>
      <c r="I874" s="590"/>
      <c r="J874" s="590"/>
      <c r="K874" s="590"/>
      <c r="L874" s="590"/>
      <c r="M874" s="590"/>
      <c r="N874" s="590"/>
      <c r="O874" s="590"/>
      <c r="P874" s="590"/>
      <c r="Q874" s="590"/>
      <c r="R874" s="590"/>
      <c r="S874" s="590"/>
      <c r="T874" s="590"/>
      <c r="U874" s="590"/>
      <c r="V874" s="590"/>
      <c r="W874" s="590"/>
      <c r="X874" s="590"/>
      <c r="Y874" s="590"/>
      <c r="Z874" s="590"/>
    </row>
    <row r="875" spans="1:26" ht="15.75" customHeight="1">
      <c r="A875" s="590"/>
      <c r="B875" s="590"/>
      <c r="C875" s="590"/>
      <c r="D875" s="590"/>
      <c r="E875" s="590"/>
      <c r="F875" s="590"/>
      <c r="G875" s="590"/>
      <c r="H875" s="590"/>
      <c r="I875" s="590"/>
      <c r="J875" s="590"/>
      <c r="K875" s="590"/>
      <c r="L875" s="590"/>
      <c r="M875" s="590"/>
      <c r="N875" s="590"/>
      <c r="O875" s="590"/>
      <c r="P875" s="590"/>
      <c r="Q875" s="590"/>
      <c r="R875" s="590"/>
      <c r="S875" s="590"/>
      <c r="T875" s="590"/>
      <c r="U875" s="590"/>
      <c r="V875" s="590"/>
      <c r="W875" s="590"/>
      <c r="X875" s="590"/>
      <c r="Y875" s="590"/>
      <c r="Z875" s="590"/>
    </row>
    <row r="876" spans="1:26" ht="15.75" customHeight="1">
      <c r="A876" s="590"/>
      <c r="B876" s="590"/>
      <c r="C876" s="590"/>
      <c r="D876" s="590"/>
      <c r="E876" s="590"/>
      <c r="F876" s="590"/>
      <c r="G876" s="590"/>
      <c r="H876" s="590"/>
      <c r="I876" s="590"/>
      <c r="J876" s="590"/>
      <c r="K876" s="590"/>
      <c r="L876" s="590"/>
      <c r="M876" s="590"/>
      <c r="N876" s="590"/>
      <c r="O876" s="590"/>
      <c r="P876" s="590"/>
      <c r="Q876" s="590"/>
      <c r="R876" s="590"/>
      <c r="S876" s="590"/>
      <c r="T876" s="590"/>
      <c r="U876" s="590"/>
      <c r="V876" s="590"/>
      <c r="W876" s="590"/>
      <c r="X876" s="590"/>
      <c r="Y876" s="590"/>
      <c r="Z876" s="590"/>
    </row>
    <row r="877" spans="1:26" ht="15.75" customHeight="1">
      <c r="A877" s="590"/>
      <c r="B877" s="590"/>
      <c r="C877" s="590"/>
      <c r="D877" s="590"/>
      <c r="E877" s="590"/>
      <c r="F877" s="590"/>
      <c r="G877" s="590"/>
      <c r="H877" s="590"/>
      <c r="I877" s="590"/>
      <c r="J877" s="590"/>
      <c r="K877" s="590"/>
      <c r="L877" s="590"/>
      <c r="M877" s="590"/>
      <c r="N877" s="590"/>
      <c r="O877" s="590"/>
      <c r="P877" s="590"/>
      <c r="Q877" s="590"/>
      <c r="R877" s="590"/>
      <c r="S877" s="590"/>
      <c r="T877" s="590"/>
      <c r="U877" s="590"/>
      <c r="V877" s="590"/>
      <c r="W877" s="590"/>
      <c r="X877" s="590"/>
      <c r="Y877" s="590"/>
      <c r="Z877" s="590"/>
    </row>
    <row r="878" spans="1:26" ht="15.75" customHeight="1">
      <c r="A878" s="590"/>
      <c r="B878" s="590"/>
      <c r="C878" s="590"/>
      <c r="D878" s="590"/>
      <c r="E878" s="590"/>
      <c r="F878" s="590"/>
      <c r="G878" s="590"/>
      <c r="H878" s="590"/>
      <c r="I878" s="590"/>
      <c r="J878" s="590"/>
      <c r="K878" s="590"/>
      <c r="L878" s="590"/>
      <c r="M878" s="590"/>
      <c r="N878" s="590"/>
      <c r="O878" s="590"/>
      <c r="P878" s="590"/>
      <c r="Q878" s="590"/>
      <c r="R878" s="590"/>
      <c r="S878" s="590"/>
      <c r="T878" s="590"/>
      <c r="U878" s="590"/>
      <c r="V878" s="590"/>
      <c r="W878" s="590"/>
      <c r="X878" s="590"/>
      <c r="Y878" s="590"/>
      <c r="Z878" s="590"/>
    </row>
    <row r="879" spans="1:26" ht="15.75" customHeight="1">
      <c r="A879" s="590"/>
      <c r="B879" s="590"/>
      <c r="C879" s="590"/>
      <c r="D879" s="590"/>
      <c r="E879" s="590"/>
      <c r="F879" s="590"/>
      <c r="G879" s="590"/>
      <c r="H879" s="590"/>
      <c r="I879" s="590"/>
      <c r="J879" s="590"/>
      <c r="K879" s="590"/>
      <c r="L879" s="590"/>
      <c r="M879" s="590"/>
      <c r="N879" s="590"/>
      <c r="O879" s="590"/>
      <c r="P879" s="590"/>
      <c r="Q879" s="590"/>
      <c r="R879" s="590"/>
      <c r="S879" s="590"/>
      <c r="T879" s="590"/>
      <c r="U879" s="590"/>
      <c r="V879" s="590"/>
      <c r="W879" s="590"/>
      <c r="X879" s="590"/>
      <c r="Y879" s="590"/>
      <c r="Z879" s="590"/>
    </row>
    <row r="880" spans="1:26" ht="15.75" customHeight="1">
      <c r="A880" s="590"/>
      <c r="B880" s="590"/>
      <c r="C880" s="590"/>
      <c r="D880" s="590"/>
      <c r="E880" s="590"/>
      <c r="F880" s="590"/>
      <c r="G880" s="590"/>
      <c r="H880" s="590"/>
      <c r="I880" s="590"/>
      <c r="J880" s="590"/>
      <c r="K880" s="590"/>
      <c r="L880" s="590"/>
      <c r="M880" s="590"/>
      <c r="N880" s="590"/>
      <c r="O880" s="590"/>
      <c r="P880" s="590"/>
      <c r="Q880" s="590"/>
      <c r="R880" s="590"/>
      <c r="S880" s="590"/>
      <c r="T880" s="590"/>
      <c r="U880" s="590"/>
      <c r="V880" s="590"/>
      <c r="W880" s="590"/>
      <c r="X880" s="590"/>
      <c r="Y880" s="590"/>
      <c r="Z880" s="590"/>
    </row>
    <row r="881" spans="1:26" ht="15.75" customHeight="1">
      <c r="A881" s="590"/>
      <c r="B881" s="590"/>
      <c r="C881" s="590"/>
      <c r="D881" s="590"/>
      <c r="E881" s="590"/>
      <c r="F881" s="590"/>
      <c r="G881" s="590"/>
      <c r="H881" s="590"/>
      <c r="I881" s="590"/>
      <c r="J881" s="590"/>
      <c r="K881" s="590"/>
      <c r="L881" s="590"/>
      <c r="M881" s="590"/>
      <c r="N881" s="590"/>
      <c r="O881" s="590"/>
      <c r="P881" s="590"/>
      <c r="Q881" s="590"/>
      <c r="R881" s="590"/>
      <c r="S881" s="590"/>
      <c r="T881" s="590"/>
      <c r="U881" s="590"/>
      <c r="V881" s="590"/>
      <c r="W881" s="590"/>
      <c r="X881" s="590"/>
      <c r="Y881" s="590"/>
      <c r="Z881" s="590"/>
    </row>
    <row r="882" spans="1:26" ht="15.75" customHeight="1">
      <c r="A882" s="590"/>
      <c r="B882" s="590"/>
      <c r="C882" s="590"/>
      <c r="D882" s="590"/>
      <c r="E882" s="590"/>
      <c r="F882" s="590"/>
      <c r="G882" s="590"/>
      <c r="H882" s="590"/>
      <c r="I882" s="590"/>
      <c r="J882" s="590"/>
      <c r="K882" s="590"/>
      <c r="L882" s="590"/>
      <c r="M882" s="590"/>
      <c r="N882" s="590"/>
      <c r="O882" s="590"/>
      <c r="P882" s="590"/>
      <c r="Q882" s="590"/>
      <c r="R882" s="590"/>
      <c r="S882" s="590"/>
      <c r="T882" s="590"/>
      <c r="U882" s="590"/>
      <c r="V882" s="590"/>
      <c r="W882" s="590"/>
      <c r="X882" s="590"/>
      <c r="Y882" s="590"/>
      <c r="Z882" s="590"/>
    </row>
    <row r="883" spans="1:26" ht="15.75" customHeight="1">
      <c r="A883" s="590"/>
      <c r="B883" s="590"/>
      <c r="C883" s="590"/>
      <c r="D883" s="590"/>
      <c r="E883" s="590"/>
      <c r="F883" s="590"/>
      <c r="G883" s="590"/>
      <c r="H883" s="590"/>
      <c r="I883" s="590"/>
      <c r="J883" s="590"/>
      <c r="K883" s="590"/>
      <c r="L883" s="590"/>
      <c r="M883" s="590"/>
      <c r="N883" s="590"/>
      <c r="O883" s="590"/>
      <c r="P883" s="590"/>
      <c r="Q883" s="590"/>
      <c r="R883" s="590"/>
      <c r="S883" s="590"/>
      <c r="T883" s="590"/>
      <c r="U883" s="590"/>
      <c r="V883" s="590"/>
      <c r="W883" s="590"/>
      <c r="X883" s="590"/>
      <c r="Y883" s="590"/>
      <c r="Z883" s="590"/>
    </row>
    <row r="884" spans="1:26" ht="15.75" customHeight="1">
      <c r="A884" s="590"/>
      <c r="B884" s="590"/>
      <c r="C884" s="590"/>
      <c r="D884" s="590"/>
      <c r="E884" s="590"/>
      <c r="F884" s="590"/>
      <c r="G884" s="590"/>
      <c r="H884" s="590"/>
      <c r="I884" s="590"/>
      <c r="J884" s="590"/>
      <c r="K884" s="590"/>
      <c r="L884" s="590"/>
      <c r="M884" s="590"/>
      <c r="N884" s="590"/>
      <c r="O884" s="590"/>
      <c r="P884" s="590"/>
      <c r="Q884" s="590"/>
      <c r="R884" s="590"/>
      <c r="S884" s="590"/>
      <c r="T884" s="590"/>
      <c r="U884" s="590"/>
      <c r="V884" s="590"/>
      <c r="W884" s="590"/>
      <c r="X884" s="590"/>
      <c r="Y884" s="590"/>
      <c r="Z884" s="590"/>
    </row>
    <row r="885" spans="1:26" ht="15.75" customHeight="1">
      <c r="A885" s="590"/>
      <c r="B885" s="590"/>
      <c r="C885" s="590"/>
      <c r="D885" s="590"/>
      <c r="E885" s="590"/>
      <c r="F885" s="590"/>
      <c r="G885" s="590"/>
      <c r="H885" s="590"/>
      <c r="I885" s="590"/>
      <c r="J885" s="590"/>
      <c r="K885" s="590"/>
      <c r="L885" s="590"/>
      <c r="M885" s="590"/>
      <c r="N885" s="590"/>
      <c r="O885" s="590"/>
      <c r="P885" s="590"/>
      <c r="Q885" s="590"/>
      <c r="R885" s="590"/>
      <c r="S885" s="590"/>
      <c r="T885" s="590"/>
      <c r="U885" s="590"/>
      <c r="V885" s="590"/>
      <c r="W885" s="590"/>
      <c r="X885" s="590"/>
      <c r="Y885" s="590"/>
      <c r="Z885" s="590"/>
    </row>
    <row r="886" spans="1:26" ht="15.75" customHeight="1">
      <c r="A886" s="590"/>
      <c r="B886" s="590"/>
      <c r="C886" s="590"/>
      <c r="D886" s="590"/>
      <c r="E886" s="590"/>
      <c r="F886" s="590"/>
      <c r="G886" s="590"/>
      <c r="H886" s="590"/>
      <c r="I886" s="590"/>
      <c r="J886" s="590"/>
      <c r="K886" s="590"/>
      <c r="L886" s="590"/>
      <c r="M886" s="590"/>
      <c r="N886" s="590"/>
      <c r="O886" s="590"/>
      <c r="P886" s="590"/>
      <c r="Q886" s="590"/>
      <c r="R886" s="590"/>
      <c r="S886" s="590"/>
      <c r="T886" s="590"/>
      <c r="U886" s="590"/>
      <c r="V886" s="590"/>
      <c r="W886" s="590"/>
      <c r="X886" s="590"/>
      <c r="Y886" s="590"/>
      <c r="Z886" s="590"/>
    </row>
    <row r="887" spans="1:26" ht="15.75" customHeight="1">
      <c r="A887" s="590"/>
      <c r="B887" s="590"/>
      <c r="C887" s="590"/>
      <c r="D887" s="590"/>
      <c r="E887" s="590"/>
      <c r="F887" s="590"/>
      <c r="G887" s="590"/>
      <c r="H887" s="590"/>
      <c r="I887" s="590"/>
      <c r="J887" s="590"/>
      <c r="K887" s="590"/>
      <c r="L887" s="590"/>
      <c r="M887" s="590"/>
      <c r="N887" s="590"/>
      <c r="O887" s="590"/>
      <c r="P887" s="590"/>
      <c r="Q887" s="590"/>
      <c r="R887" s="590"/>
      <c r="S887" s="590"/>
      <c r="T887" s="590"/>
      <c r="U887" s="590"/>
      <c r="V887" s="590"/>
      <c r="W887" s="590"/>
      <c r="X887" s="590"/>
      <c r="Y887" s="590"/>
      <c r="Z887" s="590"/>
    </row>
    <row r="888" spans="1:26" ht="15.75" customHeight="1">
      <c r="A888" s="590"/>
      <c r="B888" s="590"/>
      <c r="C888" s="590"/>
      <c r="D888" s="590"/>
      <c r="E888" s="590"/>
      <c r="F888" s="590"/>
      <c r="G888" s="590"/>
      <c r="H888" s="590"/>
      <c r="I888" s="590"/>
      <c r="J888" s="590"/>
      <c r="K888" s="590"/>
      <c r="L888" s="590"/>
      <c r="M888" s="590"/>
      <c r="N888" s="590"/>
      <c r="O888" s="590"/>
      <c r="P888" s="590"/>
      <c r="Q888" s="590"/>
      <c r="R888" s="590"/>
      <c r="S888" s="590"/>
      <c r="T888" s="590"/>
      <c r="U888" s="590"/>
      <c r="V888" s="590"/>
      <c r="W888" s="590"/>
      <c r="X888" s="590"/>
      <c r="Y888" s="590"/>
      <c r="Z888" s="590"/>
    </row>
    <row r="889" spans="1:26" ht="15.75" customHeight="1">
      <c r="A889" s="590"/>
      <c r="B889" s="590"/>
      <c r="C889" s="590"/>
      <c r="D889" s="590"/>
      <c r="E889" s="590"/>
      <c r="F889" s="590"/>
      <c r="G889" s="590"/>
      <c r="H889" s="590"/>
      <c r="I889" s="590"/>
      <c r="J889" s="590"/>
      <c r="K889" s="590"/>
      <c r="L889" s="590"/>
      <c r="M889" s="590"/>
      <c r="N889" s="590"/>
      <c r="O889" s="590"/>
      <c r="P889" s="590"/>
      <c r="Q889" s="590"/>
      <c r="R889" s="590"/>
      <c r="S889" s="590"/>
      <c r="T889" s="590"/>
      <c r="U889" s="590"/>
      <c r="V889" s="590"/>
      <c r="W889" s="590"/>
      <c r="X889" s="590"/>
      <c r="Y889" s="590"/>
      <c r="Z889" s="590"/>
    </row>
    <row r="890" spans="1:26" ht="15.75" customHeight="1">
      <c r="A890" s="590"/>
      <c r="B890" s="590"/>
      <c r="C890" s="590"/>
      <c r="D890" s="590"/>
      <c r="E890" s="590"/>
      <c r="F890" s="590"/>
      <c r="G890" s="590"/>
      <c r="H890" s="590"/>
      <c r="I890" s="590"/>
      <c r="J890" s="590"/>
      <c r="K890" s="590"/>
      <c r="L890" s="590"/>
      <c r="M890" s="590"/>
      <c r="N890" s="590"/>
      <c r="O890" s="590"/>
      <c r="P890" s="590"/>
      <c r="Q890" s="590"/>
      <c r="R890" s="590"/>
      <c r="S890" s="590"/>
      <c r="T890" s="590"/>
      <c r="U890" s="590"/>
      <c r="V890" s="590"/>
      <c r="W890" s="590"/>
      <c r="X890" s="590"/>
      <c r="Y890" s="590"/>
      <c r="Z890" s="590"/>
    </row>
    <row r="891" spans="1:26" ht="15.75" customHeight="1">
      <c r="A891" s="590"/>
      <c r="B891" s="590"/>
      <c r="C891" s="590"/>
      <c r="D891" s="590"/>
      <c r="E891" s="590"/>
      <c r="F891" s="590"/>
      <c r="G891" s="590"/>
      <c r="H891" s="590"/>
      <c r="I891" s="590"/>
      <c r="J891" s="590"/>
      <c r="K891" s="590"/>
      <c r="L891" s="590"/>
      <c r="M891" s="590"/>
      <c r="N891" s="590"/>
      <c r="O891" s="590"/>
      <c r="P891" s="590"/>
      <c r="Q891" s="590"/>
      <c r="R891" s="590"/>
      <c r="S891" s="590"/>
      <c r="T891" s="590"/>
      <c r="U891" s="590"/>
      <c r="V891" s="590"/>
      <c r="W891" s="590"/>
      <c r="X891" s="590"/>
      <c r="Y891" s="590"/>
      <c r="Z891" s="590"/>
    </row>
    <row r="892" spans="1:26" ht="15.75" customHeight="1">
      <c r="A892" s="590"/>
      <c r="B892" s="590"/>
      <c r="C892" s="590"/>
      <c r="D892" s="590"/>
      <c r="E892" s="590"/>
      <c r="F892" s="590"/>
      <c r="G892" s="590"/>
      <c r="H892" s="590"/>
      <c r="I892" s="590"/>
      <c r="J892" s="590"/>
      <c r="K892" s="590"/>
      <c r="L892" s="590"/>
      <c r="M892" s="590"/>
      <c r="N892" s="590"/>
      <c r="O892" s="590"/>
      <c r="P892" s="590"/>
      <c r="Q892" s="590"/>
      <c r="R892" s="590"/>
      <c r="S892" s="590"/>
      <c r="T892" s="590"/>
      <c r="U892" s="590"/>
      <c r="V892" s="590"/>
      <c r="W892" s="590"/>
      <c r="X892" s="590"/>
      <c r="Y892" s="590"/>
      <c r="Z892" s="590"/>
    </row>
    <row r="893" spans="1:26" ht="15.75" customHeight="1">
      <c r="A893" s="590"/>
      <c r="B893" s="590"/>
      <c r="C893" s="590"/>
      <c r="D893" s="590"/>
      <c r="E893" s="590"/>
      <c r="F893" s="590"/>
      <c r="G893" s="590"/>
      <c r="H893" s="590"/>
      <c r="I893" s="590"/>
      <c r="J893" s="590"/>
      <c r="K893" s="590"/>
      <c r="L893" s="590"/>
      <c r="M893" s="590"/>
      <c r="N893" s="590"/>
      <c r="O893" s="590"/>
      <c r="P893" s="590"/>
      <c r="Q893" s="590"/>
      <c r="R893" s="590"/>
      <c r="S893" s="590"/>
      <c r="T893" s="590"/>
      <c r="U893" s="590"/>
      <c r="V893" s="590"/>
      <c r="W893" s="590"/>
      <c r="X893" s="590"/>
      <c r="Y893" s="590"/>
      <c r="Z893" s="590"/>
    </row>
    <row r="894" spans="1:26" ht="15.75" customHeight="1">
      <c r="A894" s="590"/>
      <c r="B894" s="590"/>
      <c r="C894" s="590"/>
      <c r="D894" s="590"/>
      <c r="E894" s="590"/>
      <c r="F894" s="590"/>
      <c r="G894" s="590"/>
      <c r="H894" s="590"/>
      <c r="I894" s="590"/>
      <c r="J894" s="590"/>
      <c r="K894" s="590"/>
      <c r="L894" s="590"/>
      <c r="M894" s="590"/>
      <c r="N894" s="590"/>
      <c r="O894" s="590"/>
      <c r="P894" s="590"/>
      <c r="Q894" s="590"/>
      <c r="R894" s="590"/>
      <c r="S894" s="590"/>
      <c r="T894" s="590"/>
      <c r="U894" s="590"/>
      <c r="V894" s="590"/>
      <c r="W894" s="590"/>
      <c r="X894" s="590"/>
      <c r="Y894" s="590"/>
      <c r="Z894" s="590"/>
    </row>
    <row r="895" spans="1:26" ht="15.75" customHeight="1">
      <c r="A895" s="590"/>
      <c r="B895" s="590"/>
      <c r="C895" s="590"/>
      <c r="D895" s="590"/>
      <c r="E895" s="590"/>
      <c r="F895" s="590"/>
      <c r="G895" s="590"/>
      <c r="H895" s="590"/>
      <c r="I895" s="590"/>
      <c r="J895" s="590"/>
      <c r="K895" s="590"/>
      <c r="L895" s="590"/>
      <c r="M895" s="590"/>
      <c r="N895" s="590"/>
      <c r="O895" s="590"/>
      <c r="P895" s="590"/>
      <c r="Q895" s="590"/>
      <c r="R895" s="590"/>
      <c r="S895" s="590"/>
      <c r="T895" s="590"/>
      <c r="U895" s="590"/>
      <c r="V895" s="590"/>
      <c r="W895" s="590"/>
      <c r="X895" s="590"/>
      <c r="Y895" s="590"/>
      <c r="Z895" s="590"/>
    </row>
    <row r="896" spans="1:26" ht="15.75" customHeight="1">
      <c r="A896" s="590"/>
      <c r="B896" s="590"/>
      <c r="C896" s="590"/>
      <c r="D896" s="590"/>
      <c r="E896" s="590"/>
      <c r="F896" s="590"/>
      <c r="G896" s="590"/>
      <c r="H896" s="590"/>
      <c r="I896" s="590"/>
      <c r="J896" s="590"/>
      <c r="K896" s="590"/>
      <c r="L896" s="590"/>
      <c r="M896" s="590"/>
      <c r="N896" s="590"/>
      <c r="O896" s="590"/>
      <c r="P896" s="590"/>
      <c r="Q896" s="590"/>
      <c r="R896" s="590"/>
      <c r="S896" s="590"/>
      <c r="T896" s="590"/>
      <c r="U896" s="590"/>
      <c r="V896" s="590"/>
      <c r="W896" s="590"/>
      <c r="X896" s="590"/>
      <c r="Y896" s="590"/>
      <c r="Z896" s="590"/>
    </row>
    <row r="897" spans="1:26" ht="15.75" customHeight="1">
      <c r="A897" s="590"/>
      <c r="B897" s="590"/>
      <c r="C897" s="590"/>
      <c r="D897" s="590"/>
      <c r="E897" s="590"/>
      <c r="F897" s="590"/>
      <c r="G897" s="590"/>
      <c r="H897" s="590"/>
      <c r="I897" s="590"/>
      <c r="J897" s="590"/>
      <c r="K897" s="590"/>
      <c r="L897" s="590"/>
      <c r="M897" s="590"/>
      <c r="N897" s="590"/>
      <c r="O897" s="590"/>
      <c r="P897" s="590"/>
      <c r="Q897" s="590"/>
      <c r="R897" s="590"/>
      <c r="S897" s="590"/>
      <c r="T897" s="590"/>
      <c r="U897" s="590"/>
      <c r="V897" s="590"/>
      <c r="W897" s="590"/>
      <c r="X897" s="590"/>
      <c r="Y897" s="590"/>
      <c r="Z897" s="590"/>
    </row>
    <row r="898" spans="1:26" ht="15.75" customHeight="1">
      <c r="A898" s="590"/>
      <c r="B898" s="590"/>
      <c r="C898" s="590"/>
      <c r="D898" s="590"/>
      <c r="E898" s="590"/>
      <c r="F898" s="590"/>
      <c r="G898" s="590"/>
      <c r="H898" s="590"/>
      <c r="I898" s="590"/>
      <c r="J898" s="590"/>
      <c r="K898" s="590"/>
      <c r="L898" s="590"/>
      <c r="M898" s="590"/>
      <c r="N898" s="590"/>
      <c r="O898" s="590"/>
      <c r="P898" s="590"/>
      <c r="Q898" s="590"/>
      <c r="R898" s="590"/>
      <c r="S898" s="590"/>
      <c r="T898" s="590"/>
      <c r="U898" s="590"/>
      <c r="V898" s="590"/>
      <c r="W898" s="590"/>
      <c r="X898" s="590"/>
      <c r="Y898" s="590"/>
      <c r="Z898" s="590"/>
    </row>
    <row r="899" spans="1:26" ht="15.75" customHeight="1">
      <c r="A899" s="590"/>
      <c r="B899" s="590"/>
      <c r="C899" s="590"/>
      <c r="D899" s="590"/>
      <c r="E899" s="590"/>
      <c r="F899" s="590"/>
      <c r="G899" s="590"/>
      <c r="H899" s="590"/>
      <c r="I899" s="590"/>
      <c r="J899" s="590"/>
      <c r="K899" s="590"/>
      <c r="L899" s="590"/>
      <c r="M899" s="590"/>
      <c r="N899" s="590"/>
      <c r="O899" s="590"/>
      <c r="P899" s="590"/>
      <c r="Q899" s="590"/>
      <c r="R899" s="590"/>
      <c r="S899" s="590"/>
      <c r="T899" s="590"/>
      <c r="U899" s="590"/>
      <c r="V899" s="590"/>
      <c r="W899" s="590"/>
      <c r="X899" s="590"/>
      <c r="Y899" s="590"/>
      <c r="Z899" s="590"/>
    </row>
    <row r="900" spans="1:26" ht="15.75" customHeight="1">
      <c r="A900" s="590"/>
      <c r="B900" s="590"/>
      <c r="C900" s="590"/>
      <c r="D900" s="590"/>
      <c r="E900" s="590"/>
      <c r="F900" s="590"/>
      <c r="G900" s="590"/>
      <c r="H900" s="590"/>
      <c r="I900" s="590"/>
      <c r="J900" s="590"/>
      <c r="K900" s="590"/>
      <c r="L900" s="590"/>
      <c r="M900" s="590"/>
      <c r="N900" s="590"/>
      <c r="O900" s="590"/>
      <c r="P900" s="590"/>
      <c r="Q900" s="590"/>
      <c r="R900" s="590"/>
      <c r="S900" s="590"/>
      <c r="T900" s="590"/>
      <c r="U900" s="590"/>
      <c r="V900" s="590"/>
      <c r="W900" s="590"/>
      <c r="X900" s="590"/>
      <c r="Y900" s="590"/>
      <c r="Z900" s="590"/>
    </row>
    <row r="901" spans="1:26" ht="15.75" customHeight="1">
      <c r="A901" s="590"/>
      <c r="B901" s="590"/>
      <c r="C901" s="590"/>
      <c r="D901" s="590"/>
      <c r="E901" s="590"/>
      <c r="F901" s="590"/>
      <c r="G901" s="590"/>
      <c r="H901" s="590"/>
      <c r="I901" s="590"/>
      <c r="J901" s="590"/>
      <c r="K901" s="590"/>
      <c r="L901" s="590"/>
      <c r="M901" s="590"/>
      <c r="N901" s="590"/>
      <c r="O901" s="590"/>
      <c r="P901" s="590"/>
      <c r="Q901" s="590"/>
      <c r="R901" s="590"/>
      <c r="S901" s="590"/>
      <c r="T901" s="590"/>
      <c r="U901" s="590"/>
      <c r="V901" s="590"/>
      <c r="W901" s="590"/>
      <c r="X901" s="590"/>
      <c r="Y901" s="590"/>
      <c r="Z901" s="590"/>
    </row>
    <row r="902" spans="1:26" ht="15.75" customHeight="1">
      <c r="A902" s="590"/>
      <c r="B902" s="590"/>
      <c r="C902" s="590"/>
      <c r="D902" s="590"/>
      <c r="E902" s="590"/>
      <c r="F902" s="590"/>
      <c r="G902" s="590"/>
      <c r="H902" s="590"/>
      <c r="I902" s="590"/>
      <c r="J902" s="590"/>
      <c r="K902" s="590"/>
      <c r="L902" s="590"/>
      <c r="M902" s="590"/>
      <c r="N902" s="590"/>
      <c r="O902" s="590"/>
      <c r="P902" s="590"/>
      <c r="Q902" s="590"/>
      <c r="R902" s="590"/>
      <c r="S902" s="590"/>
      <c r="T902" s="590"/>
      <c r="U902" s="590"/>
      <c r="V902" s="590"/>
      <c r="W902" s="590"/>
      <c r="X902" s="590"/>
      <c r="Y902" s="590"/>
      <c r="Z902" s="590"/>
    </row>
    <row r="903" spans="1:26" ht="15.75" customHeight="1">
      <c r="A903" s="590"/>
      <c r="B903" s="590"/>
      <c r="C903" s="590"/>
      <c r="D903" s="590"/>
      <c r="E903" s="590"/>
      <c r="F903" s="590"/>
      <c r="G903" s="590"/>
      <c r="H903" s="590"/>
      <c r="I903" s="590"/>
      <c r="J903" s="590"/>
      <c r="K903" s="590"/>
      <c r="L903" s="590"/>
      <c r="M903" s="590"/>
      <c r="N903" s="590"/>
      <c r="O903" s="590"/>
      <c r="P903" s="590"/>
      <c r="Q903" s="590"/>
      <c r="R903" s="590"/>
      <c r="S903" s="590"/>
      <c r="T903" s="590"/>
      <c r="U903" s="590"/>
      <c r="V903" s="590"/>
      <c r="W903" s="590"/>
      <c r="X903" s="590"/>
      <c r="Y903" s="590"/>
      <c r="Z903" s="590"/>
    </row>
    <row r="904" spans="1:26" ht="15.75" customHeight="1">
      <c r="A904" s="590"/>
      <c r="B904" s="590"/>
      <c r="C904" s="590"/>
      <c r="D904" s="590"/>
      <c r="E904" s="590"/>
      <c r="F904" s="590"/>
      <c r="G904" s="590"/>
      <c r="H904" s="590"/>
      <c r="I904" s="590"/>
      <c r="J904" s="590"/>
      <c r="K904" s="590"/>
      <c r="L904" s="590"/>
      <c r="M904" s="590"/>
      <c r="N904" s="590"/>
      <c r="O904" s="590"/>
      <c r="P904" s="590"/>
      <c r="Q904" s="590"/>
      <c r="R904" s="590"/>
      <c r="S904" s="590"/>
      <c r="T904" s="590"/>
      <c r="U904" s="590"/>
      <c r="V904" s="590"/>
      <c r="W904" s="590"/>
      <c r="X904" s="590"/>
      <c r="Y904" s="590"/>
      <c r="Z904" s="590"/>
    </row>
    <row r="905" spans="1:26" ht="15.75" customHeight="1">
      <c r="A905" s="590"/>
      <c r="B905" s="590"/>
      <c r="C905" s="590"/>
      <c r="D905" s="590"/>
      <c r="E905" s="590"/>
      <c r="F905" s="590"/>
      <c r="G905" s="590"/>
      <c r="H905" s="590"/>
      <c r="I905" s="590"/>
      <c r="J905" s="590"/>
      <c r="K905" s="590"/>
      <c r="L905" s="590"/>
      <c r="M905" s="590"/>
      <c r="N905" s="590"/>
      <c r="O905" s="590"/>
      <c r="P905" s="590"/>
      <c r="Q905" s="590"/>
      <c r="R905" s="590"/>
      <c r="S905" s="590"/>
      <c r="T905" s="590"/>
      <c r="U905" s="590"/>
      <c r="V905" s="590"/>
      <c r="W905" s="590"/>
      <c r="X905" s="590"/>
      <c r="Y905" s="590"/>
      <c r="Z905" s="590"/>
    </row>
    <row r="906" spans="1:26" ht="15.75" customHeight="1">
      <c r="A906" s="590"/>
      <c r="B906" s="590"/>
      <c r="C906" s="590"/>
      <c r="D906" s="590"/>
      <c r="E906" s="590"/>
      <c r="F906" s="590"/>
      <c r="G906" s="590"/>
      <c r="H906" s="590"/>
      <c r="I906" s="590"/>
      <c r="J906" s="590"/>
      <c r="K906" s="590"/>
      <c r="L906" s="590"/>
      <c r="M906" s="590"/>
      <c r="N906" s="590"/>
      <c r="O906" s="590"/>
      <c r="P906" s="590"/>
      <c r="Q906" s="590"/>
      <c r="R906" s="590"/>
      <c r="S906" s="590"/>
      <c r="T906" s="590"/>
      <c r="U906" s="590"/>
      <c r="V906" s="590"/>
      <c r="W906" s="590"/>
      <c r="X906" s="590"/>
      <c r="Y906" s="590"/>
      <c r="Z906" s="590"/>
    </row>
    <row r="907" spans="1:26" ht="15.75" customHeight="1">
      <c r="A907" s="590"/>
      <c r="B907" s="590"/>
      <c r="C907" s="590"/>
      <c r="D907" s="590"/>
      <c r="E907" s="590"/>
      <c r="F907" s="590"/>
      <c r="G907" s="590"/>
      <c r="H907" s="590"/>
      <c r="I907" s="590"/>
      <c r="J907" s="590"/>
      <c r="K907" s="590"/>
      <c r="L907" s="590"/>
      <c r="M907" s="590"/>
      <c r="N907" s="590"/>
      <c r="O907" s="590"/>
      <c r="P907" s="590"/>
      <c r="Q907" s="590"/>
      <c r="R907" s="590"/>
      <c r="S907" s="590"/>
      <c r="T907" s="590"/>
      <c r="U907" s="590"/>
      <c r="V907" s="590"/>
      <c r="W907" s="590"/>
      <c r="X907" s="590"/>
      <c r="Y907" s="590"/>
      <c r="Z907" s="590"/>
    </row>
    <row r="908" spans="1:26" ht="15.75" customHeight="1">
      <c r="A908" s="590"/>
      <c r="B908" s="590"/>
      <c r="C908" s="590"/>
      <c r="D908" s="590"/>
      <c r="E908" s="590"/>
      <c r="F908" s="590"/>
      <c r="G908" s="590"/>
      <c r="H908" s="590"/>
      <c r="I908" s="590"/>
      <c r="J908" s="590"/>
      <c r="K908" s="590"/>
      <c r="L908" s="590"/>
      <c r="M908" s="590"/>
      <c r="N908" s="590"/>
      <c r="O908" s="590"/>
      <c r="P908" s="590"/>
      <c r="Q908" s="590"/>
      <c r="R908" s="590"/>
      <c r="S908" s="590"/>
      <c r="T908" s="590"/>
      <c r="U908" s="590"/>
      <c r="V908" s="590"/>
      <c r="W908" s="590"/>
      <c r="X908" s="590"/>
      <c r="Y908" s="590"/>
      <c r="Z908" s="590"/>
    </row>
    <row r="909" spans="1:26" ht="15.75" customHeight="1">
      <c r="A909" s="590"/>
      <c r="B909" s="590"/>
      <c r="C909" s="590"/>
      <c r="D909" s="590"/>
      <c r="E909" s="590"/>
      <c r="F909" s="590"/>
      <c r="G909" s="590"/>
      <c r="H909" s="590"/>
      <c r="I909" s="590"/>
      <c r="J909" s="590"/>
      <c r="K909" s="590"/>
      <c r="L909" s="590"/>
      <c r="M909" s="590"/>
      <c r="N909" s="590"/>
      <c r="O909" s="590"/>
      <c r="P909" s="590"/>
      <c r="Q909" s="590"/>
      <c r="R909" s="590"/>
      <c r="S909" s="590"/>
      <c r="T909" s="590"/>
      <c r="U909" s="590"/>
      <c r="V909" s="590"/>
      <c r="W909" s="590"/>
      <c r="X909" s="590"/>
      <c r="Y909" s="590"/>
      <c r="Z909" s="590"/>
    </row>
    <row r="910" spans="1:26" ht="15.75" customHeight="1">
      <c r="A910" s="590"/>
      <c r="B910" s="590"/>
      <c r="C910" s="590"/>
      <c r="D910" s="590"/>
      <c r="E910" s="590"/>
      <c r="F910" s="590"/>
      <c r="G910" s="590"/>
      <c r="H910" s="590"/>
      <c r="I910" s="590"/>
      <c r="J910" s="590"/>
      <c r="K910" s="590"/>
      <c r="L910" s="590"/>
      <c r="M910" s="590"/>
      <c r="N910" s="590"/>
      <c r="O910" s="590"/>
      <c r="P910" s="590"/>
      <c r="Q910" s="590"/>
      <c r="R910" s="590"/>
      <c r="S910" s="590"/>
      <c r="T910" s="590"/>
      <c r="U910" s="590"/>
      <c r="V910" s="590"/>
      <c r="W910" s="590"/>
      <c r="X910" s="590"/>
      <c r="Y910" s="590"/>
      <c r="Z910" s="590"/>
    </row>
    <row r="911" spans="1:26" ht="15.75" customHeight="1">
      <c r="A911" s="590"/>
      <c r="B911" s="590"/>
      <c r="C911" s="590"/>
      <c r="D911" s="590"/>
      <c r="E911" s="590"/>
      <c r="F911" s="590"/>
      <c r="G911" s="590"/>
      <c r="H911" s="590"/>
      <c r="I911" s="590"/>
      <c r="J911" s="590"/>
      <c r="K911" s="590"/>
      <c r="L911" s="590"/>
      <c r="M911" s="590"/>
      <c r="N911" s="590"/>
      <c r="O911" s="590"/>
      <c r="P911" s="590"/>
      <c r="Q911" s="590"/>
      <c r="R911" s="590"/>
      <c r="S911" s="590"/>
      <c r="T911" s="590"/>
      <c r="U911" s="590"/>
      <c r="V911" s="590"/>
      <c r="W911" s="590"/>
      <c r="X911" s="590"/>
      <c r="Y911" s="590"/>
      <c r="Z911" s="590"/>
    </row>
    <row r="912" spans="1:26" ht="15.75" customHeight="1">
      <c r="A912" s="590"/>
      <c r="B912" s="590"/>
      <c r="C912" s="590"/>
      <c r="D912" s="590"/>
      <c r="E912" s="590"/>
      <c r="F912" s="590"/>
      <c r="G912" s="590"/>
      <c r="H912" s="590"/>
      <c r="I912" s="590"/>
      <c r="J912" s="590"/>
      <c r="K912" s="590"/>
      <c r="L912" s="590"/>
      <c r="M912" s="590"/>
      <c r="N912" s="590"/>
      <c r="O912" s="590"/>
      <c r="P912" s="590"/>
      <c r="Q912" s="590"/>
      <c r="R912" s="590"/>
      <c r="S912" s="590"/>
      <c r="T912" s="590"/>
      <c r="U912" s="590"/>
      <c r="V912" s="590"/>
      <c r="W912" s="590"/>
      <c r="X912" s="590"/>
      <c r="Y912" s="590"/>
      <c r="Z912" s="590"/>
    </row>
    <row r="913" spans="1:26" ht="15.75" customHeight="1">
      <c r="A913" s="590"/>
      <c r="B913" s="590"/>
      <c r="C913" s="590"/>
      <c r="D913" s="590"/>
      <c r="E913" s="590"/>
      <c r="F913" s="590"/>
      <c r="G913" s="590"/>
      <c r="H913" s="590"/>
      <c r="I913" s="590"/>
      <c r="J913" s="590"/>
      <c r="K913" s="590"/>
      <c r="L913" s="590"/>
      <c r="M913" s="590"/>
      <c r="N913" s="590"/>
      <c r="O913" s="590"/>
      <c r="P913" s="590"/>
      <c r="Q913" s="590"/>
      <c r="R913" s="590"/>
      <c r="S913" s="590"/>
      <c r="T913" s="590"/>
      <c r="U913" s="590"/>
      <c r="V913" s="590"/>
      <c r="W913" s="590"/>
      <c r="X913" s="590"/>
      <c r="Y913" s="590"/>
      <c r="Z913" s="590"/>
    </row>
    <row r="914" spans="1:26" ht="15.75" customHeight="1">
      <c r="A914" s="590"/>
      <c r="B914" s="590"/>
      <c r="C914" s="590"/>
      <c r="D914" s="590"/>
      <c r="E914" s="590"/>
      <c r="F914" s="590"/>
      <c r="G914" s="590"/>
      <c r="H914" s="590"/>
      <c r="I914" s="590"/>
      <c r="J914" s="590"/>
      <c r="K914" s="590"/>
      <c r="L914" s="590"/>
      <c r="M914" s="590"/>
      <c r="N914" s="590"/>
      <c r="O914" s="590"/>
      <c r="P914" s="590"/>
      <c r="Q914" s="590"/>
      <c r="R914" s="590"/>
      <c r="S914" s="590"/>
      <c r="T914" s="590"/>
      <c r="U914" s="590"/>
      <c r="V914" s="590"/>
      <c r="W914" s="590"/>
      <c r="X914" s="590"/>
      <c r="Y914" s="590"/>
      <c r="Z914" s="590"/>
    </row>
    <row r="915" spans="1:26" ht="15.75" customHeight="1">
      <c r="A915" s="590"/>
      <c r="B915" s="590"/>
      <c r="C915" s="590"/>
      <c r="D915" s="590"/>
      <c r="E915" s="590"/>
      <c r="F915" s="590"/>
      <c r="G915" s="590"/>
      <c r="H915" s="590"/>
      <c r="I915" s="590"/>
      <c r="J915" s="590"/>
      <c r="K915" s="590"/>
      <c r="L915" s="590"/>
      <c r="M915" s="590"/>
      <c r="N915" s="590"/>
      <c r="O915" s="590"/>
      <c r="P915" s="590"/>
      <c r="Q915" s="590"/>
      <c r="R915" s="590"/>
      <c r="S915" s="590"/>
      <c r="T915" s="590"/>
      <c r="U915" s="590"/>
      <c r="V915" s="590"/>
      <c r="W915" s="590"/>
      <c r="X915" s="590"/>
      <c r="Y915" s="590"/>
      <c r="Z915" s="590"/>
    </row>
    <row r="916" spans="1:26" ht="15.75" customHeight="1">
      <c r="A916" s="590"/>
      <c r="B916" s="590"/>
      <c r="C916" s="590"/>
      <c r="D916" s="590"/>
      <c r="E916" s="590"/>
      <c r="F916" s="590"/>
      <c r="G916" s="590"/>
      <c r="H916" s="590"/>
      <c r="I916" s="590"/>
      <c r="J916" s="590"/>
      <c r="K916" s="590"/>
      <c r="L916" s="590"/>
      <c r="M916" s="590"/>
      <c r="N916" s="590"/>
      <c r="O916" s="590"/>
      <c r="P916" s="590"/>
      <c r="Q916" s="590"/>
      <c r="R916" s="590"/>
      <c r="S916" s="590"/>
      <c r="T916" s="590"/>
      <c r="U916" s="590"/>
      <c r="V916" s="590"/>
      <c r="W916" s="590"/>
      <c r="X916" s="590"/>
      <c r="Y916" s="590"/>
      <c r="Z916" s="590"/>
    </row>
    <row r="917" spans="1:26" ht="15.75" customHeight="1">
      <c r="A917" s="590"/>
      <c r="B917" s="590"/>
      <c r="C917" s="590"/>
      <c r="D917" s="590"/>
      <c r="E917" s="590"/>
      <c r="F917" s="590"/>
      <c r="G917" s="590"/>
      <c r="H917" s="590"/>
      <c r="I917" s="590"/>
      <c r="J917" s="590"/>
      <c r="K917" s="590"/>
      <c r="L917" s="590"/>
      <c r="M917" s="590"/>
      <c r="N917" s="590"/>
      <c r="O917" s="590"/>
      <c r="P917" s="590"/>
      <c r="Q917" s="590"/>
      <c r="R917" s="590"/>
      <c r="S917" s="590"/>
      <c r="T917" s="590"/>
      <c r="U917" s="590"/>
      <c r="V917" s="590"/>
      <c r="W917" s="590"/>
      <c r="X917" s="590"/>
      <c r="Y917" s="590"/>
      <c r="Z917" s="590"/>
    </row>
    <row r="918" spans="1:26" ht="15.75" customHeight="1">
      <c r="A918" s="590"/>
      <c r="B918" s="590"/>
      <c r="C918" s="590"/>
      <c r="D918" s="590"/>
      <c r="E918" s="590"/>
      <c r="F918" s="590"/>
      <c r="G918" s="590"/>
      <c r="H918" s="590"/>
      <c r="I918" s="590"/>
      <c r="J918" s="590"/>
      <c r="K918" s="590"/>
      <c r="L918" s="590"/>
      <c r="M918" s="590"/>
      <c r="N918" s="590"/>
      <c r="O918" s="590"/>
      <c r="P918" s="590"/>
      <c r="Q918" s="590"/>
      <c r="R918" s="590"/>
      <c r="S918" s="590"/>
      <c r="T918" s="590"/>
      <c r="U918" s="590"/>
      <c r="V918" s="590"/>
      <c r="W918" s="590"/>
      <c r="X918" s="590"/>
      <c r="Y918" s="590"/>
      <c r="Z918" s="590"/>
    </row>
    <row r="919" spans="1:26" ht="15.75" customHeight="1">
      <c r="A919" s="590"/>
      <c r="B919" s="590"/>
      <c r="C919" s="590"/>
      <c r="D919" s="590"/>
      <c r="E919" s="590"/>
      <c r="F919" s="590"/>
      <c r="G919" s="590"/>
      <c r="H919" s="590"/>
      <c r="I919" s="590"/>
      <c r="J919" s="590"/>
      <c r="K919" s="590"/>
      <c r="L919" s="590"/>
      <c r="M919" s="590"/>
      <c r="N919" s="590"/>
      <c r="O919" s="590"/>
      <c r="P919" s="590"/>
      <c r="Q919" s="590"/>
      <c r="R919" s="590"/>
      <c r="S919" s="590"/>
      <c r="T919" s="590"/>
      <c r="U919" s="590"/>
      <c r="V919" s="590"/>
      <c r="W919" s="590"/>
      <c r="X919" s="590"/>
      <c r="Y919" s="590"/>
      <c r="Z919" s="590"/>
    </row>
    <row r="920" spans="1:26" ht="15.75" customHeight="1">
      <c r="A920" s="590"/>
      <c r="B920" s="590"/>
      <c r="C920" s="590"/>
      <c r="D920" s="590"/>
      <c r="E920" s="590"/>
      <c r="F920" s="590"/>
      <c r="G920" s="590"/>
      <c r="H920" s="590"/>
      <c r="I920" s="590"/>
      <c r="J920" s="590"/>
      <c r="K920" s="590"/>
      <c r="L920" s="590"/>
      <c r="M920" s="590"/>
      <c r="N920" s="590"/>
      <c r="O920" s="590"/>
      <c r="P920" s="590"/>
      <c r="Q920" s="590"/>
      <c r="R920" s="590"/>
      <c r="S920" s="590"/>
      <c r="T920" s="590"/>
      <c r="U920" s="590"/>
      <c r="V920" s="590"/>
      <c r="W920" s="590"/>
      <c r="X920" s="590"/>
      <c r="Y920" s="590"/>
      <c r="Z920" s="590"/>
    </row>
    <row r="921" spans="1:26" ht="15.75" customHeight="1">
      <c r="A921" s="590"/>
      <c r="B921" s="590"/>
      <c r="C921" s="590"/>
      <c r="D921" s="590"/>
      <c r="E921" s="590"/>
      <c r="F921" s="590"/>
      <c r="G921" s="590"/>
      <c r="H921" s="590"/>
      <c r="I921" s="590"/>
      <c r="J921" s="590"/>
      <c r="K921" s="590"/>
      <c r="L921" s="590"/>
      <c r="M921" s="590"/>
      <c r="N921" s="590"/>
      <c r="O921" s="590"/>
      <c r="P921" s="590"/>
      <c r="Q921" s="590"/>
      <c r="R921" s="590"/>
      <c r="S921" s="590"/>
      <c r="T921" s="590"/>
      <c r="U921" s="590"/>
      <c r="V921" s="590"/>
      <c r="W921" s="590"/>
      <c r="X921" s="590"/>
      <c r="Y921" s="590"/>
      <c r="Z921" s="590"/>
    </row>
    <row r="922" spans="1:26" ht="15.75" customHeight="1">
      <c r="A922" s="590"/>
      <c r="B922" s="590"/>
      <c r="C922" s="590"/>
      <c r="D922" s="590"/>
      <c r="E922" s="590"/>
      <c r="F922" s="590"/>
      <c r="G922" s="590"/>
      <c r="H922" s="590"/>
      <c r="I922" s="590"/>
      <c r="J922" s="590"/>
      <c r="K922" s="590"/>
      <c r="L922" s="590"/>
      <c r="M922" s="590"/>
      <c r="N922" s="590"/>
      <c r="O922" s="590"/>
      <c r="P922" s="590"/>
      <c r="Q922" s="590"/>
      <c r="R922" s="590"/>
      <c r="S922" s="590"/>
      <c r="T922" s="590"/>
      <c r="U922" s="590"/>
      <c r="V922" s="590"/>
      <c r="W922" s="590"/>
      <c r="X922" s="590"/>
      <c r="Y922" s="590"/>
      <c r="Z922" s="590"/>
    </row>
    <row r="923" spans="1:26" ht="15.75" customHeight="1">
      <c r="A923" s="590"/>
      <c r="B923" s="590"/>
      <c r="C923" s="590"/>
      <c r="D923" s="590"/>
      <c r="E923" s="590"/>
      <c r="F923" s="590"/>
      <c r="G923" s="590"/>
      <c r="H923" s="590"/>
      <c r="I923" s="590"/>
      <c r="J923" s="590"/>
      <c r="K923" s="590"/>
      <c r="L923" s="590"/>
      <c r="M923" s="590"/>
      <c r="N923" s="590"/>
      <c r="O923" s="590"/>
      <c r="P923" s="590"/>
      <c r="Q923" s="590"/>
      <c r="R923" s="590"/>
      <c r="S923" s="590"/>
      <c r="T923" s="590"/>
      <c r="U923" s="590"/>
      <c r="V923" s="590"/>
      <c r="W923" s="590"/>
      <c r="X923" s="590"/>
      <c r="Y923" s="590"/>
      <c r="Z923" s="590"/>
    </row>
    <row r="924" spans="1:26" ht="15.75" customHeight="1">
      <c r="A924" s="590"/>
      <c r="B924" s="590"/>
      <c r="C924" s="590"/>
      <c r="D924" s="590"/>
      <c r="E924" s="590"/>
      <c r="F924" s="590"/>
      <c r="G924" s="590"/>
      <c r="H924" s="590"/>
      <c r="I924" s="590"/>
      <c r="J924" s="590"/>
      <c r="K924" s="590"/>
      <c r="L924" s="590"/>
      <c r="M924" s="590"/>
      <c r="N924" s="590"/>
      <c r="O924" s="590"/>
      <c r="P924" s="590"/>
      <c r="Q924" s="590"/>
      <c r="R924" s="590"/>
      <c r="S924" s="590"/>
      <c r="T924" s="590"/>
      <c r="U924" s="590"/>
      <c r="V924" s="590"/>
      <c r="W924" s="590"/>
      <c r="X924" s="590"/>
      <c r="Y924" s="590"/>
      <c r="Z924" s="590"/>
    </row>
    <row r="925" spans="1:26" ht="15.75" customHeight="1">
      <c r="A925" s="590"/>
      <c r="B925" s="590"/>
      <c r="C925" s="590"/>
      <c r="D925" s="590"/>
      <c r="E925" s="590"/>
      <c r="F925" s="590"/>
      <c r="G925" s="590"/>
      <c r="H925" s="590"/>
      <c r="I925" s="590"/>
      <c r="J925" s="590"/>
      <c r="K925" s="590"/>
      <c r="L925" s="590"/>
      <c r="M925" s="590"/>
      <c r="N925" s="590"/>
      <c r="O925" s="590"/>
      <c r="P925" s="590"/>
      <c r="Q925" s="590"/>
      <c r="R925" s="590"/>
      <c r="S925" s="590"/>
      <c r="T925" s="590"/>
      <c r="U925" s="590"/>
      <c r="V925" s="590"/>
      <c r="W925" s="590"/>
      <c r="X925" s="590"/>
      <c r="Y925" s="590"/>
      <c r="Z925" s="590"/>
    </row>
    <row r="926" spans="1:26" ht="15.75" customHeight="1">
      <c r="A926" s="590"/>
      <c r="B926" s="590"/>
      <c r="C926" s="590"/>
      <c r="D926" s="590"/>
      <c r="E926" s="590"/>
      <c r="F926" s="590"/>
      <c r="G926" s="590"/>
      <c r="H926" s="590"/>
      <c r="I926" s="590"/>
      <c r="J926" s="590"/>
      <c r="K926" s="590"/>
      <c r="L926" s="590"/>
      <c r="M926" s="590"/>
      <c r="N926" s="590"/>
      <c r="O926" s="590"/>
      <c r="P926" s="590"/>
      <c r="Q926" s="590"/>
      <c r="R926" s="590"/>
      <c r="S926" s="590"/>
      <c r="T926" s="590"/>
      <c r="U926" s="590"/>
      <c r="V926" s="590"/>
      <c r="W926" s="590"/>
      <c r="X926" s="590"/>
      <c r="Y926" s="590"/>
      <c r="Z926" s="590"/>
    </row>
    <row r="927" spans="1:26" ht="15.75" customHeight="1">
      <c r="A927" s="590"/>
      <c r="B927" s="590"/>
      <c r="C927" s="590"/>
      <c r="D927" s="590"/>
      <c r="E927" s="590"/>
      <c r="F927" s="590"/>
      <c r="G927" s="590"/>
      <c r="H927" s="590"/>
      <c r="I927" s="590"/>
      <c r="J927" s="590"/>
      <c r="K927" s="590"/>
      <c r="L927" s="590"/>
      <c r="M927" s="590"/>
      <c r="N927" s="590"/>
      <c r="O927" s="590"/>
      <c r="P927" s="590"/>
      <c r="Q927" s="590"/>
      <c r="R927" s="590"/>
      <c r="S927" s="590"/>
      <c r="T927" s="590"/>
      <c r="U927" s="590"/>
      <c r="V927" s="590"/>
      <c r="W927" s="590"/>
      <c r="X927" s="590"/>
      <c r="Y927" s="590"/>
      <c r="Z927" s="590"/>
    </row>
    <row r="928" spans="1:26" ht="15.75" customHeight="1">
      <c r="A928" s="590"/>
      <c r="B928" s="590"/>
      <c r="C928" s="590"/>
      <c r="D928" s="590"/>
      <c r="E928" s="590"/>
      <c r="F928" s="590"/>
      <c r="G928" s="590"/>
      <c r="H928" s="590"/>
      <c r="I928" s="590"/>
      <c r="J928" s="590"/>
      <c r="K928" s="590"/>
      <c r="L928" s="590"/>
      <c r="M928" s="590"/>
      <c r="N928" s="590"/>
      <c r="O928" s="590"/>
      <c r="P928" s="590"/>
      <c r="Q928" s="590"/>
      <c r="R928" s="590"/>
      <c r="S928" s="590"/>
      <c r="T928" s="590"/>
      <c r="U928" s="590"/>
      <c r="V928" s="590"/>
      <c r="W928" s="590"/>
      <c r="X928" s="590"/>
      <c r="Y928" s="590"/>
      <c r="Z928" s="590"/>
    </row>
    <row r="929" spans="1:26" ht="15.75" customHeight="1">
      <c r="A929" s="590"/>
      <c r="B929" s="590"/>
      <c r="C929" s="590"/>
      <c r="D929" s="590"/>
      <c r="E929" s="590"/>
      <c r="F929" s="590"/>
      <c r="G929" s="590"/>
      <c r="H929" s="590"/>
      <c r="I929" s="590"/>
      <c r="J929" s="590"/>
      <c r="K929" s="590"/>
      <c r="L929" s="590"/>
      <c r="M929" s="590"/>
      <c r="N929" s="590"/>
      <c r="O929" s="590"/>
      <c r="P929" s="590"/>
      <c r="Q929" s="590"/>
      <c r="R929" s="590"/>
      <c r="S929" s="590"/>
      <c r="T929" s="590"/>
      <c r="U929" s="590"/>
      <c r="V929" s="590"/>
      <c r="W929" s="590"/>
      <c r="X929" s="590"/>
      <c r="Y929" s="590"/>
      <c r="Z929" s="590"/>
    </row>
    <row r="930" spans="1:26" ht="15.75" customHeight="1">
      <c r="A930" s="590"/>
      <c r="B930" s="590"/>
      <c r="C930" s="590"/>
      <c r="D930" s="590"/>
      <c r="E930" s="590"/>
      <c r="F930" s="590"/>
      <c r="G930" s="590"/>
      <c r="H930" s="590"/>
      <c r="I930" s="590"/>
      <c r="J930" s="590"/>
      <c r="K930" s="590"/>
      <c r="L930" s="590"/>
      <c r="M930" s="590"/>
      <c r="N930" s="590"/>
      <c r="O930" s="590"/>
      <c r="P930" s="590"/>
      <c r="Q930" s="590"/>
      <c r="R930" s="590"/>
      <c r="S930" s="590"/>
      <c r="T930" s="590"/>
      <c r="U930" s="590"/>
      <c r="V930" s="590"/>
      <c r="W930" s="590"/>
      <c r="X930" s="590"/>
      <c r="Y930" s="590"/>
      <c r="Z930" s="590"/>
    </row>
    <row r="931" spans="1:26" ht="15.75" customHeight="1">
      <c r="A931" s="590"/>
      <c r="B931" s="590"/>
      <c r="C931" s="590"/>
      <c r="D931" s="590"/>
      <c r="E931" s="590"/>
      <c r="F931" s="590"/>
      <c r="G931" s="590"/>
      <c r="H931" s="590"/>
      <c r="I931" s="590"/>
      <c r="J931" s="590"/>
      <c r="K931" s="590"/>
      <c r="L931" s="590"/>
      <c r="M931" s="590"/>
      <c r="N931" s="590"/>
      <c r="O931" s="590"/>
      <c r="P931" s="590"/>
      <c r="Q931" s="590"/>
      <c r="R931" s="590"/>
      <c r="S931" s="590"/>
      <c r="T931" s="590"/>
      <c r="U931" s="590"/>
      <c r="V931" s="590"/>
      <c r="W931" s="590"/>
      <c r="X931" s="590"/>
      <c r="Y931" s="590"/>
      <c r="Z931" s="590"/>
    </row>
    <row r="932" spans="1:26" ht="15.75" customHeight="1">
      <c r="A932" s="590"/>
      <c r="B932" s="590"/>
      <c r="C932" s="590"/>
      <c r="D932" s="590"/>
      <c r="E932" s="590"/>
      <c r="F932" s="590"/>
      <c r="G932" s="590"/>
      <c r="H932" s="590"/>
      <c r="I932" s="590"/>
      <c r="J932" s="590"/>
      <c r="K932" s="590"/>
      <c r="L932" s="590"/>
      <c r="M932" s="590"/>
      <c r="N932" s="590"/>
      <c r="O932" s="590"/>
      <c r="P932" s="590"/>
      <c r="Q932" s="590"/>
      <c r="R932" s="590"/>
      <c r="S932" s="590"/>
      <c r="T932" s="590"/>
      <c r="U932" s="590"/>
      <c r="V932" s="590"/>
      <c r="W932" s="590"/>
      <c r="X932" s="590"/>
      <c r="Y932" s="590"/>
      <c r="Z932" s="590"/>
    </row>
    <row r="933" spans="1:26" ht="15.75" customHeight="1">
      <c r="A933" s="590"/>
      <c r="B933" s="590"/>
      <c r="C933" s="590"/>
      <c r="D933" s="590"/>
      <c r="E933" s="590"/>
      <c r="F933" s="590"/>
      <c r="G933" s="590"/>
      <c r="H933" s="590"/>
      <c r="I933" s="590"/>
      <c r="J933" s="590"/>
      <c r="K933" s="590"/>
      <c r="L933" s="590"/>
      <c r="M933" s="590"/>
      <c r="N933" s="590"/>
      <c r="O933" s="590"/>
      <c r="P933" s="590"/>
      <c r="Q933" s="590"/>
      <c r="R933" s="590"/>
      <c r="S933" s="590"/>
      <c r="T933" s="590"/>
      <c r="U933" s="590"/>
      <c r="V933" s="590"/>
      <c r="W933" s="590"/>
      <c r="X933" s="590"/>
      <c r="Y933" s="590"/>
      <c r="Z933" s="590"/>
    </row>
    <row r="934" spans="1:26" ht="15.75" customHeight="1">
      <c r="A934" s="590"/>
      <c r="B934" s="590"/>
      <c r="C934" s="590"/>
      <c r="D934" s="590"/>
      <c r="E934" s="590"/>
      <c r="F934" s="590"/>
      <c r="G934" s="590"/>
      <c r="H934" s="590"/>
      <c r="I934" s="590"/>
      <c r="J934" s="590"/>
      <c r="K934" s="590"/>
      <c r="L934" s="590"/>
      <c r="M934" s="590"/>
      <c r="N934" s="590"/>
      <c r="O934" s="590"/>
      <c r="P934" s="590"/>
      <c r="Q934" s="590"/>
      <c r="R934" s="590"/>
      <c r="S934" s="590"/>
      <c r="T934" s="590"/>
      <c r="U934" s="590"/>
      <c r="V934" s="590"/>
      <c r="W934" s="590"/>
      <c r="X934" s="590"/>
      <c r="Y934" s="590"/>
      <c r="Z934" s="590"/>
    </row>
    <row r="935" spans="1:26" ht="15.75" customHeight="1">
      <c r="A935" s="590"/>
      <c r="B935" s="590"/>
      <c r="C935" s="590"/>
      <c r="D935" s="590"/>
      <c r="E935" s="590"/>
      <c r="F935" s="590"/>
      <c r="G935" s="590"/>
      <c r="H935" s="590"/>
      <c r="I935" s="590"/>
      <c r="J935" s="590"/>
      <c r="K935" s="590"/>
      <c r="L935" s="590"/>
      <c r="M935" s="590"/>
      <c r="N935" s="590"/>
      <c r="O935" s="590"/>
      <c r="P935" s="590"/>
      <c r="Q935" s="590"/>
      <c r="R935" s="590"/>
      <c r="S935" s="590"/>
      <c r="T935" s="590"/>
      <c r="U935" s="590"/>
      <c r="V935" s="590"/>
      <c r="W935" s="590"/>
      <c r="X935" s="590"/>
      <c r="Y935" s="590"/>
      <c r="Z935" s="590"/>
    </row>
    <row r="936" spans="1:26" ht="15.75" customHeight="1">
      <c r="A936" s="590"/>
      <c r="B936" s="590"/>
      <c r="C936" s="590"/>
      <c r="D936" s="590"/>
      <c r="E936" s="590"/>
      <c r="F936" s="590"/>
      <c r="G936" s="590"/>
      <c r="H936" s="590"/>
      <c r="I936" s="590"/>
      <c r="J936" s="590"/>
      <c r="K936" s="590"/>
      <c r="L936" s="590"/>
      <c r="M936" s="590"/>
      <c r="N936" s="590"/>
      <c r="O936" s="590"/>
      <c r="P936" s="590"/>
      <c r="Q936" s="590"/>
      <c r="R936" s="590"/>
      <c r="S936" s="590"/>
      <c r="T936" s="590"/>
      <c r="U936" s="590"/>
      <c r="V936" s="590"/>
      <c r="W936" s="590"/>
      <c r="X936" s="590"/>
      <c r="Y936" s="590"/>
      <c r="Z936" s="590"/>
    </row>
    <row r="937" spans="1:26" ht="15.75" customHeight="1">
      <c r="A937" s="590"/>
      <c r="B937" s="590"/>
      <c r="C937" s="590"/>
      <c r="D937" s="590"/>
      <c r="E937" s="590"/>
      <c r="F937" s="590"/>
      <c r="G937" s="590"/>
      <c r="H937" s="590"/>
      <c r="I937" s="590"/>
      <c r="J937" s="590"/>
      <c r="K937" s="590"/>
      <c r="L937" s="590"/>
      <c r="M937" s="590"/>
      <c r="N937" s="590"/>
      <c r="O937" s="590"/>
      <c r="P937" s="590"/>
      <c r="Q937" s="590"/>
      <c r="R937" s="590"/>
      <c r="S937" s="590"/>
      <c r="T937" s="590"/>
      <c r="U937" s="590"/>
      <c r="V937" s="590"/>
      <c r="W937" s="590"/>
      <c r="X937" s="590"/>
      <c r="Y937" s="590"/>
      <c r="Z937" s="590"/>
    </row>
    <row r="938" spans="1:26" ht="15.75" customHeight="1">
      <c r="A938" s="590"/>
      <c r="B938" s="590"/>
      <c r="C938" s="590"/>
      <c r="D938" s="590"/>
      <c r="E938" s="590"/>
      <c r="F938" s="590"/>
      <c r="G938" s="590"/>
      <c r="H938" s="590"/>
      <c r="I938" s="590"/>
      <c r="J938" s="590"/>
      <c r="K938" s="590"/>
      <c r="L938" s="590"/>
      <c r="M938" s="590"/>
      <c r="N938" s="590"/>
      <c r="O938" s="590"/>
      <c r="P938" s="590"/>
      <c r="Q938" s="590"/>
      <c r="R938" s="590"/>
      <c r="S938" s="590"/>
      <c r="T938" s="590"/>
      <c r="U938" s="590"/>
      <c r="V938" s="590"/>
      <c r="W938" s="590"/>
      <c r="X938" s="590"/>
      <c r="Y938" s="590"/>
      <c r="Z938" s="590"/>
    </row>
    <row r="939" spans="1:26" ht="15.75" customHeight="1">
      <c r="A939" s="590"/>
      <c r="B939" s="590"/>
      <c r="C939" s="590"/>
      <c r="D939" s="590"/>
      <c r="E939" s="590"/>
      <c r="F939" s="590"/>
      <c r="G939" s="590"/>
      <c r="H939" s="590"/>
      <c r="I939" s="590"/>
      <c r="J939" s="590"/>
      <c r="K939" s="590"/>
      <c r="L939" s="590"/>
      <c r="M939" s="590"/>
      <c r="N939" s="590"/>
      <c r="O939" s="590"/>
      <c r="P939" s="590"/>
      <c r="Q939" s="590"/>
      <c r="R939" s="590"/>
      <c r="S939" s="590"/>
      <c r="T939" s="590"/>
      <c r="U939" s="590"/>
      <c r="V939" s="590"/>
      <c r="W939" s="590"/>
      <c r="X939" s="590"/>
      <c r="Y939" s="590"/>
      <c r="Z939" s="590"/>
    </row>
    <row r="940" spans="1:26" ht="15.75" customHeight="1">
      <c r="A940" s="590"/>
      <c r="B940" s="590"/>
      <c r="C940" s="590"/>
      <c r="D940" s="590"/>
      <c r="E940" s="590"/>
      <c r="F940" s="590"/>
      <c r="G940" s="590"/>
      <c r="H940" s="590"/>
      <c r="I940" s="590"/>
      <c r="J940" s="590"/>
      <c r="K940" s="590"/>
      <c r="L940" s="590"/>
      <c r="M940" s="590"/>
      <c r="N940" s="590"/>
      <c r="O940" s="590"/>
      <c r="P940" s="590"/>
      <c r="Q940" s="590"/>
      <c r="R940" s="590"/>
      <c r="S940" s="590"/>
      <c r="T940" s="590"/>
      <c r="U940" s="590"/>
      <c r="V940" s="590"/>
      <c r="W940" s="590"/>
      <c r="X940" s="590"/>
      <c r="Y940" s="590"/>
      <c r="Z940" s="590"/>
    </row>
    <row r="941" spans="1:26" ht="15.75" customHeight="1">
      <c r="A941" s="590"/>
      <c r="B941" s="590"/>
      <c r="C941" s="590"/>
      <c r="D941" s="590"/>
      <c r="E941" s="590"/>
      <c r="F941" s="590"/>
      <c r="G941" s="590"/>
      <c r="H941" s="590"/>
      <c r="I941" s="590"/>
      <c r="J941" s="590"/>
      <c r="K941" s="590"/>
      <c r="L941" s="590"/>
      <c r="M941" s="590"/>
      <c r="N941" s="590"/>
      <c r="O941" s="590"/>
      <c r="P941" s="590"/>
      <c r="Q941" s="590"/>
      <c r="R941" s="590"/>
      <c r="S941" s="590"/>
      <c r="T941" s="590"/>
      <c r="U941" s="590"/>
      <c r="V941" s="590"/>
      <c r="W941" s="590"/>
      <c r="X941" s="590"/>
      <c r="Y941" s="590"/>
      <c r="Z941" s="590"/>
    </row>
    <row r="942" spans="1:26" ht="15.75" customHeight="1">
      <c r="A942" s="590"/>
      <c r="B942" s="590"/>
      <c r="C942" s="590"/>
      <c r="D942" s="590"/>
      <c r="E942" s="590"/>
      <c r="F942" s="590"/>
      <c r="G942" s="590"/>
      <c r="H942" s="590"/>
      <c r="I942" s="590"/>
      <c r="J942" s="590"/>
      <c r="K942" s="590"/>
      <c r="L942" s="590"/>
      <c r="M942" s="590"/>
      <c r="N942" s="590"/>
      <c r="O942" s="590"/>
      <c r="P942" s="590"/>
      <c r="Q942" s="590"/>
      <c r="R942" s="590"/>
      <c r="S942" s="590"/>
      <c r="T942" s="590"/>
      <c r="U942" s="590"/>
      <c r="V942" s="590"/>
      <c r="W942" s="590"/>
      <c r="X942" s="590"/>
      <c r="Y942" s="590"/>
      <c r="Z942" s="590"/>
    </row>
    <row r="943" spans="1:26" ht="15.75" customHeight="1">
      <c r="A943" s="590"/>
      <c r="B943" s="590"/>
      <c r="C943" s="590"/>
      <c r="D943" s="590"/>
      <c r="E943" s="590"/>
      <c r="F943" s="590"/>
      <c r="G943" s="590"/>
      <c r="H943" s="590"/>
      <c r="I943" s="590"/>
      <c r="J943" s="590"/>
      <c r="K943" s="590"/>
      <c r="L943" s="590"/>
      <c r="M943" s="590"/>
      <c r="N943" s="590"/>
      <c r="O943" s="590"/>
      <c r="P943" s="590"/>
      <c r="Q943" s="590"/>
      <c r="R943" s="590"/>
      <c r="S943" s="590"/>
      <c r="T943" s="590"/>
      <c r="U943" s="590"/>
      <c r="V943" s="590"/>
      <c r="W943" s="590"/>
      <c r="X943" s="590"/>
      <c r="Y943" s="590"/>
      <c r="Z943" s="590"/>
    </row>
    <row r="944" spans="1:26" ht="15.75" customHeight="1">
      <c r="A944" s="590"/>
      <c r="B944" s="590"/>
      <c r="C944" s="590"/>
      <c r="D944" s="590"/>
      <c r="E944" s="590"/>
      <c r="F944" s="590"/>
      <c r="G944" s="590"/>
      <c r="H944" s="590"/>
      <c r="I944" s="590"/>
      <c r="J944" s="590"/>
      <c r="K944" s="590"/>
      <c r="L944" s="590"/>
      <c r="M944" s="590"/>
      <c r="N944" s="590"/>
      <c r="O944" s="590"/>
      <c r="P944" s="590"/>
      <c r="Q944" s="590"/>
      <c r="R944" s="590"/>
      <c r="S944" s="590"/>
      <c r="T944" s="590"/>
      <c r="U944" s="590"/>
      <c r="V944" s="590"/>
      <c r="W944" s="590"/>
      <c r="X944" s="590"/>
      <c r="Y944" s="590"/>
      <c r="Z944" s="590"/>
    </row>
    <row r="945" spans="1:26" ht="15.75" customHeight="1">
      <c r="A945" s="590"/>
      <c r="B945" s="590"/>
      <c r="C945" s="590"/>
      <c r="D945" s="590"/>
      <c r="E945" s="590"/>
      <c r="F945" s="590"/>
      <c r="G945" s="590"/>
      <c r="H945" s="590"/>
      <c r="I945" s="590"/>
      <c r="J945" s="590"/>
      <c r="K945" s="590"/>
      <c r="L945" s="590"/>
      <c r="M945" s="590"/>
      <c r="N945" s="590"/>
      <c r="O945" s="590"/>
      <c r="P945" s="590"/>
      <c r="Q945" s="590"/>
      <c r="R945" s="590"/>
      <c r="S945" s="590"/>
      <c r="T945" s="590"/>
      <c r="U945" s="590"/>
      <c r="V945" s="590"/>
      <c r="W945" s="590"/>
      <c r="X945" s="590"/>
      <c r="Y945" s="590"/>
      <c r="Z945" s="590"/>
    </row>
    <row r="946" spans="1:26" ht="15.75" customHeight="1">
      <c r="A946" s="590"/>
      <c r="B946" s="590"/>
      <c r="C946" s="590"/>
      <c r="D946" s="590"/>
      <c r="E946" s="590"/>
      <c r="F946" s="590"/>
      <c r="G946" s="590"/>
      <c r="H946" s="590"/>
      <c r="I946" s="590"/>
      <c r="J946" s="590"/>
      <c r="K946" s="590"/>
      <c r="L946" s="590"/>
      <c r="M946" s="590"/>
      <c r="N946" s="590"/>
      <c r="O946" s="590"/>
      <c r="P946" s="590"/>
      <c r="Q946" s="590"/>
      <c r="R946" s="590"/>
      <c r="S946" s="590"/>
      <c r="T946" s="590"/>
      <c r="U946" s="590"/>
      <c r="V946" s="590"/>
      <c r="W946" s="590"/>
      <c r="X946" s="590"/>
      <c r="Y946" s="590"/>
      <c r="Z946" s="590"/>
    </row>
    <row r="947" spans="1:26" ht="15.75" customHeight="1">
      <c r="A947" s="590"/>
      <c r="B947" s="590"/>
      <c r="C947" s="590"/>
      <c r="D947" s="590"/>
      <c r="E947" s="590"/>
      <c r="F947" s="590"/>
      <c r="G947" s="590"/>
      <c r="H947" s="590"/>
      <c r="I947" s="590"/>
      <c r="J947" s="590"/>
      <c r="K947" s="590"/>
      <c r="L947" s="590"/>
      <c r="M947" s="590"/>
      <c r="N947" s="590"/>
      <c r="O947" s="590"/>
      <c r="P947" s="590"/>
      <c r="Q947" s="590"/>
      <c r="R947" s="590"/>
      <c r="S947" s="590"/>
      <c r="T947" s="590"/>
      <c r="U947" s="590"/>
      <c r="V947" s="590"/>
      <c r="W947" s="590"/>
      <c r="X947" s="590"/>
      <c r="Y947" s="590"/>
      <c r="Z947" s="590"/>
    </row>
    <row r="948" spans="1:26" ht="15.75" customHeight="1">
      <c r="A948" s="590"/>
      <c r="B948" s="590"/>
      <c r="C948" s="590"/>
      <c r="D948" s="590"/>
      <c r="E948" s="590"/>
      <c r="F948" s="590"/>
      <c r="G948" s="590"/>
      <c r="H948" s="590"/>
      <c r="I948" s="590"/>
      <c r="J948" s="590"/>
      <c r="K948" s="590"/>
      <c r="L948" s="590"/>
      <c r="M948" s="590"/>
      <c r="N948" s="590"/>
      <c r="O948" s="590"/>
      <c r="P948" s="590"/>
      <c r="Q948" s="590"/>
      <c r="R948" s="590"/>
      <c r="S948" s="590"/>
      <c r="T948" s="590"/>
      <c r="U948" s="590"/>
      <c r="V948" s="590"/>
      <c r="W948" s="590"/>
      <c r="X948" s="590"/>
      <c r="Y948" s="590"/>
      <c r="Z948" s="590"/>
    </row>
    <row r="949" spans="1:26" ht="15.75" customHeight="1">
      <c r="A949" s="590"/>
      <c r="B949" s="590"/>
      <c r="C949" s="590"/>
      <c r="D949" s="590"/>
      <c r="E949" s="590"/>
      <c r="F949" s="590"/>
      <c r="G949" s="590"/>
      <c r="H949" s="590"/>
      <c r="I949" s="590"/>
      <c r="J949" s="590"/>
      <c r="K949" s="590"/>
      <c r="L949" s="590"/>
      <c r="M949" s="590"/>
      <c r="N949" s="590"/>
      <c r="O949" s="590"/>
      <c r="P949" s="590"/>
      <c r="Q949" s="590"/>
      <c r="R949" s="590"/>
      <c r="S949" s="590"/>
      <c r="T949" s="590"/>
      <c r="U949" s="590"/>
      <c r="V949" s="590"/>
      <c r="W949" s="590"/>
      <c r="X949" s="590"/>
      <c r="Y949" s="590"/>
      <c r="Z949" s="590"/>
    </row>
    <row r="950" spans="1:26" ht="15.75" customHeight="1">
      <c r="A950" s="590"/>
      <c r="B950" s="590"/>
      <c r="C950" s="590"/>
      <c r="D950" s="590"/>
      <c r="E950" s="590"/>
      <c r="F950" s="590"/>
      <c r="G950" s="590"/>
      <c r="H950" s="590"/>
      <c r="I950" s="590"/>
      <c r="J950" s="590"/>
      <c r="K950" s="590"/>
      <c r="L950" s="590"/>
      <c r="M950" s="590"/>
      <c r="N950" s="590"/>
      <c r="O950" s="590"/>
      <c r="P950" s="590"/>
      <c r="Q950" s="590"/>
      <c r="R950" s="590"/>
      <c r="S950" s="590"/>
      <c r="T950" s="590"/>
      <c r="U950" s="590"/>
      <c r="V950" s="590"/>
      <c r="W950" s="590"/>
      <c r="X950" s="590"/>
      <c r="Y950" s="590"/>
      <c r="Z950" s="590"/>
    </row>
    <row r="951" spans="1:26" ht="15.75" customHeight="1">
      <c r="A951" s="590"/>
      <c r="B951" s="590"/>
      <c r="C951" s="590"/>
      <c r="D951" s="590"/>
      <c r="E951" s="590"/>
      <c r="F951" s="590"/>
      <c r="G951" s="590"/>
      <c r="H951" s="590"/>
      <c r="I951" s="590"/>
      <c r="J951" s="590"/>
      <c r="K951" s="590"/>
      <c r="L951" s="590"/>
      <c r="M951" s="590"/>
      <c r="N951" s="590"/>
      <c r="O951" s="590"/>
      <c r="P951" s="590"/>
      <c r="Q951" s="590"/>
      <c r="R951" s="590"/>
      <c r="S951" s="590"/>
      <c r="T951" s="590"/>
      <c r="U951" s="590"/>
      <c r="V951" s="590"/>
      <c r="W951" s="590"/>
      <c r="X951" s="590"/>
      <c r="Y951" s="590"/>
      <c r="Z951" s="590"/>
    </row>
    <row r="952" spans="1:26" ht="15.75" customHeight="1">
      <c r="A952" s="590"/>
      <c r="B952" s="590"/>
      <c r="C952" s="590"/>
      <c r="D952" s="590"/>
      <c r="E952" s="590"/>
      <c r="F952" s="590"/>
      <c r="G952" s="590"/>
      <c r="H952" s="590"/>
      <c r="I952" s="590"/>
      <c r="J952" s="590"/>
      <c r="K952" s="590"/>
      <c r="L952" s="590"/>
      <c r="M952" s="590"/>
      <c r="N952" s="590"/>
      <c r="O952" s="590"/>
      <c r="P952" s="590"/>
      <c r="Q952" s="590"/>
      <c r="R952" s="590"/>
      <c r="S952" s="590"/>
      <c r="T952" s="590"/>
      <c r="U952" s="590"/>
      <c r="V952" s="590"/>
      <c r="W952" s="590"/>
      <c r="X952" s="590"/>
      <c r="Y952" s="590"/>
      <c r="Z952" s="590"/>
    </row>
    <row r="953" spans="1:26" ht="15.75" customHeight="1">
      <c r="A953" s="590"/>
      <c r="B953" s="590"/>
      <c r="C953" s="590"/>
      <c r="D953" s="590"/>
      <c r="E953" s="590"/>
      <c r="F953" s="590"/>
      <c r="G953" s="590"/>
      <c r="H953" s="590"/>
      <c r="I953" s="590"/>
      <c r="J953" s="590"/>
      <c r="K953" s="590"/>
      <c r="L953" s="590"/>
      <c r="M953" s="590"/>
      <c r="N953" s="590"/>
      <c r="O953" s="590"/>
      <c r="P953" s="590"/>
      <c r="Q953" s="590"/>
      <c r="R953" s="590"/>
      <c r="S953" s="590"/>
      <c r="T953" s="590"/>
      <c r="U953" s="590"/>
      <c r="V953" s="590"/>
      <c r="W953" s="590"/>
      <c r="X953" s="590"/>
      <c r="Y953" s="590"/>
      <c r="Z953" s="590"/>
    </row>
    <row r="954" spans="1:26" ht="15.75" customHeight="1">
      <c r="A954" s="590"/>
      <c r="B954" s="590"/>
      <c r="C954" s="590"/>
      <c r="D954" s="590"/>
      <c r="E954" s="590"/>
      <c r="F954" s="590"/>
      <c r="G954" s="590"/>
      <c r="H954" s="590"/>
      <c r="I954" s="590"/>
      <c r="J954" s="590"/>
      <c r="K954" s="590"/>
      <c r="L954" s="590"/>
      <c r="M954" s="590"/>
      <c r="N954" s="590"/>
      <c r="O954" s="590"/>
      <c r="P954" s="590"/>
      <c r="Q954" s="590"/>
      <c r="R954" s="590"/>
      <c r="S954" s="590"/>
      <c r="T954" s="590"/>
      <c r="U954" s="590"/>
      <c r="V954" s="590"/>
      <c r="W954" s="590"/>
      <c r="X954" s="590"/>
      <c r="Y954" s="590"/>
      <c r="Z954" s="590"/>
    </row>
    <row r="955" spans="1:26" ht="15.75" customHeight="1">
      <c r="A955" s="590"/>
      <c r="B955" s="590"/>
      <c r="C955" s="590"/>
      <c r="D955" s="590"/>
      <c r="E955" s="590"/>
      <c r="F955" s="590"/>
      <c r="G955" s="590"/>
      <c r="H955" s="590"/>
      <c r="I955" s="590"/>
      <c r="J955" s="590"/>
      <c r="K955" s="590"/>
      <c r="L955" s="590"/>
      <c r="M955" s="590"/>
      <c r="N955" s="590"/>
      <c r="O955" s="590"/>
      <c r="P955" s="590"/>
      <c r="Q955" s="590"/>
      <c r="R955" s="590"/>
      <c r="S955" s="590"/>
      <c r="T955" s="590"/>
      <c r="U955" s="590"/>
      <c r="V955" s="590"/>
      <c r="W955" s="590"/>
      <c r="X955" s="590"/>
      <c r="Y955" s="590"/>
      <c r="Z955" s="590"/>
    </row>
    <row r="956" spans="1:26" ht="15.75" customHeight="1">
      <c r="A956" s="590"/>
      <c r="B956" s="590"/>
      <c r="C956" s="590"/>
      <c r="D956" s="590"/>
      <c r="E956" s="590"/>
      <c r="F956" s="590"/>
      <c r="G956" s="590"/>
      <c r="H956" s="590"/>
      <c r="I956" s="590"/>
      <c r="J956" s="590"/>
      <c r="K956" s="590"/>
      <c r="L956" s="590"/>
      <c r="M956" s="590"/>
      <c r="N956" s="590"/>
      <c r="O956" s="590"/>
      <c r="P956" s="590"/>
      <c r="Q956" s="590"/>
      <c r="R956" s="590"/>
      <c r="S956" s="590"/>
      <c r="T956" s="590"/>
      <c r="U956" s="590"/>
      <c r="V956" s="590"/>
      <c r="W956" s="590"/>
      <c r="X956" s="590"/>
      <c r="Y956" s="590"/>
      <c r="Z956" s="590"/>
    </row>
    <row r="957" spans="1:26" ht="15.75" customHeight="1">
      <c r="A957" s="590"/>
      <c r="B957" s="590"/>
      <c r="C957" s="590"/>
      <c r="D957" s="590"/>
      <c r="E957" s="590"/>
      <c r="F957" s="590"/>
      <c r="G957" s="590"/>
      <c r="H957" s="590"/>
      <c r="I957" s="590"/>
      <c r="J957" s="590"/>
      <c r="K957" s="590"/>
      <c r="L957" s="590"/>
      <c r="M957" s="590"/>
      <c r="N957" s="590"/>
      <c r="O957" s="590"/>
      <c r="P957" s="590"/>
      <c r="Q957" s="590"/>
      <c r="R957" s="590"/>
      <c r="S957" s="590"/>
      <c r="T957" s="590"/>
      <c r="U957" s="590"/>
      <c r="V957" s="590"/>
      <c r="W957" s="590"/>
      <c r="X957" s="590"/>
      <c r="Y957" s="590"/>
      <c r="Z957" s="590"/>
    </row>
    <row r="958" spans="1:26" ht="15.75" customHeight="1">
      <c r="A958" s="590"/>
      <c r="B958" s="590"/>
      <c r="C958" s="590"/>
      <c r="D958" s="590"/>
      <c r="E958" s="590"/>
      <c r="F958" s="590"/>
      <c r="G958" s="590"/>
      <c r="H958" s="590"/>
      <c r="I958" s="590"/>
      <c r="J958" s="590"/>
      <c r="K958" s="590"/>
      <c r="L958" s="590"/>
      <c r="M958" s="590"/>
      <c r="N958" s="590"/>
      <c r="O958" s="590"/>
      <c r="P958" s="590"/>
      <c r="Q958" s="590"/>
      <c r="R958" s="590"/>
      <c r="S958" s="590"/>
      <c r="T958" s="590"/>
      <c r="U958" s="590"/>
      <c r="V958" s="590"/>
      <c r="W958" s="590"/>
      <c r="X958" s="590"/>
      <c r="Y958" s="590"/>
      <c r="Z958" s="590"/>
    </row>
    <row r="959" spans="1:26" ht="15.75" customHeight="1">
      <c r="A959" s="590"/>
      <c r="B959" s="590"/>
      <c r="C959" s="590"/>
      <c r="D959" s="590"/>
      <c r="E959" s="590"/>
      <c r="F959" s="590"/>
      <c r="G959" s="590"/>
      <c r="H959" s="590"/>
      <c r="I959" s="590"/>
      <c r="J959" s="590"/>
      <c r="K959" s="590"/>
      <c r="L959" s="590"/>
      <c r="M959" s="590"/>
      <c r="N959" s="590"/>
      <c r="O959" s="590"/>
      <c r="P959" s="590"/>
      <c r="Q959" s="590"/>
      <c r="R959" s="590"/>
      <c r="S959" s="590"/>
      <c r="T959" s="590"/>
      <c r="U959" s="590"/>
      <c r="V959" s="590"/>
      <c r="W959" s="590"/>
      <c r="X959" s="590"/>
      <c r="Y959" s="590"/>
      <c r="Z959" s="590"/>
    </row>
    <row r="960" spans="1:26" ht="15.75" customHeight="1">
      <c r="A960" s="590"/>
      <c r="B960" s="590"/>
      <c r="C960" s="590"/>
      <c r="D960" s="590"/>
      <c r="E960" s="590"/>
      <c r="F960" s="590"/>
      <c r="G960" s="590"/>
      <c r="H960" s="590"/>
      <c r="I960" s="590"/>
      <c r="J960" s="590"/>
      <c r="K960" s="590"/>
      <c r="L960" s="590"/>
      <c r="M960" s="590"/>
      <c r="N960" s="590"/>
      <c r="O960" s="590"/>
      <c r="P960" s="590"/>
      <c r="Q960" s="590"/>
      <c r="R960" s="590"/>
      <c r="S960" s="590"/>
      <c r="T960" s="590"/>
      <c r="U960" s="590"/>
      <c r="V960" s="590"/>
      <c r="W960" s="590"/>
      <c r="X960" s="590"/>
      <c r="Y960" s="590"/>
      <c r="Z960" s="590"/>
    </row>
    <row r="961" spans="1:26" ht="15.75" customHeight="1">
      <c r="A961" s="590"/>
      <c r="B961" s="590"/>
      <c r="C961" s="590"/>
      <c r="D961" s="590"/>
      <c r="E961" s="590"/>
      <c r="F961" s="590"/>
      <c r="G961" s="590"/>
      <c r="H961" s="590"/>
      <c r="I961" s="590"/>
      <c r="J961" s="590"/>
      <c r="K961" s="590"/>
      <c r="L961" s="590"/>
      <c r="M961" s="590"/>
      <c r="N961" s="590"/>
      <c r="O961" s="590"/>
      <c r="P961" s="590"/>
      <c r="Q961" s="590"/>
      <c r="R961" s="590"/>
      <c r="S961" s="590"/>
      <c r="T961" s="590"/>
      <c r="U961" s="590"/>
      <c r="V961" s="590"/>
      <c r="W961" s="590"/>
      <c r="X961" s="590"/>
      <c r="Y961" s="590"/>
      <c r="Z961" s="590"/>
    </row>
    <row r="962" spans="1:26" ht="15.75" customHeight="1">
      <c r="A962" s="590"/>
      <c r="B962" s="590"/>
      <c r="C962" s="590"/>
      <c r="D962" s="590"/>
      <c r="E962" s="590"/>
      <c r="F962" s="590"/>
      <c r="G962" s="590"/>
      <c r="H962" s="590"/>
      <c r="I962" s="590"/>
      <c r="J962" s="590"/>
      <c r="K962" s="590"/>
      <c r="L962" s="590"/>
      <c r="M962" s="590"/>
      <c r="N962" s="590"/>
      <c r="O962" s="590"/>
      <c r="P962" s="590"/>
      <c r="Q962" s="590"/>
      <c r="R962" s="590"/>
      <c r="S962" s="590"/>
      <c r="T962" s="590"/>
      <c r="U962" s="590"/>
      <c r="V962" s="590"/>
      <c r="W962" s="590"/>
      <c r="X962" s="590"/>
      <c r="Y962" s="590"/>
      <c r="Z962" s="590"/>
    </row>
    <row r="963" spans="1:26" ht="15.75" customHeight="1">
      <c r="A963" s="590"/>
      <c r="B963" s="590"/>
      <c r="C963" s="590"/>
      <c r="D963" s="590"/>
      <c r="E963" s="590"/>
      <c r="F963" s="590"/>
      <c r="G963" s="590"/>
      <c r="H963" s="590"/>
      <c r="I963" s="590"/>
      <c r="J963" s="590"/>
      <c r="K963" s="590"/>
      <c r="L963" s="590"/>
      <c r="M963" s="590"/>
      <c r="N963" s="590"/>
      <c r="O963" s="590"/>
      <c r="P963" s="590"/>
      <c r="Q963" s="590"/>
      <c r="R963" s="590"/>
      <c r="S963" s="590"/>
      <c r="T963" s="590"/>
      <c r="U963" s="590"/>
      <c r="V963" s="590"/>
      <c r="W963" s="590"/>
      <c r="X963" s="590"/>
      <c r="Y963" s="590"/>
      <c r="Z963" s="590"/>
    </row>
    <row r="964" spans="1:26" ht="15.75" customHeight="1">
      <c r="A964" s="590"/>
      <c r="B964" s="590"/>
      <c r="C964" s="590"/>
      <c r="D964" s="590"/>
      <c r="E964" s="590"/>
      <c r="F964" s="590"/>
      <c r="G964" s="590"/>
      <c r="H964" s="590"/>
      <c r="I964" s="590"/>
      <c r="J964" s="590"/>
      <c r="K964" s="590"/>
      <c r="L964" s="590"/>
      <c r="M964" s="590"/>
      <c r="N964" s="590"/>
      <c r="O964" s="590"/>
      <c r="P964" s="590"/>
      <c r="Q964" s="590"/>
      <c r="R964" s="590"/>
      <c r="S964" s="590"/>
      <c r="T964" s="590"/>
      <c r="U964" s="590"/>
      <c r="V964" s="590"/>
      <c r="W964" s="590"/>
      <c r="X964" s="590"/>
      <c r="Y964" s="590"/>
      <c r="Z964" s="590"/>
    </row>
    <row r="965" spans="1:26" ht="15.75" customHeight="1">
      <c r="A965" s="590"/>
      <c r="B965" s="590"/>
      <c r="C965" s="590"/>
      <c r="D965" s="590"/>
      <c r="E965" s="590"/>
      <c r="F965" s="590"/>
      <c r="G965" s="590"/>
      <c r="H965" s="590"/>
      <c r="I965" s="590"/>
      <c r="J965" s="590"/>
      <c r="K965" s="590"/>
      <c r="L965" s="590"/>
      <c r="M965" s="590"/>
      <c r="N965" s="590"/>
      <c r="O965" s="590"/>
      <c r="P965" s="590"/>
      <c r="Q965" s="590"/>
      <c r="R965" s="590"/>
      <c r="S965" s="590"/>
      <c r="T965" s="590"/>
      <c r="U965" s="590"/>
      <c r="V965" s="590"/>
      <c r="W965" s="590"/>
      <c r="X965" s="590"/>
      <c r="Y965" s="590"/>
      <c r="Z965" s="590"/>
    </row>
    <row r="966" spans="1:26" ht="15.75" customHeight="1">
      <c r="A966" s="590"/>
      <c r="B966" s="590"/>
      <c r="C966" s="590"/>
      <c r="D966" s="590"/>
      <c r="E966" s="590"/>
      <c r="F966" s="590"/>
      <c r="G966" s="590"/>
      <c r="H966" s="590"/>
      <c r="I966" s="590"/>
      <c r="J966" s="590"/>
      <c r="K966" s="590"/>
      <c r="L966" s="590"/>
      <c r="M966" s="590"/>
      <c r="N966" s="590"/>
      <c r="O966" s="590"/>
      <c r="P966" s="590"/>
      <c r="Q966" s="590"/>
      <c r="R966" s="590"/>
      <c r="S966" s="590"/>
      <c r="T966" s="590"/>
      <c r="U966" s="590"/>
      <c r="V966" s="590"/>
      <c r="W966" s="590"/>
      <c r="X966" s="590"/>
      <c r="Y966" s="590"/>
      <c r="Z966" s="590"/>
    </row>
    <row r="967" spans="1:26" ht="15.75" customHeight="1">
      <c r="A967" s="590"/>
      <c r="B967" s="590"/>
      <c r="C967" s="590"/>
      <c r="D967" s="590"/>
      <c r="E967" s="590"/>
      <c r="F967" s="590"/>
      <c r="G967" s="590"/>
      <c r="H967" s="590"/>
      <c r="I967" s="590"/>
      <c r="J967" s="590"/>
      <c r="K967" s="590"/>
      <c r="L967" s="590"/>
      <c r="M967" s="590"/>
      <c r="N967" s="590"/>
      <c r="O967" s="590"/>
      <c r="P967" s="590"/>
      <c r="Q967" s="590"/>
      <c r="R967" s="590"/>
      <c r="S967" s="590"/>
      <c r="T967" s="590"/>
      <c r="U967" s="590"/>
      <c r="V967" s="590"/>
      <c r="W967" s="590"/>
      <c r="X967" s="590"/>
      <c r="Y967" s="590"/>
      <c r="Z967" s="590"/>
    </row>
    <row r="968" spans="1:26" ht="15.75" customHeight="1">
      <c r="A968" s="590"/>
      <c r="B968" s="590"/>
      <c r="C968" s="590"/>
      <c r="D968" s="590"/>
      <c r="E968" s="590"/>
      <c r="F968" s="590"/>
      <c r="G968" s="590"/>
      <c r="H968" s="590"/>
      <c r="I968" s="590"/>
      <c r="J968" s="590"/>
      <c r="K968" s="590"/>
      <c r="L968" s="590"/>
      <c r="M968" s="590"/>
      <c r="N968" s="590"/>
      <c r="O968" s="590"/>
      <c r="P968" s="590"/>
      <c r="Q968" s="590"/>
      <c r="R968" s="590"/>
      <c r="S968" s="590"/>
      <c r="T968" s="590"/>
      <c r="U968" s="590"/>
      <c r="V968" s="590"/>
      <c r="W968" s="590"/>
      <c r="X968" s="590"/>
      <c r="Y968" s="590"/>
      <c r="Z968" s="590"/>
    </row>
    <row r="969" spans="1:26" ht="15.75" customHeight="1">
      <c r="A969" s="590"/>
      <c r="B969" s="590"/>
      <c r="C969" s="590"/>
      <c r="D969" s="590"/>
      <c r="E969" s="590"/>
      <c r="F969" s="590"/>
      <c r="G969" s="590"/>
      <c r="H969" s="590"/>
      <c r="I969" s="590"/>
      <c r="J969" s="590"/>
      <c r="K969" s="590"/>
      <c r="L969" s="590"/>
      <c r="M969" s="590"/>
      <c r="N969" s="590"/>
      <c r="O969" s="590"/>
      <c r="P969" s="590"/>
      <c r="Q969" s="590"/>
      <c r="R969" s="590"/>
      <c r="S969" s="590"/>
      <c r="T969" s="590"/>
      <c r="U969" s="590"/>
      <c r="V969" s="590"/>
      <c r="W969" s="590"/>
      <c r="X969" s="590"/>
      <c r="Y969" s="590"/>
      <c r="Z969" s="590"/>
    </row>
    <row r="970" spans="1:26" ht="15.75" customHeight="1">
      <c r="A970" s="590"/>
      <c r="B970" s="590"/>
      <c r="C970" s="590"/>
      <c r="D970" s="590"/>
      <c r="E970" s="590"/>
      <c r="F970" s="590"/>
      <c r="G970" s="590"/>
      <c r="H970" s="590"/>
      <c r="I970" s="590"/>
      <c r="J970" s="590"/>
      <c r="K970" s="590"/>
      <c r="L970" s="590"/>
      <c r="M970" s="590"/>
      <c r="N970" s="590"/>
      <c r="O970" s="590"/>
      <c r="P970" s="590"/>
      <c r="Q970" s="590"/>
      <c r="R970" s="590"/>
      <c r="S970" s="590"/>
      <c r="T970" s="590"/>
      <c r="U970" s="590"/>
      <c r="V970" s="590"/>
      <c r="W970" s="590"/>
      <c r="X970" s="590"/>
      <c r="Y970" s="590"/>
      <c r="Z970" s="590"/>
    </row>
    <row r="971" spans="1:26" ht="15.75" customHeight="1">
      <c r="A971" s="590"/>
      <c r="B971" s="590"/>
      <c r="C971" s="590"/>
      <c r="D971" s="590"/>
      <c r="E971" s="590"/>
      <c r="F971" s="590"/>
      <c r="G971" s="590"/>
      <c r="H971" s="590"/>
      <c r="I971" s="590"/>
      <c r="J971" s="590"/>
      <c r="K971" s="590"/>
      <c r="L971" s="590"/>
      <c r="M971" s="590"/>
      <c r="N971" s="590"/>
      <c r="O971" s="590"/>
      <c r="P971" s="590"/>
      <c r="Q971" s="590"/>
      <c r="R971" s="590"/>
      <c r="S971" s="590"/>
      <c r="T971" s="590"/>
      <c r="U971" s="590"/>
      <c r="V971" s="590"/>
      <c r="W971" s="590"/>
      <c r="X971" s="590"/>
      <c r="Y971" s="590"/>
      <c r="Z971" s="590"/>
    </row>
    <row r="972" spans="1:26" ht="15.75" customHeight="1">
      <c r="A972" s="590"/>
      <c r="B972" s="590"/>
      <c r="C972" s="590"/>
      <c r="D972" s="590"/>
      <c r="E972" s="590"/>
      <c r="F972" s="590"/>
      <c r="G972" s="590"/>
      <c r="H972" s="590"/>
      <c r="I972" s="590"/>
      <c r="J972" s="590"/>
      <c r="K972" s="590"/>
      <c r="L972" s="590"/>
      <c r="M972" s="590"/>
      <c r="N972" s="590"/>
      <c r="O972" s="590"/>
      <c r="P972" s="590"/>
      <c r="Q972" s="590"/>
      <c r="R972" s="590"/>
      <c r="S972" s="590"/>
      <c r="T972" s="590"/>
      <c r="U972" s="590"/>
      <c r="V972" s="590"/>
      <c r="W972" s="590"/>
      <c r="X972" s="590"/>
      <c r="Y972" s="590"/>
      <c r="Z972" s="590"/>
    </row>
    <row r="973" spans="1:26" ht="15.75" customHeight="1">
      <c r="A973" s="590"/>
      <c r="B973" s="590"/>
      <c r="C973" s="590"/>
      <c r="D973" s="590"/>
      <c r="E973" s="590"/>
      <c r="F973" s="590"/>
      <c r="G973" s="590"/>
      <c r="H973" s="590"/>
      <c r="I973" s="590"/>
      <c r="J973" s="590"/>
      <c r="K973" s="590"/>
      <c r="L973" s="590"/>
      <c r="M973" s="590"/>
      <c r="N973" s="590"/>
      <c r="O973" s="590"/>
      <c r="P973" s="590"/>
      <c r="Q973" s="590"/>
      <c r="R973" s="590"/>
      <c r="S973" s="590"/>
      <c r="T973" s="590"/>
      <c r="U973" s="590"/>
      <c r="V973" s="590"/>
      <c r="W973" s="590"/>
      <c r="X973" s="590"/>
      <c r="Y973" s="590"/>
      <c r="Z973" s="590"/>
    </row>
    <row r="974" spans="1:26" ht="15.75" customHeight="1">
      <c r="A974" s="590"/>
      <c r="B974" s="590"/>
      <c r="C974" s="590"/>
      <c r="D974" s="590"/>
      <c r="E974" s="590"/>
      <c r="F974" s="590"/>
      <c r="G974" s="590"/>
      <c r="H974" s="590"/>
      <c r="I974" s="590"/>
      <c r="J974" s="590"/>
      <c r="K974" s="590"/>
      <c r="L974" s="590"/>
      <c r="M974" s="590"/>
      <c r="N974" s="590"/>
      <c r="O974" s="590"/>
      <c r="P974" s="590"/>
      <c r="Q974" s="590"/>
      <c r="R974" s="590"/>
      <c r="S974" s="590"/>
      <c r="T974" s="590"/>
      <c r="U974" s="590"/>
      <c r="V974" s="590"/>
      <c r="W974" s="590"/>
      <c r="X974" s="590"/>
      <c r="Y974" s="590"/>
      <c r="Z974" s="590"/>
    </row>
    <row r="975" spans="1:26" ht="15.75" customHeight="1">
      <c r="A975" s="590"/>
      <c r="B975" s="590"/>
      <c r="C975" s="590"/>
      <c r="D975" s="590"/>
      <c r="E975" s="590"/>
      <c r="F975" s="590"/>
      <c r="G975" s="590"/>
      <c r="H975" s="590"/>
      <c r="I975" s="590"/>
      <c r="J975" s="590"/>
      <c r="K975" s="590"/>
      <c r="L975" s="590"/>
      <c r="M975" s="590"/>
      <c r="N975" s="590"/>
      <c r="O975" s="590"/>
      <c r="P975" s="590"/>
      <c r="Q975" s="590"/>
      <c r="R975" s="590"/>
      <c r="S975" s="590"/>
      <c r="T975" s="590"/>
      <c r="U975" s="590"/>
      <c r="V975" s="590"/>
      <c r="W975" s="590"/>
      <c r="X975" s="590"/>
      <c r="Y975" s="590"/>
      <c r="Z975" s="590"/>
    </row>
    <row r="976" spans="1:26" ht="15.75" customHeight="1">
      <c r="A976" s="590"/>
      <c r="B976" s="590"/>
      <c r="C976" s="590"/>
      <c r="D976" s="590"/>
      <c r="E976" s="590"/>
      <c r="F976" s="590"/>
      <c r="G976" s="590"/>
      <c r="H976" s="590"/>
      <c r="I976" s="590"/>
      <c r="J976" s="590"/>
      <c r="K976" s="590"/>
      <c r="L976" s="590"/>
      <c r="M976" s="590"/>
      <c r="N976" s="590"/>
      <c r="O976" s="590"/>
      <c r="P976" s="590"/>
      <c r="Q976" s="590"/>
      <c r="R976" s="590"/>
      <c r="S976" s="590"/>
      <c r="T976" s="590"/>
      <c r="U976" s="590"/>
      <c r="V976" s="590"/>
      <c r="W976" s="590"/>
      <c r="X976" s="590"/>
      <c r="Y976" s="590"/>
      <c r="Z976" s="590"/>
    </row>
    <row r="977" spans="1:26" ht="15.75" customHeight="1">
      <c r="A977" s="590"/>
      <c r="B977" s="590"/>
      <c r="C977" s="590"/>
      <c r="D977" s="590"/>
      <c r="E977" s="590"/>
      <c r="F977" s="590"/>
      <c r="G977" s="590"/>
      <c r="H977" s="590"/>
      <c r="I977" s="590"/>
      <c r="J977" s="590"/>
      <c r="K977" s="590"/>
      <c r="L977" s="590"/>
      <c r="M977" s="590"/>
      <c r="N977" s="590"/>
      <c r="O977" s="590"/>
      <c r="P977" s="590"/>
      <c r="Q977" s="590"/>
      <c r="R977" s="590"/>
      <c r="S977" s="590"/>
      <c r="T977" s="590"/>
      <c r="U977" s="590"/>
      <c r="V977" s="590"/>
      <c r="W977" s="590"/>
      <c r="X977" s="590"/>
      <c r="Y977" s="590"/>
      <c r="Z977" s="590"/>
    </row>
    <row r="978" spans="1:26" ht="15.75" customHeight="1">
      <c r="A978" s="590"/>
      <c r="B978" s="590"/>
      <c r="C978" s="590"/>
      <c r="D978" s="590"/>
      <c r="E978" s="590"/>
      <c r="F978" s="590"/>
      <c r="G978" s="590"/>
      <c r="H978" s="590"/>
      <c r="I978" s="590"/>
      <c r="J978" s="590"/>
      <c r="K978" s="590"/>
      <c r="L978" s="590"/>
      <c r="M978" s="590"/>
      <c r="N978" s="590"/>
      <c r="O978" s="590"/>
      <c r="P978" s="590"/>
      <c r="Q978" s="590"/>
      <c r="R978" s="590"/>
      <c r="S978" s="590"/>
      <c r="T978" s="590"/>
      <c r="U978" s="590"/>
      <c r="V978" s="590"/>
      <c r="W978" s="590"/>
      <c r="X978" s="590"/>
      <c r="Y978" s="590"/>
      <c r="Z978" s="590"/>
    </row>
    <row r="979" spans="1:26" ht="15.75" customHeight="1">
      <c r="A979" s="590"/>
      <c r="B979" s="590"/>
      <c r="C979" s="590"/>
      <c r="D979" s="590"/>
      <c r="E979" s="590"/>
      <c r="F979" s="590"/>
      <c r="G979" s="590"/>
      <c r="H979" s="590"/>
      <c r="I979" s="590"/>
      <c r="J979" s="590"/>
      <c r="K979" s="590"/>
      <c r="L979" s="590"/>
      <c r="M979" s="590"/>
      <c r="N979" s="590"/>
      <c r="O979" s="590"/>
      <c r="P979" s="590"/>
      <c r="Q979" s="590"/>
      <c r="R979" s="590"/>
      <c r="S979" s="590"/>
      <c r="T979" s="590"/>
      <c r="U979" s="590"/>
      <c r="V979" s="590"/>
      <c r="W979" s="590"/>
      <c r="X979" s="590"/>
      <c r="Y979" s="590"/>
      <c r="Z979" s="590"/>
    </row>
    <row r="980" spans="1:26" ht="15.75" customHeight="1">
      <c r="A980" s="590"/>
      <c r="B980" s="590"/>
      <c r="C980" s="590"/>
      <c r="D980" s="590"/>
      <c r="E980" s="590"/>
      <c r="F980" s="590"/>
      <c r="G980" s="590"/>
      <c r="H980" s="590"/>
      <c r="I980" s="590"/>
      <c r="J980" s="590"/>
      <c r="K980" s="590"/>
      <c r="L980" s="590"/>
      <c r="M980" s="590"/>
      <c r="N980" s="590"/>
      <c r="O980" s="590"/>
      <c r="P980" s="590"/>
      <c r="Q980" s="590"/>
      <c r="R980" s="590"/>
      <c r="S980" s="590"/>
      <c r="T980" s="590"/>
      <c r="U980" s="590"/>
      <c r="V980" s="590"/>
      <c r="W980" s="590"/>
      <c r="X980" s="590"/>
      <c r="Y980" s="590"/>
      <c r="Z980" s="590"/>
    </row>
    <row r="981" spans="1:26" ht="15.75" customHeight="1">
      <c r="A981" s="590"/>
      <c r="B981" s="590"/>
      <c r="C981" s="590"/>
      <c r="D981" s="590"/>
      <c r="E981" s="590"/>
      <c r="F981" s="590"/>
      <c r="G981" s="590"/>
      <c r="H981" s="590"/>
      <c r="I981" s="590"/>
      <c r="J981" s="590"/>
      <c r="K981" s="590"/>
      <c r="L981" s="590"/>
      <c r="M981" s="590"/>
      <c r="N981" s="590"/>
      <c r="O981" s="590"/>
      <c r="P981" s="590"/>
      <c r="Q981" s="590"/>
      <c r="R981" s="590"/>
      <c r="S981" s="590"/>
      <c r="T981" s="590"/>
      <c r="U981" s="590"/>
      <c r="V981" s="590"/>
      <c r="W981" s="590"/>
      <c r="X981" s="590"/>
      <c r="Y981" s="590"/>
      <c r="Z981" s="590"/>
    </row>
    <row r="982" spans="1:26" ht="15.75" customHeight="1">
      <c r="A982" s="590"/>
      <c r="B982" s="590"/>
      <c r="C982" s="590"/>
      <c r="D982" s="590"/>
      <c r="E982" s="590"/>
      <c r="F982" s="590"/>
      <c r="G982" s="590"/>
      <c r="H982" s="590"/>
      <c r="I982" s="590"/>
      <c r="J982" s="590"/>
      <c r="K982" s="590"/>
      <c r="L982" s="590"/>
      <c r="M982" s="590"/>
      <c r="N982" s="590"/>
      <c r="O982" s="590"/>
      <c r="P982" s="590"/>
      <c r="Q982" s="590"/>
      <c r="R982" s="590"/>
      <c r="S982" s="590"/>
      <c r="T982" s="590"/>
      <c r="U982" s="590"/>
      <c r="V982" s="590"/>
      <c r="W982" s="590"/>
      <c r="X982" s="590"/>
      <c r="Y982" s="590"/>
      <c r="Z982" s="590"/>
    </row>
    <row r="983" spans="1:26" ht="15.75" customHeight="1">
      <c r="A983" s="590"/>
      <c r="B983" s="590"/>
      <c r="C983" s="590"/>
      <c r="D983" s="590"/>
      <c r="E983" s="590"/>
      <c r="F983" s="590"/>
      <c r="G983" s="590"/>
      <c r="H983" s="590"/>
      <c r="I983" s="590"/>
      <c r="J983" s="590"/>
      <c r="K983" s="590"/>
      <c r="L983" s="590"/>
      <c r="M983" s="590"/>
      <c r="N983" s="590"/>
      <c r="O983" s="590"/>
      <c r="P983" s="590"/>
      <c r="Q983" s="590"/>
      <c r="R983" s="590"/>
      <c r="S983" s="590"/>
      <c r="T983" s="590"/>
      <c r="U983" s="590"/>
      <c r="V983" s="590"/>
      <c r="W983" s="590"/>
      <c r="X983" s="590"/>
      <c r="Y983" s="590"/>
      <c r="Z983" s="590"/>
    </row>
    <row r="984" spans="1:26" ht="15.75" customHeight="1">
      <c r="A984" s="590"/>
      <c r="B984" s="590"/>
      <c r="C984" s="590"/>
      <c r="D984" s="590"/>
      <c r="E984" s="590"/>
      <c r="F984" s="590"/>
      <c r="G984" s="590"/>
      <c r="H984" s="590"/>
      <c r="I984" s="590"/>
      <c r="J984" s="590"/>
      <c r="K984" s="590"/>
      <c r="L984" s="590"/>
      <c r="M984" s="590"/>
      <c r="N984" s="590"/>
      <c r="O984" s="590"/>
      <c r="P984" s="590"/>
      <c r="Q984" s="590"/>
      <c r="R984" s="590"/>
      <c r="S984" s="590"/>
      <c r="T984" s="590"/>
      <c r="U984" s="590"/>
      <c r="V984" s="590"/>
      <c r="W984" s="590"/>
      <c r="X984" s="590"/>
      <c r="Y984" s="590"/>
      <c r="Z984" s="590"/>
    </row>
    <row r="985" spans="1:26" ht="15.75" customHeight="1">
      <c r="A985" s="590"/>
      <c r="B985" s="590"/>
      <c r="C985" s="590"/>
      <c r="D985" s="590"/>
      <c r="E985" s="590"/>
      <c r="F985" s="590"/>
      <c r="G985" s="590"/>
      <c r="H985" s="590"/>
      <c r="I985" s="590"/>
      <c r="J985" s="590"/>
      <c r="K985" s="590"/>
      <c r="L985" s="590"/>
      <c r="M985" s="590"/>
      <c r="N985" s="590"/>
      <c r="O985" s="590"/>
      <c r="P985" s="590"/>
      <c r="Q985" s="590"/>
      <c r="R985" s="590"/>
      <c r="S985" s="590"/>
      <c r="T985" s="590"/>
      <c r="U985" s="590"/>
      <c r="V985" s="590"/>
      <c r="W985" s="590"/>
      <c r="X985" s="590"/>
      <c r="Y985" s="590"/>
      <c r="Z985" s="590"/>
    </row>
    <row r="986" spans="1:26" ht="15.75" customHeight="1">
      <c r="A986" s="590"/>
      <c r="B986" s="590"/>
      <c r="C986" s="590"/>
      <c r="D986" s="590"/>
      <c r="E986" s="590"/>
      <c r="F986" s="590"/>
      <c r="G986" s="590"/>
      <c r="H986" s="590"/>
      <c r="I986" s="590"/>
      <c r="J986" s="590"/>
      <c r="K986" s="590"/>
      <c r="L986" s="590"/>
      <c r="M986" s="590"/>
      <c r="N986" s="590"/>
      <c r="O986" s="590"/>
      <c r="P986" s="590"/>
      <c r="Q986" s="590"/>
      <c r="R986" s="590"/>
      <c r="S986" s="590"/>
      <c r="T986" s="590"/>
      <c r="U986" s="590"/>
      <c r="V986" s="590"/>
      <c r="W986" s="590"/>
      <c r="X986" s="590"/>
      <c r="Y986" s="590"/>
      <c r="Z986" s="590"/>
    </row>
    <row r="987" spans="1:26" ht="15.75" customHeight="1">
      <c r="A987" s="590"/>
      <c r="B987" s="590"/>
      <c r="C987" s="590"/>
      <c r="D987" s="590"/>
      <c r="E987" s="590"/>
      <c r="F987" s="590"/>
      <c r="G987" s="590"/>
      <c r="H987" s="590"/>
      <c r="I987" s="590"/>
      <c r="J987" s="590"/>
      <c r="K987" s="590"/>
      <c r="L987" s="590"/>
      <c r="M987" s="590"/>
      <c r="N987" s="590"/>
      <c r="O987" s="590"/>
      <c r="P987" s="590"/>
      <c r="Q987" s="590"/>
      <c r="R987" s="590"/>
      <c r="S987" s="590"/>
      <c r="T987" s="590"/>
      <c r="U987" s="590"/>
      <c r="V987" s="590"/>
      <c r="W987" s="590"/>
      <c r="X987" s="590"/>
      <c r="Y987" s="590"/>
      <c r="Z987" s="590"/>
    </row>
    <row r="988" spans="1:26" ht="15.75" customHeight="1">
      <c r="A988" s="590"/>
      <c r="B988" s="590"/>
      <c r="C988" s="590"/>
      <c r="D988" s="590"/>
      <c r="E988" s="590"/>
      <c r="F988" s="590"/>
      <c r="G988" s="590"/>
      <c r="H988" s="590"/>
      <c r="I988" s="590"/>
      <c r="J988" s="590"/>
      <c r="K988" s="590"/>
      <c r="L988" s="590"/>
      <c r="M988" s="590"/>
      <c r="N988" s="590"/>
      <c r="O988" s="590"/>
      <c r="P988" s="590"/>
      <c r="Q988" s="590"/>
      <c r="R988" s="590"/>
      <c r="S988" s="590"/>
      <c r="T988" s="590"/>
      <c r="U988" s="590"/>
      <c r="V988" s="590"/>
      <c r="W988" s="590"/>
      <c r="X988" s="590"/>
      <c r="Y988" s="590"/>
      <c r="Z988" s="590"/>
    </row>
    <row r="989" spans="1:26" ht="15.75" customHeight="1">
      <c r="A989" s="590"/>
      <c r="B989" s="590"/>
      <c r="C989" s="590"/>
      <c r="D989" s="590"/>
      <c r="E989" s="590"/>
      <c r="F989" s="590"/>
      <c r="G989" s="590"/>
      <c r="H989" s="590"/>
      <c r="I989" s="590"/>
      <c r="J989" s="590"/>
      <c r="K989" s="590"/>
      <c r="L989" s="590"/>
      <c r="M989" s="590"/>
      <c r="N989" s="590"/>
      <c r="O989" s="590"/>
      <c r="P989" s="590"/>
      <c r="Q989" s="590"/>
      <c r="R989" s="590"/>
      <c r="S989" s="590"/>
      <c r="T989" s="590"/>
      <c r="U989" s="590"/>
      <c r="V989" s="590"/>
      <c r="W989" s="590"/>
      <c r="X989" s="590"/>
      <c r="Y989" s="590"/>
      <c r="Z989" s="590"/>
    </row>
    <row r="990" spans="1:26" ht="15.75" customHeight="1">
      <c r="A990" s="590"/>
      <c r="B990" s="590"/>
      <c r="C990" s="590"/>
      <c r="D990" s="590"/>
      <c r="E990" s="590"/>
      <c r="F990" s="590"/>
      <c r="G990" s="590"/>
      <c r="H990" s="590"/>
      <c r="I990" s="590"/>
      <c r="J990" s="590"/>
      <c r="K990" s="590"/>
      <c r="L990" s="590"/>
      <c r="M990" s="590"/>
      <c r="N990" s="590"/>
      <c r="O990" s="590"/>
      <c r="P990" s="590"/>
      <c r="Q990" s="590"/>
      <c r="R990" s="590"/>
      <c r="S990" s="590"/>
      <c r="T990" s="590"/>
      <c r="U990" s="590"/>
      <c r="V990" s="590"/>
      <c r="W990" s="590"/>
      <c r="X990" s="590"/>
      <c r="Y990" s="590"/>
      <c r="Z990" s="590"/>
    </row>
    <row r="991" spans="1:26" ht="15.75" customHeight="1">
      <c r="A991" s="590"/>
      <c r="B991" s="590"/>
      <c r="C991" s="590"/>
      <c r="D991" s="590"/>
      <c r="E991" s="590"/>
      <c r="F991" s="590"/>
      <c r="G991" s="590"/>
      <c r="H991" s="590"/>
      <c r="I991" s="590"/>
      <c r="J991" s="590"/>
      <c r="K991" s="590"/>
      <c r="L991" s="590"/>
      <c r="M991" s="590"/>
      <c r="N991" s="590"/>
      <c r="O991" s="590"/>
      <c r="P991" s="590"/>
      <c r="Q991" s="590"/>
      <c r="R991" s="590"/>
      <c r="S991" s="590"/>
      <c r="T991" s="590"/>
      <c r="U991" s="590"/>
      <c r="V991" s="590"/>
      <c r="W991" s="590"/>
      <c r="X991" s="590"/>
      <c r="Y991" s="590"/>
      <c r="Z991" s="590"/>
    </row>
    <row r="992" spans="1:26" ht="15.75" customHeight="1">
      <c r="A992" s="590"/>
      <c r="B992" s="590"/>
      <c r="C992" s="590"/>
      <c r="D992" s="590"/>
      <c r="E992" s="590"/>
      <c r="F992" s="590"/>
      <c r="G992" s="590"/>
      <c r="H992" s="590"/>
      <c r="I992" s="590"/>
      <c r="J992" s="590"/>
      <c r="K992" s="590"/>
      <c r="L992" s="590"/>
      <c r="M992" s="590"/>
      <c r="N992" s="590"/>
      <c r="O992" s="590"/>
      <c r="P992" s="590"/>
      <c r="Q992" s="590"/>
      <c r="R992" s="590"/>
      <c r="S992" s="590"/>
      <c r="T992" s="590"/>
      <c r="U992" s="590"/>
      <c r="V992" s="590"/>
      <c r="W992" s="590"/>
      <c r="X992" s="590"/>
      <c r="Y992" s="590"/>
      <c r="Z992" s="590"/>
    </row>
    <row r="993" spans="1:26" ht="15.75" customHeight="1">
      <c r="A993" s="590"/>
      <c r="B993" s="590"/>
      <c r="C993" s="590"/>
      <c r="D993" s="590"/>
      <c r="E993" s="590"/>
      <c r="F993" s="590"/>
      <c r="G993" s="590"/>
      <c r="H993" s="590"/>
      <c r="I993" s="590"/>
      <c r="J993" s="590"/>
      <c r="K993" s="590"/>
      <c r="L993" s="590"/>
      <c r="M993" s="590"/>
      <c r="N993" s="590"/>
      <c r="O993" s="590"/>
      <c r="P993" s="590"/>
      <c r="Q993" s="590"/>
      <c r="R993" s="590"/>
      <c r="S993" s="590"/>
      <c r="T993" s="590"/>
      <c r="U993" s="590"/>
      <c r="V993" s="590"/>
      <c r="W993" s="590"/>
      <c r="X993" s="590"/>
      <c r="Y993" s="590"/>
      <c r="Z993" s="590"/>
    </row>
    <row r="994" spans="1:26" ht="15.75" customHeight="1">
      <c r="A994" s="590"/>
      <c r="B994" s="590"/>
      <c r="C994" s="590"/>
      <c r="D994" s="590"/>
      <c r="E994" s="590"/>
      <c r="F994" s="590"/>
      <c r="G994" s="590"/>
      <c r="H994" s="590"/>
      <c r="I994" s="590"/>
      <c r="J994" s="590"/>
      <c r="K994" s="590"/>
      <c r="L994" s="590"/>
      <c r="M994" s="590"/>
      <c r="N994" s="590"/>
      <c r="O994" s="590"/>
      <c r="P994" s="590"/>
      <c r="Q994" s="590"/>
      <c r="R994" s="590"/>
      <c r="S994" s="590"/>
      <c r="T994" s="590"/>
      <c r="U994" s="590"/>
      <c r="V994" s="590"/>
      <c r="W994" s="590"/>
      <c r="X994" s="590"/>
      <c r="Y994" s="590"/>
      <c r="Z994" s="590"/>
    </row>
    <row r="995" spans="1:26" ht="15.75" customHeight="1">
      <c r="A995" s="590"/>
      <c r="B995" s="590"/>
      <c r="C995" s="590"/>
      <c r="D995" s="590"/>
      <c r="E995" s="590"/>
      <c r="F995" s="590"/>
      <c r="G995" s="590"/>
      <c r="H995" s="590"/>
      <c r="I995" s="590"/>
      <c r="J995" s="590"/>
      <c r="K995" s="590"/>
      <c r="L995" s="590"/>
      <c r="M995" s="590"/>
      <c r="N995" s="590"/>
      <c r="O995" s="590"/>
      <c r="P995" s="590"/>
      <c r="Q995" s="590"/>
      <c r="R995" s="590"/>
      <c r="S995" s="590"/>
      <c r="T995" s="590"/>
      <c r="U995" s="590"/>
      <c r="V995" s="590"/>
      <c r="W995" s="590"/>
      <c r="X995" s="590"/>
      <c r="Y995" s="590"/>
      <c r="Z995" s="590"/>
    </row>
    <row r="996" spans="1:26" ht="15.75" customHeight="1">
      <c r="A996" s="590"/>
      <c r="B996" s="590"/>
      <c r="C996" s="590"/>
      <c r="D996" s="590"/>
      <c r="E996" s="590"/>
      <c r="F996" s="590"/>
      <c r="G996" s="590"/>
      <c r="H996" s="590"/>
      <c r="I996" s="590"/>
      <c r="J996" s="590"/>
      <c r="K996" s="590"/>
      <c r="L996" s="590"/>
      <c r="M996" s="590"/>
      <c r="N996" s="590"/>
      <c r="O996" s="590"/>
      <c r="P996" s="590"/>
      <c r="Q996" s="590"/>
      <c r="R996" s="590"/>
      <c r="S996" s="590"/>
      <c r="T996" s="590"/>
      <c r="U996" s="590"/>
      <c r="V996" s="590"/>
      <c r="W996" s="590"/>
      <c r="X996" s="590"/>
      <c r="Y996" s="590"/>
      <c r="Z996" s="590"/>
    </row>
    <row r="997" spans="1:26" ht="15.75" customHeight="1">
      <c r="A997" s="590"/>
      <c r="B997" s="590"/>
      <c r="C997" s="590"/>
      <c r="D997" s="590"/>
      <c r="E997" s="590"/>
      <c r="F997" s="590"/>
      <c r="G997" s="590"/>
      <c r="H997" s="590"/>
      <c r="I997" s="590"/>
      <c r="J997" s="590"/>
      <c r="K997" s="590"/>
      <c r="L997" s="590"/>
      <c r="M997" s="590"/>
      <c r="N997" s="590"/>
      <c r="O997" s="590"/>
      <c r="P997" s="590"/>
      <c r="Q997" s="590"/>
      <c r="R997" s="590"/>
      <c r="S997" s="590"/>
      <c r="T997" s="590"/>
      <c r="U997" s="590"/>
      <c r="V997" s="590"/>
      <c r="W997" s="590"/>
      <c r="X997" s="590"/>
      <c r="Y997" s="590"/>
      <c r="Z997" s="590"/>
    </row>
    <row r="998" spans="1:26" ht="15.75" customHeight="1">
      <c r="A998" s="590"/>
      <c r="B998" s="590"/>
      <c r="C998" s="590"/>
      <c r="D998" s="590"/>
      <c r="E998" s="590"/>
      <c r="F998" s="590"/>
      <c r="G998" s="590"/>
      <c r="H998" s="590"/>
      <c r="I998" s="590"/>
      <c r="J998" s="590"/>
      <c r="K998" s="590"/>
      <c r="L998" s="590"/>
      <c r="M998" s="590"/>
      <c r="N998" s="590"/>
      <c r="O998" s="590"/>
      <c r="P998" s="590"/>
      <c r="Q998" s="590"/>
      <c r="R998" s="590"/>
      <c r="S998" s="590"/>
      <c r="T998" s="590"/>
      <c r="U998" s="590"/>
      <c r="V998" s="590"/>
      <c r="W998" s="590"/>
      <c r="X998" s="590"/>
      <c r="Y998" s="590"/>
      <c r="Z998" s="590"/>
    </row>
    <row r="999" spans="1:26" ht="15.75" customHeight="1">
      <c r="A999" s="590"/>
      <c r="B999" s="590"/>
      <c r="C999" s="590"/>
      <c r="D999" s="590"/>
      <c r="E999" s="590"/>
      <c r="F999" s="590"/>
      <c r="G999" s="590"/>
      <c r="H999" s="590"/>
      <c r="I999" s="590"/>
      <c r="J999" s="590"/>
      <c r="K999" s="590"/>
      <c r="L999" s="590"/>
      <c r="M999" s="590"/>
      <c r="N999" s="590"/>
      <c r="O999" s="590"/>
      <c r="P999" s="590"/>
      <c r="Q999" s="590"/>
      <c r="R999" s="590"/>
      <c r="S999" s="590"/>
      <c r="T999" s="590"/>
      <c r="U999" s="590"/>
      <c r="V999" s="590"/>
      <c r="W999" s="590"/>
      <c r="X999" s="590"/>
      <c r="Y999" s="590"/>
      <c r="Z999" s="590"/>
    </row>
    <row r="1000" spans="1:26" ht="15.75" customHeight="1">
      <c r="A1000" s="590"/>
      <c r="B1000" s="590"/>
      <c r="C1000" s="590"/>
      <c r="D1000" s="590"/>
      <c r="E1000" s="590"/>
      <c r="F1000" s="590"/>
      <c r="G1000" s="590"/>
      <c r="H1000" s="590"/>
      <c r="I1000" s="590"/>
      <c r="J1000" s="590"/>
      <c r="K1000" s="590"/>
      <c r="L1000" s="590"/>
      <c r="M1000" s="590"/>
      <c r="N1000" s="590"/>
      <c r="O1000" s="590"/>
      <c r="P1000" s="590"/>
      <c r="Q1000" s="590"/>
      <c r="R1000" s="590"/>
      <c r="S1000" s="590"/>
      <c r="T1000" s="590"/>
      <c r="U1000" s="590"/>
      <c r="V1000" s="590"/>
      <c r="W1000" s="590"/>
      <c r="X1000" s="590"/>
      <c r="Y1000" s="590"/>
      <c r="Z1000" s="590"/>
    </row>
  </sheetData>
  <mergeCells count="269">
    <mergeCell ref="C96:G96"/>
    <mergeCell ref="C149:I149"/>
    <mergeCell ref="B150:I150"/>
    <mergeCell ref="B151:J151"/>
    <mergeCell ref="B152:J152"/>
    <mergeCell ref="C153:I153"/>
    <mergeCell ref="C154:I154"/>
    <mergeCell ref="C155:I155"/>
    <mergeCell ref="C156:I156"/>
    <mergeCell ref="B86:H86"/>
    <mergeCell ref="B88:J88"/>
    <mergeCell ref="B89:J89"/>
    <mergeCell ref="B90:J90"/>
    <mergeCell ref="C91:I91"/>
    <mergeCell ref="C92:H92"/>
    <mergeCell ref="C93:H93"/>
    <mergeCell ref="C94:H94"/>
    <mergeCell ref="C95:H95"/>
    <mergeCell ref="C77:H77"/>
    <mergeCell ref="C78:H78"/>
    <mergeCell ref="C79:H79"/>
    <mergeCell ref="C80:D80"/>
    <mergeCell ref="C81:H81"/>
    <mergeCell ref="C82:H82"/>
    <mergeCell ref="C83:H83"/>
    <mergeCell ref="C84:H84"/>
    <mergeCell ref="C85:H85"/>
    <mergeCell ref="C98:H98"/>
    <mergeCell ref="C99:H99"/>
    <mergeCell ref="C100:H100"/>
    <mergeCell ref="C101:I101"/>
    <mergeCell ref="C102:I102"/>
    <mergeCell ref="C103:I103"/>
    <mergeCell ref="C104:I104"/>
    <mergeCell ref="C105:I105"/>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46:H46"/>
    <mergeCell ref="C47:F47"/>
    <mergeCell ref="C48:E48"/>
    <mergeCell ref="F48:H48"/>
    <mergeCell ref="C49:H49"/>
    <mergeCell ref="C50:F50"/>
    <mergeCell ref="G50:H50"/>
    <mergeCell ref="C51:E51"/>
    <mergeCell ref="C52:I52"/>
    <mergeCell ref="C53:I53"/>
    <mergeCell ref="C54:E54"/>
    <mergeCell ref="C55:E55"/>
    <mergeCell ref="C56:I56"/>
    <mergeCell ref="C57:I57"/>
    <mergeCell ref="B58:I58"/>
    <mergeCell ref="C59:I59"/>
    <mergeCell ref="C60:I60"/>
    <mergeCell ref="B61:I61"/>
    <mergeCell ref="B62:J62"/>
    <mergeCell ref="B63:I63"/>
    <mergeCell ref="B64:J64"/>
    <mergeCell ref="B65:J65"/>
    <mergeCell ref="B66:J66"/>
    <mergeCell ref="B67:J67"/>
    <mergeCell ref="B68:J68"/>
    <mergeCell ref="C69:I69"/>
    <mergeCell ref="C70:H70"/>
    <mergeCell ref="C71:H71"/>
    <mergeCell ref="B72:I72"/>
    <mergeCell ref="B73:J73"/>
    <mergeCell ref="B74:J74"/>
    <mergeCell ref="B75:J75"/>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144:I144"/>
    <mergeCell ref="B145:J145"/>
    <mergeCell ref="B146:J146"/>
    <mergeCell ref="C147:I147"/>
    <mergeCell ref="C148:I148"/>
    <mergeCell ref="B203:E203"/>
    <mergeCell ref="I203:J203"/>
    <mergeCell ref="B204:E204"/>
    <mergeCell ref="F204:G204"/>
    <mergeCell ref="I204:J204"/>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F205:G205"/>
    <mergeCell ref="I205:J205"/>
    <mergeCell ref="B205:E205"/>
    <mergeCell ref="B206:E206"/>
    <mergeCell ref="F206:G206"/>
    <mergeCell ref="I206:J206"/>
    <mergeCell ref="B207:G207"/>
    <mergeCell ref="I207:J207"/>
    <mergeCell ref="B208:J208"/>
    <mergeCell ref="B184:J184"/>
    <mergeCell ref="B185:J185"/>
    <mergeCell ref="B186:J186"/>
    <mergeCell ref="B187:I187"/>
    <mergeCell ref="C188:I188"/>
    <mergeCell ref="C189:I189"/>
    <mergeCell ref="C190:I190"/>
    <mergeCell ref="C191:I191"/>
    <mergeCell ref="C192:I192"/>
    <mergeCell ref="B193:I193"/>
    <mergeCell ref="C194:I194"/>
    <mergeCell ref="B195:I195"/>
    <mergeCell ref="B196:J196"/>
    <mergeCell ref="B197:J197"/>
    <mergeCell ref="I201:J201"/>
    <mergeCell ref="I202:J202"/>
    <mergeCell ref="B199:J199"/>
    <mergeCell ref="B200:E200"/>
    <mergeCell ref="I200:J200"/>
    <mergeCell ref="B201:E201"/>
    <mergeCell ref="F201:G201"/>
    <mergeCell ref="B202:E202"/>
    <mergeCell ref="F202:G202"/>
    <mergeCell ref="B214:J214"/>
    <mergeCell ref="B215:G215"/>
    <mergeCell ref="H215:J215"/>
    <mergeCell ref="B216:J216"/>
    <mergeCell ref="B209:J209"/>
    <mergeCell ref="B210:J210"/>
    <mergeCell ref="B211:G211"/>
    <mergeCell ref="H211:J211"/>
    <mergeCell ref="B212:J212"/>
    <mergeCell ref="B213:G213"/>
    <mergeCell ref="H213:J213"/>
  </mergeCells>
  <conditionalFormatting sqref="I49:I50">
    <cfRule type="cellIs" dxfId="119" priority="1" operator="equal">
      <formula>0</formula>
    </cfRule>
  </conditionalFormatting>
  <conditionalFormatting sqref="I48">
    <cfRule type="cellIs" dxfId="118" priority="2" operator="equal">
      <formula>0</formula>
    </cfRule>
  </conditionalFormatting>
  <printOptions horizontalCentered="1"/>
  <pageMargins left="0.11811023622047245" right="0.11811023622047245" top="0.19685039370078741" bottom="0.19685039370078741" header="0" footer="0"/>
  <pageSetup paperSize="9" scale="75" orientation="portrait"/>
  <headerFooter>
    <oddFooter>&amp;C&amp;A » Página -&amp;P  de</oddFoot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FF"/>
  </sheetPr>
  <dimension ref="A1:Z1000"/>
  <sheetViews>
    <sheetView topLeftCell="A41" workbookViewId="0">
      <selection activeCell="J51" sqref="J51"/>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3.7109375" customWidth="1"/>
    <col min="7" max="7" width="17.28515625" customWidth="1"/>
    <col min="8" max="8" width="17.5703125" customWidth="1"/>
    <col min="9" max="9" width="11.28515625" customWidth="1"/>
    <col min="10" max="10" width="22.5703125" customWidth="1"/>
    <col min="11" max="11" width="9.140625" customWidth="1"/>
  </cols>
  <sheetData>
    <row r="1" spans="1:26" ht="11.25" customHeight="1">
      <c r="A1" s="574"/>
      <c r="B1" s="574"/>
      <c r="C1" s="574"/>
      <c r="D1" s="574"/>
      <c r="E1" s="574"/>
      <c r="F1" s="574"/>
      <c r="G1" s="574"/>
      <c r="H1" s="574"/>
      <c r="I1" s="574"/>
      <c r="J1" s="571"/>
      <c r="K1" s="574"/>
      <c r="L1" s="590"/>
      <c r="M1" s="590"/>
      <c r="N1" s="590"/>
      <c r="O1" s="590"/>
      <c r="P1" s="590"/>
      <c r="Q1" s="590"/>
      <c r="R1" s="590"/>
      <c r="S1" s="590"/>
      <c r="T1" s="590"/>
      <c r="U1" s="590"/>
      <c r="V1" s="590"/>
      <c r="W1" s="590"/>
      <c r="X1" s="590"/>
      <c r="Y1" s="590"/>
      <c r="Z1" s="590"/>
    </row>
    <row r="2" spans="1:26" ht="32.25" customHeight="1">
      <c r="A2" s="574"/>
      <c r="B2" s="1146" t="str">
        <f>'1-ABA-DE-CARREGAMENTO'!C11</f>
        <v xml:space="preserve"> S E R V I Ç O S     -   REFEITORIO_×_JARDINAGEM</v>
      </c>
      <c r="C2" s="1130"/>
      <c r="D2" s="1130"/>
      <c r="E2" s="1130"/>
      <c r="F2" s="1130"/>
      <c r="G2" s="1130"/>
      <c r="H2" s="1130"/>
      <c r="I2" s="1130"/>
      <c r="J2" s="1128"/>
      <c r="K2" s="591"/>
      <c r="L2" s="590"/>
      <c r="M2" s="590"/>
      <c r="N2" s="590"/>
      <c r="O2" s="590"/>
      <c r="P2" s="590"/>
      <c r="Q2" s="590"/>
      <c r="R2" s="590"/>
      <c r="S2" s="590"/>
      <c r="T2" s="590"/>
      <c r="U2" s="590"/>
      <c r="V2" s="590"/>
      <c r="W2" s="590"/>
      <c r="X2" s="590"/>
      <c r="Y2" s="590"/>
      <c r="Z2" s="590"/>
    </row>
    <row r="3" spans="1:26" ht="24" customHeight="1">
      <c r="A3" s="574"/>
      <c r="B3" s="1147" t="str">
        <f>'1-ABA-DE-CARREGAMENTO'!D33</f>
        <v>5132-05_COZINHEIRO_geral_hs</v>
      </c>
      <c r="C3" s="1060"/>
      <c r="D3" s="1060"/>
      <c r="E3" s="1060"/>
      <c r="F3" s="1060"/>
      <c r="G3" s="1060"/>
      <c r="H3" s="1060"/>
      <c r="I3" s="1060"/>
      <c r="J3" s="1062"/>
      <c r="K3" s="592"/>
      <c r="L3" s="590"/>
      <c r="M3" s="590"/>
      <c r="N3" s="590"/>
      <c r="O3" s="590"/>
      <c r="P3" s="590"/>
      <c r="Q3" s="590"/>
      <c r="R3" s="590"/>
      <c r="S3" s="590"/>
      <c r="T3" s="590"/>
      <c r="U3" s="590"/>
      <c r="V3" s="590"/>
      <c r="W3" s="590"/>
      <c r="X3" s="590"/>
      <c r="Y3" s="590"/>
      <c r="Z3" s="590"/>
    </row>
    <row r="4" spans="1:26" ht="15.75" customHeight="1">
      <c r="A4" s="574"/>
      <c r="B4" s="1144" t="s">
        <v>511</v>
      </c>
      <c r="C4" s="1060"/>
      <c r="D4" s="1060"/>
      <c r="E4" s="1060"/>
      <c r="F4" s="1062"/>
      <c r="G4" s="1148">
        <f>'1-ABA-DE-CARREGAMENTO'!C12</f>
        <v>0</v>
      </c>
      <c r="H4" s="1060"/>
      <c r="I4" s="1060"/>
      <c r="J4" s="1062"/>
      <c r="K4" s="593"/>
      <c r="L4" s="590"/>
      <c r="M4" s="590"/>
      <c r="N4" s="590"/>
      <c r="O4" s="590"/>
      <c r="P4" s="590"/>
      <c r="Q4" s="590"/>
      <c r="R4" s="590"/>
      <c r="S4" s="590"/>
      <c r="T4" s="590"/>
      <c r="U4" s="590"/>
      <c r="V4" s="590"/>
      <c r="W4" s="590"/>
      <c r="X4" s="590"/>
      <c r="Y4" s="590"/>
      <c r="Z4" s="590"/>
    </row>
    <row r="5" spans="1:26" ht="15.75" customHeight="1">
      <c r="A5" s="574"/>
      <c r="B5" s="1069" t="s">
        <v>512</v>
      </c>
      <c r="C5" s="1009"/>
      <c r="D5" s="1009"/>
      <c r="E5" s="1009"/>
      <c r="F5" s="1010"/>
      <c r="G5" s="1149">
        <f>'1-ABA-DE-CARREGAMENTO'!C13</f>
        <v>0</v>
      </c>
      <c r="H5" s="1009"/>
      <c r="I5" s="1009"/>
      <c r="J5" s="1010"/>
      <c r="K5" s="593"/>
      <c r="L5" s="590"/>
      <c r="M5" s="590"/>
      <c r="N5" s="590"/>
      <c r="O5" s="590"/>
      <c r="P5" s="590"/>
      <c r="Q5" s="590"/>
      <c r="R5" s="590"/>
      <c r="S5" s="590"/>
      <c r="T5" s="590"/>
      <c r="U5" s="590"/>
      <c r="V5" s="590"/>
      <c r="W5" s="590"/>
      <c r="X5" s="590"/>
      <c r="Y5" s="590"/>
      <c r="Z5" s="590"/>
    </row>
    <row r="6" spans="1:26" ht="14.25" customHeight="1">
      <c r="A6" s="574"/>
      <c r="B6" s="1150">
        <f>'1-ABA-DE-CARREGAMENTO'!C16</f>
        <v>0</v>
      </c>
      <c r="C6" s="1009"/>
      <c r="D6" s="1009"/>
      <c r="E6" s="1009"/>
      <c r="F6" s="1009"/>
      <c r="G6" s="1009"/>
      <c r="H6" s="1009"/>
      <c r="I6" s="1009"/>
      <c r="J6" s="1010"/>
      <c r="K6" s="594"/>
      <c r="L6" s="590"/>
      <c r="M6" s="590"/>
      <c r="N6" s="590"/>
      <c r="O6" s="590"/>
      <c r="P6" s="590"/>
      <c r="Q6" s="590"/>
      <c r="R6" s="590"/>
      <c r="S6" s="590"/>
      <c r="T6" s="590"/>
      <c r="U6" s="590"/>
      <c r="V6" s="590"/>
      <c r="W6" s="590"/>
      <c r="X6" s="590"/>
      <c r="Y6" s="590"/>
      <c r="Z6" s="590"/>
    </row>
    <row r="7" spans="1:26" ht="20.25" customHeight="1">
      <c r="A7" s="574"/>
      <c r="B7" s="1086" t="s">
        <v>513</v>
      </c>
      <c r="C7" s="1009"/>
      <c r="D7" s="1009"/>
      <c r="E7" s="1009"/>
      <c r="F7" s="1009"/>
      <c r="G7" s="1009"/>
      <c r="H7" s="1009"/>
      <c r="I7" s="1009"/>
      <c r="J7" s="1010"/>
      <c r="K7" s="594"/>
      <c r="L7" s="590"/>
      <c r="M7" s="590"/>
      <c r="N7" s="590"/>
      <c r="O7" s="590"/>
      <c r="P7" s="590"/>
      <c r="Q7" s="590"/>
      <c r="R7" s="590"/>
      <c r="S7" s="590"/>
      <c r="T7" s="590"/>
      <c r="U7" s="590"/>
      <c r="V7" s="590"/>
      <c r="W7" s="590"/>
      <c r="X7" s="590"/>
      <c r="Y7" s="590"/>
      <c r="Z7" s="590"/>
    </row>
    <row r="8" spans="1:26" ht="15.75" customHeight="1">
      <c r="A8" s="574"/>
      <c r="B8" s="595" t="s">
        <v>514</v>
      </c>
      <c r="C8" s="1069" t="s">
        <v>515</v>
      </c>
      <c r="D8" s="1009"/>
      <c r="E8" s="1009"/>
      <c r="F8" s="1009"/>
      <c r="G8" s="1009"/>
      <c r="H8" s="1010"/>
      <c r="I8" s="1151">
        <f>'1-ABA-DE-CARREGAMENTO'!C16</f>
        <v>0</v>
      </c>
      <c r="J8" s="1010"/>
      <c r="K8" s="596"/>
      <c r="L8" s="590"/>
      <c r="M8" s="590"/>
      <c r="N8" s="590"/>
      <c r="O8" s="590"/>
      <c r="P8" s="590"/>
      <c r="Q8" s="590"/>
      <c r="R8" s="590"/>
      <c r="S8" s="590"/>
      <c r="T8" s="590"/>
      <c r="U8" s="590"/>
      <c r="V8" s="590"/>
      <c r="W8" s="590"/>
      <c r="X8" s="590"/>
      <c r="Y8" s="590"/>
      <c r="Z8" s="590"/>
    </row>
    <row r="9" spans="1:26" ht="15.75" customHeight="1">
      <c r="A9" s="574"/>
      <c r="B9" s="595" t="s">
        <v>516</v>
      </c>
      <c r="C9" s="1069" t="s">
        <v>517</v>
      </c>
      <c r="D9" s="1009"/>
      <c r="E9" s="1009"/>
      <c r="F9" s="1009"/>
      <c r="G9" s="1009"/>
      <c r="H9" s="1010"/>
      <c r="I9" s="1149" t="str">
        <f>'1-ABA-DE-CARREGAMENTO'!C14</f>
        <v xml:space="preserve">JULIO-DE-CASTILHOS </v>
      </c>
      <c r="J9" s="1010"/>
      <c r="K9" s="593"/>
      <c r="L9" s="590"/>
      <c r="M9" s="590"/>
      <c r="N9" s="590"/>
      <c r="O9" s="590"/>
      <c r="P9" s="590"/>
      <c r="Q9" s="590"/>
      <c r="R9" s="590"/>
      <c r="S9" s="590"/>
      <c r="T9" s="590"/>
      <c r="U9" s="590"/>
      <c r="V9" s="590"/>
      <c r="W9" s="590"/>
      <c r="X9" s="590"/>
      <c r="Y9" s="590"/>
      <c r="Z9" s="590"/>
    </row>
    <row r="10" spans="1:26" ht="19.5" customHeight="1">
      <c r="A10" s="574"/>
      <c r="B10" s="595" t="s">
        <v>518</v>
      </c>
      <c r="C10" s="1069" t="s">
        <v>519</v>
      </c>
      <c r="D10" s="1009"/>
      <c r="E10" s="1009"/>
      <c r="F10" s="1009"/>
      <c r="G10" s="1009"/>
      <c r="H10" s="1010"/>
      <c r="I10" s="1149" t="str">
        <f>'1-ABA-DE-CARREGAMENTO'!D35</f>
        <v>RS000044/2023</v>
      </c>
      <c r="J10" s="1010"/>
      <c r="K10" s="593"/>
      <c r="L10" s="590"/>
      <c r="M10" s="590"/>
      <c r="N10" s="590"/>
      <c r="O10" s="590"/>
      <c r="P10" s="590"/>
      <c r="Q10" s="590"/>
      <c r="R10" s="590"/>
      <c r="S10" s="590"/>
      <c r="T10" s="590"/>
      <c r="U10" s="590"/>
      <c r="V10" s="590"/>
      <c r="W10" s="590"/>
      <c r="X10" s="590"/>
      <c r="Y10" s="590"/>
      <c r="Z10" s="590"/>
    </row>
    <row r="11" spans="1:26" ht="15.75" customHeight="1">
      <c r="A11" s="574"/>
      <c r="B11" s="595" t="s">
        <v>520</v>
      </c>
      <c r="C11" s="1069" t="s">
        <v>521</v>
      </c>
      <c r="D11" s="1009"/>
      <c r="E11" s="1009"/>
      <c r="F11" s="1009"/>
      <c r="G11" s="1009"/>
      <c r="H11" s="1010"/>
      <c r="I11" s="1076">
        <f>'1-ABA-DE-CARREGAMENTO'!D94</f>
        <v>30</v>
      </c>
      <c r="J11" s="1010"/>
      <c r="K11" s="593"/>
      <c r="L11" s="590"/>
      <c r="M11" s="590"/>
      <c r="N11" s="590"/>
      <c r="O11" s="590"/>
      <c r="P11" s="590"/>
      <c r="Q11" s="590"/>
      <c r="R11" s="590"/>
      <c r="S11" s="590"/>
      <c r="T11" s="590"/>
      <c r="U11" s="590"/>
      <c r="V11" s="590"/>
      <c r="W11" s="590"/>
      <c r="X11" s="590"/>
      <c r="Y11" s="590"/>
      <c r="Z11" s="590"/>
    </row>
    <row r="12" spans="1:26" ht="21" customHeight="1">
      <c r="A12" s="574"/>
      <c r="B12" s="1140" t="s">
        <v>522</v>
      </c>
      <c r="C12" s="1009"/>
      <c r="D12" s="1009"/>
      <c r="E12" s="1009"/>
      <c r="F12" s="1009"/>
      <c r="G12" s="1009"/>
      <c r="H12" s="1009"/>
      <c r="I12" s="1009"/>
      <c r="J12" s="1010"/>
      <c r="K12" s="592"/>
      <c r="L12" s="590"/>
      <c r="M12" s="590"/>
      <c r="N12" s="590"/>
      <c r="O12" s="590"/>
      <c r="P12" s="590"/>
      <c r="Q12" s="590"/>
      <c r="R12" s="590"/>
      <c r="S12" s="590"/>
      <c r="T12" s="590"/>
      <c r="U12" s="590"/>
      <c r="V12" s="590"/>
      <c r="W12" s="590"/>
      <c r="X12" s="590"/>
      <c r="Y12" s="590"/>
      <c r="Z12" s="590"/>
    </row>
    <row r="13" spans="1:26" ht="50.25" customHeight="1">
      <c r="A13" s="574"/>
      <c r="B13" s="1083" t="str">
        <f>'1-ABA-DE-CARREGAMENTO'!C11</f>
        <v xml:space="preserve"> S E R V I Ç O S     -   REFEITORIO_×_JARDINAGEM</v>
      </c>
      <c r="C13" s="1009"/>
      <c r="D13" s="1009"/>
      <c r="E13" s="1009"/>
      <c r="F13" s="1030"/>
      <c r="G13" s="1083" t="s">
        <v>523</v>
      </c>
      <c r="H13" s="1010"/>
      <c r="I13" s="1083" t="s">
        <v>524</v>
      </c>
      <c r="J13" s="1010"/>
      <c r="K13" s="592"/>
      <c r="L13" s="590"/>
      <c r="M13" s="590"/>
      <c r="N13" s="590"/>
      <c r="O13" s="590"/>
      <c r="P13" s="590"/>
      <c r="Q13" s="590"/>
      <c r="R13" s="590"/>
      <c r="S13" s="590"/>
      <c r="T13" s="590"/>
      <c r="U13" s="590"/>
      <c r="V13" s="590"/>
      <c r="W13" s="590"/>
      <c r="X13" s="590"/>
      <c r="Y13" s="590"/>
      <c r="Z13" s="590"/>
    </row>
    <row r="14" spans="1:26" ht="12.75" hidden="1" customHeight="1" outlineLevel="1">
      <c r="A14" s="574"/>
      <c r="B14" s="1141" t="s">
        <v>525</v>
      </c>
      <c r="C14" s="1009"/>
      <c r="D14" s="1009"/>
      <c r="E14" s="1009"/>
      <c r="F14" s="1010"/>
      <c r="G14" s="1142" t="s">
        <v>526</v>
      </c>
      <c r="H14" s="1010"/>
      <c r="I14" s="1143" t="s">
        <v>527</v>
      </c>
      <c r="J14" s="1010"/>
      <c r="K14" s="598"/>
      <c r="L14" s="590"/>
      <c r="M14" s="590"/>
      <c r="N14" s="590"/>
      <c r="O14" s="590"/>
      <c r="P14" s="590"/>
      <c r="Q14" s="590"/>
      <c r="R14" s="590"/>
      <c r="S14" s="590"/>
      <c r="T14" s="590"/>
      <c r="U14" s="590"/>
      <c r="V14" s="590"/>
      <c r="W14" s="590"/>
      <c r="X14" s="590"/>
      <c r="Y14" s="590"/>
      <c r="Z14" s="590"/>
    </row>
    <row r="15" spans="1:26" ht="12.75" hidden="1" customHeight="1" outlineLevel="1">
      <c r="A15" s="574"/>
      <c r="B15" s="1141" t="s">
        <v>528</v>
      </c>
      <c r="C15" s="1009"/>
      <c r="D15" s="1009"/>
      <c r="E15" s="1009"/>
      <c r="F15" s="1010"/>
      <c r="G15" s="1142" t="s">
        <v>526</v>
      </c>
      <c r="H15" s="1010"/>
      <c r="I15" s="1143" t="s">
        <v>527</v>
      </c>
      <c r="J15" s="1010"/>
      <c r="K15" s="598"/>
      <c r="L15" s="590"/>
      <c r="M15" s="590"/>
      <c r="N15" s="590"/>
      <c r="O15" s="590"/>
      <c r="P15" s="590"/>
      <c r="Q15" s="590"/>
      <c r="R15" s="590"/>
      <c r="S15" s="590"/>
      <c r="T15" s="590"/>
      <c r="U15" s="590"/>
      <c r="V15" s="590"/>
      <c r="W15" s="590"/>
      <c r="X15" s="590"/>
      <c r="Y15" s="590"/>
      <c r="Z15" s="590"/>
    </row>
    <row r="16" spans="1:26" ht="12.75" hidden="1" customHeight="1" outlineLevel="1">
      <c r="A16" s="574"/>
      <c r="B16" s="1141" t="s">
        <v>529</v>
      </c>
      <c r="C16" s="1009"/>
      <c r="D16" s="1009"/>
      <c r="E16" s="1009"/>
      <c r="F16" s="1010"/>
      <c r="G16" s="1142" t="s">
        <v>526</v>
      </c>
      <c r="H16" s="1010"/>
      <c r="I16" s="1143" t="s">
        <v>527</v>
      </c>
      <c r="J16" s="1010"/>
      <c r="K16" s="598"/>
      <c r="L16" s="590"/>
      <c r="M16" s="590"/>
      <c r="N16" s="590"/>
      <c r="O16" s="590"/>
      <c r="P16" s="590"/>
      <c r="Q16" s="590"/>
      <c r="R16" s="590"/>
      <c r="S16" s="590"/>
      <c r="T16" s="590"/>
      <c r="U16" s="590"/>
      <c r="V16" s="590"/>
      <c r="W16" s="590"/>
      <c r="X16" s="590"/>
      <c r="Y16" s="590"/>
      <c r="Z16" s="590"/>
    </row>
    <row r="17" spans="1:26" ht="12.75" customHeight="1" collapsed="1">
      <c r="A17" s="574"/>
      <c r="B17" s="1141" t="str">
        <f>B3</f>
        <v>5132-05_COZINHEIRO_geral_hs</v>
      </c>
      <c r="C17" s="1009"/>
      <c r="D17" s="1009"/>
      <c r="E17" s="1009"/>
      <c r="F17" s="1010"/>
      <c r="G17" s="1142" t="s">
        <v>526</v>
      </c>
      <c r="H17" s="1010"/>
      <c r="I17" s="1143">
        <f>'1-ABA-DE-CARREGAMENTO'!D92</f>
        <v>3</v>
      </c>
      <c r="J17" s="1010"/>
      <c r="K17" s="598"/>
      <c r="L17" s="590"/>
      <c r="M17" s="590"/>
      <c r="N17" s="590"/>
      <c r="O17" s="590"/>
      <c r="P17" s="590"/>
      <c r="Q17" s="590"/>
      <c r="R17" s="590"/>
      <c r="S17" s="590"/>
      <c r="T17" s="590"/>
      <c r="U17" s="590"/>
      <c r="V17" s="590"/>
      <c r="W17" s="590"/>
      <c r="X17" s="590"/>
      <c r="Y17" s="590"/>
      <c r="Z17" s="590"/>
    </row>
    <row r="18" spans="1:26" ht="12.75" hidden="1" customHeight="1" outlineLevel="1">
      <c r="A18" s="574"/>
      <c r="B18" s="1141" t="s">
        <v>530</v>
      </c>
      <c r="C18" s="1009"/>
      <c r="D18" s="1009"/>
      <c r="E18" s="1009"/>
      <c r="F18" s="1010"/>
      <c r="G18" s="1142" t="s">
        <v>526</v>
      </c>
      <c r="H18" s="1010"/>
      <c r="I18" s="1143" t="s">
        <v>527</v>
      </c>
      <c r="J18" s="1010"/>
      <c r="K18" s="598"/>
      <c r="L18" s="590"/>
      <c r="M18" s="590"/>
      <c r="N18" s="590"/>
      <c r="O18" s="590"/>
      <c r="P18" s="590"/>
      <c r="Q18" s="590"/>
      <c r="R18" s="590"/>
      <c r="S18" s="590"/>
      <c r="T18" s="590"/>
      <c r="U18" s="590"/>
      <c r="V18" s="590"/>
      <c r="W18" s="590"/>
      <c r="X18" s="590"/>
      <c r="Y18" s="590"/>
      <c r="Z18" s="590"/>
    </row>
    <row r="19" spans="1:26" ht="12.75" hidden="1" customHeight="1" outlineLevel="1">
      <c r="A19" s="574"/>
      <c r="B19" s="1141" t="s">
        <v>719</v>
      </c>
      <c r="C19" s="1009"/>
      <c r="D19" s="1009"/>
      <c r="E19" s="1009"/>
      <c r="F19" s="1010"/>
      <c r="G19" s="1142" t="s">
        <v>526</v>
      </c>
      <c r="H19" s="1010"/>
      <c r="I19" s="1143" t="s">
        <v>527</v>
      </c>
      <c r="J19" s="1010"/>
      <c r="K19" s="598"/>
      <c r="L19" s="590"/>
      <c r="M19" s="590"/>
      <c r="N19" s="590"/>
      <c r="O19" s="590"/>
      <c r="P19" s="590"/>
      <c r="Q19" s="590"/>
      <c r="R19" s="590"/>
      <c r="S19" s="590"/>
      <c r="T19" s="590"/>
      <c r="U19" s="590"/>
      <c r="V19" s="590"/>
      <c r="W19" s="590"/>
      <c r="X19" s="590"/>
      <c r="Y19" s="590"/>
      <c r="Z19" s="590"/>
    </row>
    <row r="20" spans="1:26" ht="12.75" customHeight="1" collapsed="1">
      <c r="A20" s="574"/>
      <c r="B20" s="1153" t="s">
        <v>532</v>
      </c>
      <c r="C20" s="1009"/>
      <c r="D20" s="1009"/>
      <c r="E20" s="1009"/>
      <c r="F20" s="1009"/>
      <c r="G20" s="1009"/>
      <c r="H20" s="1010"/>
      <c r="I20" s="1152">
        <f>SUM(I14:I19)</f>
        <v>3</v>
      </c>
      <c r="J20" s="1010"/>
      <c r="K20" s="599"/>
      <c r="L20" s="590"/>
      <c r="M20" s="590"/>
      <c r="N20" s="590"/>
      <c r="O20" s="590"/>
      <c r="P20" s="590"/>
      <c r="Q20" s="590"/>
      <c r="R20" s="590"/>
      <c r="S20" s="590"/>
      <c r="T20" s="590"/>
      <c r="U20" s="590"/>
      <c r="V20" s="590"/>
      <c r="W20" s="590"/>
      <c r="X20" s="590"/>
      <c r="Y20" s="590"/>
      <c r="Z20" s="590"/>
    </row>
    <row r="21" spans="1:26" ht="8.25" customHeight="1">
      <c r="A21" s="574"/>
      <c r="B21" s="1117"/>
      <c r="C21" s="1009"/>
      <c r="D21" s="1009"/>
      <c r="E21" s="1009"/>
      <c r="F21" s="1009"/>
      <c r="G21" s="1009"/>
      <c r="H21" s="1009"/>
      <c r="I21" s="1009"/>
      <c r="J21" s="1010"/>
      <c r="K21" s="592"/>
      <c r="L21" s="590"/>
      <c r="M21" s="590"/>
      <c r="N21" s="590"/>
      <c r="O21" s="590"/>
      <c r="P21" s="590"/>
      <c r="Q21" s="590"/>
      <c r="R21" s="590"/>
      <c r="S21" s="590"/>
      <c r="T21" s="590"/>
      <c r="U21" s="590"/>
      <c r="V21" s="590"/>
      <c r="W21" s="590"/>
      <c r="X21" s="590"/>
      <c r="Y21" s="590"/>
      <c r="Z21" s="590"/>
    </row>
    <row r="22" spans="1:26" ht="46.5" customHeight="1">
      <c r="A22" s="574"/>
      <c r="B22" s="1084" t="s">
        <v>533</v>
      </c>
      <c r="C22" s="1009"/>
      <c r="D22" s="1009"/>
      <c r="E22" s="1009"/>
      <c r="F22" s="1009"/>
      <c r="G22" s="1009"/>
      <c r="H22" s="1009"/>
      <c r="I22" s="1009"/>
      <c r="J22" s="1010"/>
      <c r="K22" s="600"/>
      <c r="L22" s="590"/>
      <c r="M22" s="590"/>
      <c r="N22" s="590"/>
      <c r="O22" s="590"/>
      <c r="P22" s="590"/>
      <c r="Q22" s="590"/>
      <c r="R22" s="590"/>
      <c r="S22" s="590"/>
      <c r="T22" s="590"/>
      <c r="U22" s="590"/>
      <c r="V22" s="590"/>
      <c r="W22" s="590"/>
      <c r="X22" s="590"/>
      <c r="Y22" s="590"/>
      <c r="Z22" s="590"/>
    </row>
    <row r="23" spans="1:26" ht="7.5" customHeight="1">
      <c r="A23" s="574"/>
      <c r="B23" s="1122"/>
      <c r="C23" s="1009"/>
      <c r="D23" s="1009"/>
      <c r="E23" s="1009"/>
      <c r="F23" s="1009"/>
      <c r="G23" s="1009"/>
      <c r="H23" s="1009"/>
      <c r="I23" s="1009"/>
      <c r="J23" s="1010"/>
      <c r="K23" s="601"/>
      <c r="L23" s="590"/>
      <c r="M23" s="590"/>
      <c r="N23" s="590"/>
      <c r="O23" s="590"/>
      <c r="P23" s="590"/>
      <c r="Q23" s="590"/>
      <c r="R23" s="590"/>
      <c r="S23" s="590"/>
      <c r="T23" s="590"/>
      <c r="U23" s="590"/>
      <c r="V23" s="590"/>
      <c r="W23" s="590"/>
      <c r="X23" s="590"/>
      <c r="Y23" s="590"/>
      <c r="Z23" s="590"/>
    </row>
    <row r="24" spans="1:26" ht="51.75" customHeight="1">
      <c r="A24" s="574"/>
      <c r="B24" s="1154" t="s">
        <v>720</v>
      </c>
      <c r="C24" s="1009"/>
      <c r="D24" s="1009"/>
      <c r="E24" s="1009"/>
      <c r="F24" s="1009"/>
      <c r="G24" s="1009"/>
      <c r="H24" s="1009"/>
      <c r="I24" s="1009"/>
      <c r="J24" s="1010"/>
      <c r="K24" s="602"/>
      <c r="L24" s="590"/>
      <c r="M24" s="590"/>
      <c r="N24" s="590"/>
      <c r="O24" s="590"/>
      <c r="P24" s="590"/>
      <c r="Q24" s="590"/>
      <c r="R24" s="590"/>
      <c r="S24" s="590"/>
      <c r="T24" s="590"/>
      <c r="U24" s="590"/>
      <c r="V24" s="590"/>
      <c r="W24" s="590"/>
      <c r="X24" s="590"/>
      <c r="Y24" s="590"/>
      <c r="Z24" s="590"/>
    </row>
    <row r="25" spans="1:26" ht="9.75" customHeight="1">
      <c r="A25" s="574"/>
      <c r="B25" s="1123"/>
      <c r="C25" s="1009"/>
      <c r="D25" s="1009"/>
      <c r="E25" s="1009"/>
      <c r="F25" s="1009"/>
      <c r="G25" s="1009"/>
      <c r="H25" s="1009"/>
      <c r="I25" s="1009"/>
      <c r="J25" s="1010"/>
      <c r="K25" s="602"/>
      <c r="L25" s="590"/>
      <c r="M25" s="590"/>
      <c r="N25" s="590"/>
      <c r="O25" s="590"/>
      <c r="P25" s="590"/>
      <c r="Q25" s="590"/>
      <c r="R25" s="590"/>
      <c r="S25" s="590"/>
      <c r="T25" s="590"/>
      <c r="U25" s="590"/>
      <c r="V25" s="590"/>
      <c r="W25" s="590"/>
      <c r="X25" s="590"/>
      <c r="Y25" s="590"/>
      <c r="Z25" s="590"/>
    </row>
    <row r="26" spans="1:26" ht="21.75" customHeight="1">
      <c r="A26" s="592"/>
      <c r="B26" s="1086" t="s">
        <v>535</v>
      </c>
      <c r="C26" s="1009"/>
      <c r="D26" s="1009"/>
      <c r="E26" s="1009"/>
      <c r="F26" s="1009"/>
      <c r="G26" s="1009"/>
      <c r="H26" s="1009"/>
      <c r="I26" s="1009"/>
      <c r="J26" s="1010"/>
      <c r="K26" s="594"/>
      <c r="L26" s="590"/>
      <c r="M26" s="590"/>
      <c r="N26" s="590"/>
      <c r="O26" s="590"/>
      <c r="P26" s="590"/>
      <c r="Q26" s="590"/>
      <c r="R26" s="590"/>
      <c r="S26" s="590"/>
      <c r="T26" s="590"/>
      <c r="U26" s="590"/>
      <c r="V26" s="590"/>
      <c r="W26" s="590"/>
      <c r="X26" s="590"/>
      <c r="Y26" s="590"/>
      <c r="Z26" s="590"/>
    </row>
    <row r="27" spans="1:26" ht="27" customHeight="1">
      <c r="A27" s="574"/>
      <c r="B27" s="595">
        <v>1</v>
      </c>
      <c r="C27" s="1069" t="s">
        <v>536</v>
      </c>
      <c r="D27" s="1009"/>
      <c r="E27" s="1009"/>
      <c r="F27" s="1009"/>
      <c r="G27" s="1009"/>
      <c r="H27" s="1010"/>
      <c r="I27" s="1073" t="str">
        <f>'1-ABA-DE-CARREGAMENTO'!D33</f>
        <v>5132-05_COZINHEIRO_geral_hs</v>
      </c>
      <c r="J27" s="1010"/>
      <c r="K27" s="603"/>
      <c r="L27" s="590"/>
      <c r="M27" s="590"/>
      <c r="N27" s="590"/>
      <c r="O27" s="590"/>
      <c r="P27" s="590"/>
      <c r="Q27" s="590"/>
      <c r="R27" s="590"/>
      <c r="S27" s="590"/>
      <c r="T27" s="590"/>
      <c r="U27" s="590"/>
      <c r="V27" s="590"/>
      <c r="W27" s="590"/>
      <c r="X27" s="590"/>
      <c r="Y27" s="590"/>
      <c r="Z27" s="590"/>
    </row>
    <row r="28" spans="1:26" ht="19.5" customHeight="1">
      <c r="A28" s="574"/>
      <c r="B28" s="604">
        <v>2</v>
      </c>
      <c r="C28" s="1108" t="s">
        <v>537</v>
      </c>
      <c r="D28" s="1009"/>
      <c r="E28" s="1009"/>
      <c r="F28" s="1009"/>
      <c r="G28" s="1009"/>
      <c r="H28" s="1010"/>
      <c r="I28" s="1156">
        <v>1180586</v>
      </c>
      <c r="J28" s="1010"/>
      <c r="K28" s="603"/>
      <c r="L28" s="590"/>
      <c r="M28" s="590"/>
      <c r="N28" s="590"/>
      <c r="O28" s="590"/>
      <c r="P28" s="590"/>
      <c r="Q28" s="590"/>
      <c r="R28" s="590"/>
      <c r="S28" s="590"/>
      <c r="T28" s="590"/>
      <c r="U28" s="590"/>
      <c r="V28" s="590"/>
      <c r="W28" s="590"/>
      <c r="X28" s="590"/>
      <c r="Y28" s="590"/>
      <c r="Z28" s="590"/>
    </row>
    <row r="29" spans="1:26" ht="48.75" customHeight="1">
      <c r="A29" s="574"/>
      <c r="B29" s="595">
        <v>3</v>
      </c>
      <c r="C29" s="1157" t="s">
        <v>538</v>
      </c>
      <c r="D29" s="948"/>
      <c r="E29" s="748">
        <v>220</v>
      </c>
      <c r="F29" s="606">
        <f>'1-ABA-DE-CARREGAMENTO'!D37</f>
        <v>1502.5</v>
      </c>
      <c r="G29" s="607" t="s">
        <v>539</v>
      </c>
      <c r="H29" s="608">
        <f>'1-ABA-DE-CARREGAMENTO'!D52</f>
        <v>200</v>
      </c>
      <c r="I29" s="1173">
        <f>F29/E29*H29</f>
        <v>1365.9090909090908</v>
      </c>
      <c r="J29" s="1010"/>
      <c r="K29" s="609"/>
      <c r="L29" s="590"/>
      <c r="M29" s="590"/>
      <c r="N29" s="590"/>
      <c r="O29" s="590"/>
      <c r="P29" s="590"/>
      <c r="Q29" s="590"/>
      <c r="R29" s="590"/>
      <c r="S29" s="590"/>
      <c r="T29" s="590"/>
      <c r="U29" s="590"/>
      <c r="V29" s="590"/>
      <c r="W29" s="590"/>
      <c r="X29" s="590"/>
      <c r="Y29" s="590"/>
      <c r="Z29" s="590"/>
    </row>
    <row r="30" spans="1:26" ht="15.75" customHeight="1">
      <c r="A30" s="574"/>
      <c r="B30" s="595">
        <v>4</v>
      </c>
      <c r="C30" s="1069" t="s">
        <v>540</v>
      </c>
      <c r="D30" s="1009"/>
      <c r="E30" s="1009"/>
      <c r="F30" s="1009"/>
      <c r="G30" s="1009"/>
      <c r="H30" s="1010"/>
      <c r="I30" s="1159"/>
      <c r="J30" s="1010"/>
      <c r="K30" s="596"/>
      <c r="L30" s="590"/>
      <c r="M30" s="590"/>
      <c r="N30" s="590"/>
      <c r="O30" s="590"/>
      <c r="P30" s="590"/>
      <c r="Q30" s="590"/>
      <c r="R30" s="590"/>
      <c r="S30" s="590"/>
      <c r="T30" s="590"/>
      <c r="U30" s="590"/>
      <c r="V30" s="590"/>
      <c r="W30" s="590"/>
      <c r="X30" s="590"/>
      <c r="Y30" s="590"/>
      <c r="Z30" s="590"/>
    </row>
    <row r="31" spans="1:26" ht="15.75" customHeight="1">
      <c r="A31" s="574"/>
      <c r="B31" s="595">
        <v>5</v>
      </c>
      <c r="C31" s="1069" t="s">
        <v>541</v>
      </c>
      <c r="D31" s="1009"/>
      <c r="E31" s="1009"/>
      <c r="F31" s="1009"/>
      <c r="G31" s="1009"/>
      <c r="H31" s="1010"/>
      <c r="I31" s="1145" t="str">
        <f>'1-ABA-DE-CARREGAMENTO'!D36</f>
        <v>01 de JANEIRO</v>
      </c>
      <c r="J31" s="1010"/>
      <c r="K31" s="610"/>
      <c r="L31" s="590"/>
      <c r="M31" s="590"/>
      <c r="N31" s="590"/>
      <c r="O31" s="590"/>
      <c r="P31" s="590"/>
      <c r="Q31" s="590"/>
      <c r="R31" s="590"/>
      <c r="S31" s="590"/>
      <c r="T31" s="590"/>
      <c r="U31" s="590"/>
      <c r="V31" s="590"/>
      <c r="W31" s="590"/>
      <c r="X31" s="590"/>
      <c r="Y31" s="590"/>
      <c r="Z31" s="590"/>
    </row>
    <row r="32" spans="1:26" ht="27" customHeight="1">
      <c r="A32" s="574"/>
      <c r="B32" s="611">
        <v>6</v>
      </c>
      <c r="C32" s="1125" t="s">
        <v>721</v>
      </c>
      <c r="D32" s="1009"/>
      <c r="E32" s="1009"/>
      <c r="F32" s="1009"/>
      <c r="G32" s="1009"/>
      <c r="H32" s="1010"/>
      <c r="I32" s="1126">
        <f>I29/H29</f>
        <v>6.8295454545454541</v>
      </c>
      <c r="J32" s="1010"/>
      <c r="K32" s="612"/>
      <c r="L32" s="590"/>
      <c r="M32" s="590"/>
      <c r="N32" s="590"/>
      <c r="O32" s="590"/>
      <c r="P32" s="590"/>
      <c r="Q32" s="590"/>
      <c r="R32" s="590"/>
      <c r="S32" s="590"/>
      <c r="T32" s="590"/>
      <c r="U32" s="590"/>
      <c r="V32" s="590"/>
      <c r="W32" s="590"/>
      <c r="X32" s="590"/>
      <c r="Y32" s="590"/>
      <c r="Z32" s="590"/>
    </row>
    <row r="33" spans="1:26" ht="27" customHeight="1">
      <c r="A33" s="574"/>
      <c r="B33" s="611">
        <v>7</v>
      </c>
      <c r="C33" s="1125" t="s">
        <v>722</v>
      </c>
      <c r="D33" s="1009"/>
      <c r="E33" s="1009"/>
      <c r="F33" s="1010"/>
      <c r="G33" s="1138"/>
      <c r="H33" s="1010"/>
      <c r="I33" s="1139">
        <f>(SUM(J47:J50)/H29)</f>
        <v>8.3320454545454545</v>
      </c>
      <c r="J33" s="1010"/>
      <c r="K33" s="612"/>
      <c r="L33" s="590"/>
      <c r="M33" s="590"/>
      <c r="N33" s="590"/>
      <c r="O33" s="590"/>
      <c r="P33" s="590"/>
      <c r="Q33" s="590"/>
      <c r="R33" s="590"/>
      <c r="S33" s="590"/>
      <c r="T33" s="590"/>
      <c r="U33" s="590"/>
      <c r="V33" s="590"/>
      <c r="W33" s="590"/>
      <c r="X33" s="590"/>
      <c r="Y33" s="590"/>
      <c r="Z33" s="590"/>
    </row>
    <row r="34" spans="1:26" ht="27" customHeight="1">
      <c r="A34" s="574"/>
      <c r="B34" s="611">
        <v>8</v>
      </c>
      <c r="C34" s="1125" t="s">
        <v>723</v>
      </c>
      <c r="D34" s="1009"/>
      <c r="E34" s="1009"/>
      <c r="F34" s="1010"/>
      <c r="G34" s="1138"/>
      <c r="H34" s="1010"/>
      <c r="I34" s="1126">
        <f t="shared" ref="I34:I35" si="0">I32*1.5</f>
        <v>10.244318181818182</v>
      </c>
      <c r="J34" s="1010"/>
      <c r="K34" s="612"/>
      <c r="L34" s="590"/>
      <c r="M34" s="590"/>
      <c r="N34" s="590"/>
      <c r="O34" s="590"/>
      <c r="P34" s="590"/>
      <c r="Q34" s="590"/>
      <c r="R34" s="590"/>
      <c r="S34" s="590"/>
      <c r="T34" s="590"/>
      <c r="U34" s="590"/>
      <c r="V34" s="590"/>
      <c r="W34" s="590"/>
      <c r="X34" s="590"/>
      <c r="Y34" s="590"/>
      <c r="Z34" s="590"/>
    </row>
    <row r="35" spans="1:26" ht="23.25" customHeight="1">
      <c r="A35" s="574"/>
      <c r="B35" s="611">
        <v>9</v>
      </c>
      <c r="C35" s="1125" t="s">
        <v>724</v>
      </c>
      <c r="D35" s="1009"/>
      <c r="E35" s="1009"/>
      <c r="F35" s="1010"/>
      <c r="G35" s="1138" t="s">
        <v>546</v>
      </c>
      <c r="H35" s="1010"/>
      <c r="I35" s="1139">
        <f t="shared" si="0"/>
        <v>12.498068181818182</v>
      </c>
      <c r="J35" s="1010"/>
      <c r="K35" s="613"/>
      <c r="L35" s="590"/>
      <c r="M35" s="590"/>
      <c r="N35" s="590"/>
      <c r="O35" s="590"/>
      <c r="P35" s="590"/>
      <c r="Q35" s="590"/>
      <c r="R35" s="590"/>
      <c r="S35" s="590"/>
      <c r="T35" s="590"/>
      <c r="U35" s="590"/>
      <c r="V35" s="590"/>
      <c r="W35" s="590"/>
      <c r="X35" s="590"/>
      <c r="Y35" s="590"/>
      <c r="Z35" s="590"/>
    </row>
    <row r="36" spans="1:26" ht="26.25" customHeight="1">
      <c r="A36" s="574"/>
      <c r="B36" s="611">
        <v>10</v>
      </c>
      <c r="C36" s="1125" t="s">
        <v>725</v>
      </c>
      <c r="D36" s="1009"/>
      <c r="E36" s="1009"/>
      <c r="F36" s="1009"/>
      <c r="G36" s="1009"/>
      <c r="H36" s="1010"/>
      <c r="I36" s="1139">
        <f>I35*1.2</f>
        <v>14.997681818181817</v>
      </c>
      <c r="J36" s="1010"/>
      <c r="K36" s="612"/>
      <c r="L36" s="590"/>
      <c r="M36" s="590"/>
      <c r="N36" s="590"/>
      <c r="O36" s="590"/>
      <c r="P36" s="590"/>
      <c r="Q36" s="590"/>
      <c r="R36" s="590"/>
      <c r="S36" s="590"/>
      <c r="T36" s="590"/>
      <c r="U36" s="590"/>
      <c r="V36" s="590"/>
      <c r="W36" s="590"/>
      <c r="X36" s="590"/>
      <c r="Y36" s="590"/>
      <c r="Z36" s="590"/>
    </row>
    <row r="37" spans="1:26" ht="27" customHeight="1">
      <c r="A37" s="574"/>
      <c r="B37" s="611">
        <v>11</v>
      </c>
      <c r="C37" s="1129" t="s">
        <v>726</v>
      </c>
      <c r="D37" s="1130"/>
      <c r="E37" s="1130"/>
      <c r="F37" s="1130"/>
      <c r="G37" s="1130"/>
      <c r="H37" s="1128"/>
      <c r="I37" s="1126">
        <f>I35*2</f>
        <v>24.996136363636364</v>
      </c>
      <c r="J37" s="1010"/>
      <c r="K37" s="612"/>
      <c r="L37" s="590"/>
      <c r="M37" s="590"/>
      <c r="N37" s="590"/>
      <c r="O37" s="590"/>
      <c r="P37" s="590"/>
      <c r="Q37" s="590"/>
      <c r="R37" s="590"/>
      <c r="S37" s="590"/>
      <c r="T37" s="590"/>
      <c r="U37" s="590"/>
      <c r="V37" s="590"/>
      <c r="W37" s="590"/>
      <c r="X37" s="590"/>
      <c r="Y37" s="590"/>
      <c r="Z37" s="590"/>
    </row>
    <row r="38" spans="1:26" ht="31.5" customHeight="1" outlineLevel="1">
      <c r="A38" s="574"/>
      <c r="B38" s="749">
        <v>12</v>
      </c>
      <c r="C38" s="1125" t="s">
        <v>727</v>
      </c>
      <c r="D38" s="1009"/>
      <c r="E38" s="750">
        <f>ROUND(I38/220,2)</f>
        <v>0</v>
      </c>
      <c r="F38" s="1167" t="s">
        <v>728</v>
      </c>
      <c r="G38" s="1009"/>
      <c r="H38" s="1010"/>
      <c r="I38" s="1168">
        <f>I29*'1-ABA-DE-CARREGAMENTO'!D44</f>
        <v>0</v>
      </c>
      <c r="J38" s="1010"/>
      <c r="K38" s="612"/>
      <c r="L38" s="590"/>
      <c r="M38" s="590"/>
      <c r="N38" s="590"/>
      <c r="O38" s="590"/>
      <c r="P38" s="590"/>
      <c r="Q38" s="590"/>
      <c r="R38" s="590"/>
      <c r="S38" s="590"/>
      <c r="T38" s="590"/>
      <c r="U38" s="590"/>
      <c r="V38" s="590"/>
      <c r="W38" s="590"/>
      <c r="X38" s="590"/>
      <c r="Y38" s="590"/>
      <c r="Z38" s="590"/>
    </row>
    <row r="39" spans="1:26" ht="15.75" customHeight="1" outlineLevel="1">
      <c r="A39" s="574"/>
      <c r="B39" s="611">
        <v>13</v>
      </c>
      <c r="C39" s="1169" t="s">
        <v>550</v>
      </c>
      <c r="D39" s="1060"/>
      <c r="E39" s="1060"/>
      <c r="F39" s="1060"/>
      <c r="G39" s="1060"/>
      <c r="H39" s="1062"/>
      <c r="I39" s="1126">
        <f>ROUND(I32/6,2)*1.3*0</f>
        <v>0</v>
      </c>
      <c r="J39" s="1010"/>
      <c r="K39" s="612"/>
      <c r="L39" s="590"/>
      <c r="M39" s="590"/>
      <c r="N39" s="590"/>
      <c r="O39" s="590"/>
      <c r="P39" s="590"/>
      <c r="Q39" s="590"/>
      <c r="R39" s="590"/>
      <c r="S39" s="590"/>
      <c r="T39" s="590"/>
      <c r="U39" s="590"/>
      <c r="V39" s="590"/>
      <c r="W39" s="590"/>
      <c r="X39" s="590"/>
      <c r="Y39" s="590"/>
      <c r="Z39" s="590"/>
    </row>
    <row r="40" spans="1:26" ht="15.75" customHeight="1">
      <c r="A40" s="574"/>
      <c r="B40" s="611">
        <v>14</v>
      </c>
      <c r="C40" s="1109" t="s">
        <v>551</v>
      </c>
      <c r="D40" s="1009"/>
      <c r="E40" s="1009"/>
      <c r="F40" s="1009"/>
      <c r="G40" s="1009"/>
      <c r="H40" s="1010"/>
      <c r="I40" s="1170">
        <f>'1-ABA-DE-CARREGAMENTO'!D93</f>
        <v>1</v>
      </c>
      <c r="J40" s="1010"/>
      <c r="K40" s="616"/>
      <c r="L40" s="590"/>
      <c r="M40" s="590"/>
      <c r="N40" s="590"/>
      <c r="O40" s="590"/>
      <c r="P40" s="590"/>
      <c r="Q40" s="590"/>
      <c r="R40" s="590"/>
      <c r="S40" s="590"/>
      <c r="T40" s="590"/>
      <c r="U40" s="590"/>
      <c r="V40" s="590"/>
      <c r="W40" s="590"/>
      <c r="X40" s="590"/>
      <c r="Y40" s="590"/>
      <c r="Z40" s="590"/>
    </row>
    <row r="41" spans="1:26" ht="15.75" customHeight="1">
      <c r="A41" s="574"/>
      <c r="B41" s="611">
        <v>15</v>
      </c>
      <c r="C41" s="1171" t="s">
        <v>552</v>
      </c>
      <c r="D41" s="1009"/>
      <c r="E41" s="1009"/>
      <c r="F41" s="1009"/>
      <c r="G41" s="1009"/>
      <c r="H41" s="1010"/>
      <c r="I41" s="1172">
        <f>'1-ABA-DE-CARREGAMENTO'!D42</f>
        <v>1320</v>
      </c>
      <c r="J41" s="1010"/>
      <c r="K41" s="618"/>
      <c r="L41" s="590"/>
      <c r="M41" s="590"/>
      <c r="N41" s="590"/>
      <c r="O41" s="590"/>
      <c r="P41" s="590"/>
      <c r="Q41" s="590"/>
      <c r="R41" s="590"/>
      <c r="S41" s="590"/>
      <c r="T41" s="590"/>
      <c r="U41" s="590"/>
      <c r="V41" s="590"/>
      <c r="W41" s="590"/>
      <c r="X41" s="590"/>
      <c r="Y41" s="590"/>
      <c r="Z41" s="590"/>
    </row>
    <row r="42" spans="1:26" ht="9" customHeight="1">
      <c r="A42" s="574"/>
      <c r="B42" s="1122"/>
      <c r="C42" s="1009"/>
      <c r="D42" s="1009"/>
      <c r="E42" s="1009"/>
      <c r="F42" s="1009"/>
      <c r="G42" s="1009"/>
      <c r="H42" s="1009"/>
      <c r="I42" s="1009"/>
      <c r="J42" s="1010"/>
      <c r="K42" s="601"/>
      <c r="L42" s="590"/>
      <c r="M42" s="590"/>
      <c r="N42" s="590"/>
      <c r="O42" s="590"/>
      <c r="P42" s="590"/>
      <c r="Q42" s="590"/>
      <c r="R42" s="590"/>
      <c r="S42" s="590"/>
      <c r="T42" s="590"/>
      <c r="U42" s="590"/>
      <c r="V42" s="590"/>
      <c r="W42" s="590"/>
      <c r="X42" s="590"/>
      <c r="Y42" s="590"/>
      <c r="Z42" s="590"/>
    </row>
    <row r="43" spans="1:26" ht="21.75" customHeight="1">
      <c r="A43" s="574"/>
      <c r="B43" s="1111" t="s">
        <v>553</v>
      </c>
      <c r="C43" s="1009"/>
      <c r="D43" s="1009"/>
      <c r="E43" s="1009"/>
      <c r="F43" s="1009"/>
      <c r="G43" s="1009"/>
      <c r="H43" s="1009"/>
      <c r="I43" s="1009"/>
      <c r="J43" s="1010"/>
      <c r="K43" s="619"/>
      <c r="L43" s="590"/>
      <c r="M43" s="590"/>
      <c r="N43" s="590"/>
      <c r="O43" s="590"/>
      <c r="P43" s="590"/>
      <c r="Q43" s="590"/>
      <c r="R43" s="590"/>
      <c r="S43" s="590"/>
      <c r="T43" s="590"/>
      <c r="U43" s="590"/>
      <c r="V43" s="590"/>
      <c r="W43" s="590"/>
      <c r="X43" s="590"/>
      <c r="Y43" s="590"/>
      <c r="Z43" s="590"/>
    </row>
    <row r="44" spans="1:26" ht="9" customHeight="1">
      <c r="A44" s="574"/>
      <c r="B44" s="1123"/>
      <c r="C44" s="1009"/>
      <c r="D44" s="1009"/>
      <c r="E44" s="1009"/>
      <c r="F44" s="1009"/>
      <c r="G44" s="1009"/>
      <c r="H44" s="1009"/>
      <c r="I44" s="1009"/>
      <c r="J44" s="1010"/>
      <c r="K44" s="602"/>
      <c r="L44" s="590"/>
      <c r="M44" s="590"/>
      <c r="N44" s="590"/>
      <c r="O44" s="590"/>
      <c r="P44" s="590"/>
      <c r="Q44" s="590"/>
      <c r="R44" s="590"/>
      <c r="S44" s="590"/>
      <c r="T44" s="590"/>
      <c r="U44" s="590"/>
      <c r="V44" s="590"/>
      <c r="W44" s="590"/>
      <c r="X44" s="590"/>
      <c r="Y44" s="590"/>
      <c r="Z44" s="590"/>
    </row>
    <row r="45" spans="1:26" ht="20.25" customHeight="1">
      <c r="A45" s="574"/>
      <c r="B45" s="1124" t="s">
        <v>554</v>
      </c>
      <c r="C45" s="1009"/>
      <c r="D45" s="1009"/>
      <c r="E45" s="1009"/>
      <c r="F45" s="1009"/>
      <c r="G45" s="1009"/>
      <c r="H45" s="1009"/>
      <c r="I45" s="1009"/>
      <c r="J45" s="1010"/>
      <c r="K45" s="620"/>
      <c r="L45" s="590"/>
      <c r="M45" s="590"/>
      <c r="N45" s="590"/>
      <c r="O45" s="590"/>
      <c r="P45" s="590"/>
      <c r="Q45" s="590"/>
      <c r="R45" s="590"/>
      <c r="S45" s="590"/>
      <c r="T45" s="590"/>
      <c r="U45" s="590"/>
      <c r="V45" s="590"/>
      <c r="W45" s="590"/>
      <c r="X45" s="590"/>
      <c r="Y45" s="590"/>
      <c r="Z45" s="590"/>
    </row>
    <row r="46" spans="1:26" ht="30" customHeight="1">
      <c r="A46" s="621"/>
      <c r="B46" s="622">
        <v>1</v>
      </c>
      <c r="C46" s="1083" t="s">
        <v>555</v>
      </c>
      <c r="D46" s="1009"/>
      <c r="E46" s="1009"/>
      <c r="F46" s="1009"/>
      <c r="G46" s="1009"/>
      <c r="H46" s="1010"/>
      <c r="I46" s="622" t="s">
        <v>556</v>
      </c>
      <c r="J46" s="622" t="s">
        <v>557</v>
      </c>
      <c r="K46" s="592"/>
      <c r="L46" s="590"/>
      <c r="M46" s="590"/>
      <c r="N46" s="590"/>
      <c r="O46" s="590"/>
      <c r="P46" s="590"/>
      <c r="Q46" s="590"/>
      <c r="R46" s="590"/>
      <c r="S46" s="590"/>
      <c r="T46" s="590"/>
      <c r="U46" s="590"/>
      <c r="V46" s="590"/>
      <c r="W46" s="590"/>
      <c r="X46" s="590"/>
      <c r="Y46" s="590"/>
      <c r="Z46" s="590"/>
    </row>
    <row r="47" spans="1:26" ht="24" customHeight="1">
      <c r="A47" s="574"/>
      <c r="B47" s="595" t="s">
        <v>514</v>
      </c>
      <c r="C47" s="1069" t="s">
        <v>558</v>
      </c>
      <c r="D47" s="1009"/>
      <c r="E47" s="1009"/>
      <c r="F47" s="1010"/>
      <c r="G47" s="623" t="s">
        <v>185</v>
      </c>
      <c r="H47" s="624">
        <f>'1-ABA-DE-CARREGAMENTO'!D52</f>
        <v>200</v>
      </c>
      <c r="I47" s="623"/>
      <c r="J47" s="625">
        <f>I29*I40</f>
        <v>1365.9090909090908</v>
      </c>
      <c r="K47" s="626"/>
      <c r="L47" s="590"/>
      <c r="M47" s="590"/>
      <c r="N47" s="590"/>
      <c r="O47" s="590"/>
      <c r="P47" s="590"/>
      <c r="Q47" s="590"/>
      <c r="R47" s="590"/>
      <c r="S47" s="590"/>
      <c r="T47" s="590"/>
      <c r="U47" s="590"/>
      <c r="V47" s="590"/>
      <c r="W47" s="590"/>
      <c r="X47" s="590"/>
      <c r="Y47" s="590"/>
      <c r="Z47" s="590"/>
    </row>
    <row r="48" spans="1:26" ht="15.75" customHeight="1">
      <c r="A48" s="574"/>
      <c r="B48" s="595" t="s">
        <v>516</v>
      </c>
      <c r="C48" s="1069" t="s">
        <v>729</v>
      </c>
      <c r="D48" s="1009"/>
      <c r="E48" s="1009"/>
      <c r="F48" s="1118" t="str">
        <f>'1-ABA-DE-CARREGAMENTO'!D38</f>
        <v>SEM ADICIONAL DE FUNÇÃO</v>
      </c>
      <c r="G48" s="1009"/>
      <c r="H48" s="1010"/>
      <c r="I48" s="751">
        <f>'1-ABA-DE-CARREGAMENTO'!D39</f>
        <v>0</v>
      </c>
      <c r="J48" s="752">
        <f>(IF(I9="PANAMBI ",0.5,1))*I48*I41</f>
        <v>0</v>
      </c>
      <c r="K48" s="626"/>
      <c r="L48" s="590"/>
      <c r="M48" s="590"/>
      <c r="N48" s="590"/>
      <c r="O48" s="590"/>
      <c r="P48" s="590"/>
      <c r="Q48" s="590"/>
      <c r="R48" s="590"/>
      <c r="S48" s="590"/>
      <c r="T48" s="590"/>
      <c r="U48" s="590"/>
      <c r="V48" s="590"/>
      <c r="W48" s="590"/>
      <c r="X48" s="590"/>
      <c r="Y48" s="590"/>
      <c r="Z48" s="590"/>
    </row>
    <row r="49" spans="1:26" ht="30" customHeight="1">
      <c r="A49" s="574"/>
      <c r="B49" s="595" t="s">
        <v>518</v>
      </c>
      <c r="C49" s="1069" t="s">
        <v>730</v>
      </c>
      <c r="D49" s="1009"/>
      <c r="E49" s="1009"/>
      <c r="F49" s="1009"/>
      <c r="G49" s="1009"/>
      <c r="H49" s="1010"/>
      <c r="I49" s="628">
        <f>'1-ABA-DE-CARREGAMENTO'!D44</f>
        <v>0</v>
      </c>
      <c r="J49" s="625">
        <f>ROUND(J47*I49,2)</f>
        <v>0</v>
      </c>
      <c r="K49" s="626"/>
      <c r="L49" s="590"/>
      <c r="M49" s="590"/>
      <c r="N49" s="590"/>
      <c r="O49" s="590"/>
      <c r="P49" s="590"/>
      <c r="Q49" s="590"/>
      <c r="R49" s="590"/>
      <c r="S49" s="590"/>
      <c r="T49" s="590"/>
      <c r="U49" s="590"/>
      <c r="V49" s="590"/>
      <c r="W49" s="590"/>
      <c r="X49" s="590"/>
      <c r="Y49" s="590"/>
      <c r="Z49" s="590"/>
    </row>
    <row r="50" spans="1:26" ht="30" customHeight="1">
      <c r="A50" s="574"/>
      <c r="B50" s="595" t="s">
        <v>520</v>
      </c>
      <c r="C50" s="1069" t="s">
        <v>731</v>
      </c>
      <c r="D50" s="1009"/>
      <c r="E50" s="1009"/>
      <c r="F50" s="1009"/>
      <c r="G50" s="1118" t="str">
        <f>'1-ABA-DE-CARREGAMENTO'!D40</f>
        <v>INSALUB S/NORMATIVO</v>
      </c>
      <c r="H50" s="1010"/>
      <c r="I50" s="629">
        <f>'1-ABA-DE-CARREGAMENTO'!D41</f>
        <v>0.2</v>
      </c>
      <c r="J50" s="625">
        <f>IF(G50="INSALUB S/MIN. NACION.",I50*I41,IF(G50="INSALUB S/NORMATIVO",I50*F29,IF(G50="PERICULOSIDADE",0,IF(G50="SEM ADICIONAL DE RISCO",0))))</f>
        <v>300.5</v>
      </c>
      <c r="K50" s="626"/>
      <c r="L50" s="590"/>
      <c r="M50" s="590"/>
      <c r="N50" s="590"/>
      <c r="O50" s="590"/>
      <c r="P50" s="590"/>
      <c r="Q50" s="590"/>
      <c r="R50" s="590"/>
      <c r="S50" s="590"/>
      <c r="T50" s="590"/>
      <c r="U50" s="590"/>
      <c r="V50" s="590"/>
      <c r="W50" s="590"/>
      <c r="X50" s="590"/>
      <c r="Y50" s="590"/>
      <c r="Z50" s="590"/>
    </row>
    <row r="51" spans="1:26" ht="40.5" customHeight="1">
      <c r="A51" s="574"/>
      <c r="B51" s="595" t="s">
        <v>562</v>
      </c>
      <c r="C51" s="1119" t="s">
        <v>732</v>
      </c>
      <c r="D51" s="1009"/>
      <c r="E51" s="1010"/>
      <c r="F51" s="630" t="s">
        <v>564</v>
      </c>
      <c r="G51" s="631">
        <v>0</v>
      </c>
      <c r="H51" s="630" t="s">
        <v>565</v>
      </c>
      <c r="I51" s="632">
        <f>I36</f>
        <v>14.997681818181817</v>
      </c>
      <c r="J51" s="633">
        <f>G51*I51</f>
        <v>0</v>
      </c>
      <c r="K51" s="626"/>
      <c r="L51" s="590"/>
      <c r="M51" s="590"/>
      <c r="N51" s="590"/>
      <c r="O51" s="590"/>
      <c r="P51" s="590"/>
      <c r="Q51" s="590"/>
      <c r="R51" s="590"/>
      <c r="S51" s="590"/>
      <c r="T51" s="590"/>
      <c r="U51" s="590"/>
      <c r="V51" s="590"/>
      <c r="W51" s="590"/>
      <c r="X51" s="590"/>
      <c r="Y51" s="590"/>
      <c r="Z51" s="590"/>
    </row>
    <row r="52" spans="1:26" ht="51" hidden="1" customHeight="1" outlineLevel="1">
      <c r="A52" s="574"/>
      <c r="B52" s="595" t="s">
        <v>566</v>
      </c>
      <c r="C52" s="1108" t="s">
        <v>733</v>
      </c>
      <c r="D52" s="1009"/>
      <c r="E52" s="1009"/>
      <c r="F52" s="1009"/>
      <c r="G52" s="1009"/>
      <c r="H52" s="1009"/>
      <c r="I52" s="1010"/>
      <c r="J52" s="625">
        <f>ROUND(I38*(((12*15)+15)-((44/6)*26))*I35,2)*0+ROUND(2*4.33*I35,2)*0</f>
        <v>0</v>
      </c>
      <c r="K52" s="626"/>
      <c r="L52" s="590"/>
      <c r="M52" s="590"/>
      <c r="N52" s="590"/>
      <c r="O52" s="590"/>
      <c r="P52" s="590"/>
      <c r="Q52" s="590"/>
      <c r="R52" s="590"/>
      <c r="S52" s="590"/>
      <c r="T52" s="590"/>
      <c r="U52" s="590"/>
      <c r="V52" s="590"/>
      <c r="W52" s="590"/>
      <c r="X52" s="590"/>
      <c r="Y52" s="590"/>
      <c r="Z52" s="590"/>
    </row>
    <row r="53" spans="1:26" ht="30" hidden="1" customHeight="1" outlineLevel="1">
      <c r="A53" s="574"/>
      <c r="B53" s="595" t="s">
        <v>568</v>
      </c>
      <c r="C53" s="1108" t="s">
        <v>734</v>
      </c>
      <c r="D53" s="1009"/>
      <c r="E53" s="1009"/>
      <c r="F53" s="1009"/>
      <c r="G53" s="1009"/>
      <c r="H53" s="1009"/>
      <c r="I53" s="1010"/>
      <c r="J53" s="625">
        <f>ROUND(I39*I40*15,2)*0</f>
        <v>0</v>
      </c>
      <c r="K53" s="626"/>
      <c r="L53" s="590"/>
      <c r="M53" s="590"/>
      <c r="N53" s="590"/>
      <c r="O53" s="590"/>
      <c r="P53" s="590"/>
      <c r="Q53" s="590"/>
      <c r="R53" s="590"/>
      <c r="S53" s="590"/>
      <c r="T53" s="590"/>
      <c r="U53" s="590"/>
      <c r="V53" s="590"/>
      <c r="W53" s="590"/>
      <c r="X53" s="590"/>
      <c r="Y53" s="590"/>
      <c r="Z53" s="590"/>
    </row>
    <row r="54" spans="1:26" ht="30" customHeight="1" collapsed="1">
      <c r="A54" s="574"/>
      <c r="B54" s="595" t="s">
        <v>570</v>
      </c>
      <c r="C54" s="1120" t="s">
        <v>735</v>
      </c>
      <c r="D54" s="1060"/>
      <c r="E54" s="1060"/>
      <c r="F54" s="634" t="s">
        <v>572</v>
      </c>
      <c r="G54" s="635">
        <v>0</v>
      </c>
      <c r="H54" s="634" t="s">
        <v>573</v>
      </c>
      <c r="I54" s="636">
        <f>I35</f>
        <v>12.498068181818182</v>
      </c>
      <c r="J54" s="633">
        <f t="shared" ref="J54:J55" si="1">G54*I54</f>
        <v>0</v>
      </c>
      <c r="K54" s="626"/>
      <c r="L54" s="590"/>
      <c r="M54" s="590"/>
      <c r="N54" s="590"/>
      <c r="O54" s="590"/>
      <c r="P54" s="590"/>
      <c r="Q54" s="590"/>
      <c r="R54" s="590"/>
      <c r="S54" s="590"/>
      <c r="T54" s="590"/>
      <c r="U54" s="590"/>
      <c r="V54" s="590"/>
      <c r="W54" s="590"/>
      <c r="X54" s="590"/>
      <c r="Y54" s="590"/>
      <c r="Z54" s="590"/>
    </row>
    <row r="55" spans="1:26" ht="30" customHeight="1">
      <c r="A55" s="574"/>
      <c r="B55" s="595" t="s">
        <v>574</v>
      </c>
      <c r="C55" s="1121" t="s">
        <v>736</v>
      </c>
      <c r="D55" s="1023"/>
      <c r="E55" s="1023"/>
      <c r="F55" s="634" t="s">
        <v>576</v>
      </c>
      <c r="G55" s="635">
        <v>0</v>
      </c>
      <c r="H55" s="634" t="s">
        <v>577</v>
      </c>
      <c r="I55" s="636">
        <f>I37</f>
        <v>24.996136363636364</v>
      </c>
      <c r="J55" s="637">
        <f t="shared" si="1"/>
        <v>0</v>
      </c>
      <c r="K55" s="626"/>
      <c r="L55" s="590"/>
      <c r="M55" s="590"/>
      <c r="N55" s="590"/>
      <c r="O55" s="590"/>
      <c r="P55" s="590"/>
      <c r="Q55" s="590"/>
      <c r="R55" s="590"/>
      <c r="S55" s="590"/>
      <c r="T55" s="590"/>
      <c r="U55" s="590"/>
      <c r="V55" s="590"/>
      <c r="W55" s="590"/>
      <c r="X55" s="590"/>
      <c r="Y55" s="590"/>
      <c r="Z55" s="590"/>
    </row>
    <row r="56" spans="1:26" ht="43.5" customHeight="1">
      <c r="A56" s="574"/>
      <c r="B56" s="595" t="s">
        <v>578</v>
      </c>
      <c r="C56" s="1069" t="s">
        <v>737</v>
      </c>
      <c r="D56" s="1009"/>
      <c r="E56" s="1009"/>
      <c r="F56" s="1009"/>
      <c r="G56" s="1009"/>
      <c r="H56" s="1009"/>
      <c r="I56" s="1010"/>
      <c r="J56" s="625">
        <f>ROUND(SUM(J54:J55)*0.2,2)</f>
        <v>0</v>
      </c>
      <c r="K56" s="626"/>
      <c r="L56" s="590"/>
      <c r="M56" s="590"/>
      <c r="N56" s="590"/>
      <c r="O56" s="590"/>
      <c r="P56" s="590"/>
      <c r="Q56" s="590"/>
      <c r="R56" s="590"/>
      <c r="S56" s="590"/>
      <c r="T56" s="590"/>
      <c r="U56" s="590"/>
      <c r="V56" s="590"/>
      <c r="W56" s="590"/>
      <c r="X56" s="590"/>
      <c r="Y56" s="590"/>
      <c r="Z56" s="590"/>
    </row>
    <row r="57" spans="1:26" ht="15.75" customHeight="1">
      <c r="A57" s="574"/>
      <c r="B57" s="595" t="s">
        <v>580</v>
      </c>
      <c r="C57" s="1069" t="s">
        <v>581</v>
      </c>
      <c r="D57" s="1009"/>
      <c r="E57" s="1009"/>
      <c r="F57" s="1009"/>
      <c r="G57" s="1009"/>
      <c r="H57" s="1009"/>
      <c r="I57" s="1010"/>
      <c r="J57" s="638" t="s">
        <v>527</v>
      </c>
      <c r="K57" s="639"/>
      <c r="L57" s="590"/>
      <c r="M57" s="590"/>
      <c r="N57" s="590"/>
      <c r="O57" s="590"/>
      <c r="P57" s="590"/>
      <c r="Q57" s="590"/>
      <c r="R57" s="590"/>
      <c r="S57" s="590"/>
      <c r="T57" s="590"/>
      <c r="U57" s="590"/>
      <c r="V57" s="590"/>
      <c r="W57" s="590"/>
      <c r="X57" s="590"/>
      <c r="Y57" s="590"/>
      <c r="Z57" s="590"/>
    </row>
    <row r="58" spans="1:26" ht="32.25" customHeight="1">
      <c r="A58" s="574"/>
      <c r="B58" s="1086" t="s">
        <v>582</v>
      </c>
      <c r="C58" s="1009"/>
      <c r="D58" s="1009"/>
      <c r="E58" s="1009"/>
      <c r="F58" s="1009"/>
      <c r="G58" s="1009"/>
      <c r="H58" s="1009"/>
      <c r="I58" s="1010"/>
      <c r="J58" s="640">
        <f>SUM(J47:J57)</f>
        <v>1666.4090909090908</v>
      </c>
      <c r="K58" s="626"/>
      <c r="L58" s="590"/>
      <c r="M58" s="590"/>
      <c r="N58" s="590"/>
      <c r="O58" s="590"/>
      <c r="P58" s="590"/>
      <c r="Q58" s="590"/>
      <c r="R58" s="590"/>
      <c r="S58" s="590"/>
      <c r="T58" s="590"/>
      <c r="U58" s="590"/>
      <c r="V58" s="590"/>
      <c r="W58" s="590"/>
      <c r="X58" s="590"/>
      <c r="Y58" s="590"/>
      <c r="Z58" s="590"/>
    </row>
    <row r="59" spans="1:26" ht="9.75" customHeight="1">
      <c r="A59" s="574"/>
      <c r="B59" s="641"/>
      <c r="C59" s="1116"/>
      <c r="D59" s="1009"/>
      <c r="E59" s="1009"/>
      <c r="F59" s="1009"/>
      <c r="G59" s="1009"/>
      <c r="H59" s="1009"/>
      <c r="I59" s="1010"/>
      <c r="J59" s="642"/>
      <c r="K59" s="626"/>
      <c r="L59" s="590"/>
      <c r="M59" s="590"/>
      <c r="N59" s="590"/>
      <c r="O59" s="590"/>
      <c r="P59" s="590"/>
      <c r="Q59" s="590"/>
      <c r="R59" s="590"/>
      <c r="S59" s="590"/>
      <c r="T59" s="590"/>
      <c r="U59" s="590"/>
      <c r="V59" s="590"/>
      <c r="W59" s="590"/>
      <c r="X59" s="590"/>
      <c r="Y59" s="590"/>
      <c r="Z59" s="590"/>
    </row>
    <row r="60" spans="1:26" ht="29.25" customHeight="1">
      <c r="A60" s="574"/>
      <c r="B60" s="595" t="s">
        <v>570</v>
      </c>
      <c r="C60" s="1069" t="s">
        <v>738</v>
      </c>
      <c r="D60" s="1009"/>
      <c r="E60" s="1009"/>
      <c r="F60" s="1009"/>
      <c r="G60" s="1009"/>
      <c r="H60" s="1009"/>
      <c r="I60" s="1010"/>
      <c r="J60" s="625">
        <f>ROUND(I34*15*I40*0.5,2)*0</f>
        <v>0</v>
      </c>
      <c r="K60" s="626"/>
      <c r="L60" s="590"/>
      <c r="M60" s="590"/>
      <c r="N60" s="590"/>
      <c r="O60" s="590"/>
      <c r="P60" s="590"/>
      <c r="Q60" s="590"/>
      <c r="R60" s="590"/>
      <c r="S60" s="590"/>
      <c r="T60" s="590"/>
      <c r="U60" s="590"/>
      <c r="V60" s="590"/>
      <c r="W60" s="590"/>
      <c r="X60" s="590"/>
      <c r="Y60" s="590"/>
      <c r="Z60" s="590"/>
    </row>
    <row r="61" spans="1:26" ht="31.5" customHeight="1">
      <c r="A61" s="574"/>
      <c r="B61" s="1086" t="s">
        <v>739</v>
      </c>
      <c r="C61" s="1009"/>
      <c r="D61" s="1009"/>
      <c r="E61" s="1009"/>
      <c r="F61" s="1009"/>
      <c r="G61" s="1009"/>
      <c r="H61" s="1009"/>
      <c r="I61" s="1010"/>
      <c r="J61" s="640">
        <f>J60</f>
        <v>0</v>
      </c>
      <c r="K61" s="626"/>
      <c r="L61" s="590"/>
      <c r="M61" s="590"/>
      <c r="N61" s="590"/>
      <c r="O61" s="590"/>
      <c r="P61" s="590"/>
      <c r="Q61" s="590"/>
      <c r="R61" s="590"/>
      <c r="S61" s="590"/>
      <c r="T61" s="590"/>
      <c r="U61" s="590"/>
      <c r="V61" s="590"/>
      <c r="W61" s="590"/>
      <c r="X61" s="590"/>
      <c r="Y61" s="590"/>
      <c r="Z61" s="590"/>
    </row>
    <row r="62" spans="1:26" ht="11.25" customHeight="1">
      <c r="A62" s="574"/>
      <c r="B62" s="1117"/>
      <c r="C62" s="1009"/>
      <c r="D62" s="1009"/>
      <c r="E62" s="1009"/>
      <c r="F62" s="1009"/>
      <c r="G62" s="1009"/>
      <c r="H62" s="1009"/>
      <c r="I62" s="1009"/>
      <c r="J62" s="1010"/>
      <c r="K62" s="592"/>
      <c r="L62" s="590"/>
      <c r="M62" s="590"/>
      <c r="N62" s="590"/>
      <c r="O62" s="590"/>
      <c r="P62" s="590"/>
      <c r="Q62" s="590"/>
      <c r="R62" s="590"/>
      <c r="S62" s="590"/>
      <c r="T62" s="590"/>
      <c r="U62" s="590"/>
      <c r="V62" s="590"/>
      <c r="W62" s="590"/>
      <c r="X62" s="590"/>
      <c r="Y62" s="590"/>
      <c r="Z62" s="590"/>
    </row>
    <row r="63" spans="1:26" ht="48" customHeight="1">
      <c r="A63" s="574"/>
      <c r="B63" s="1086" t="s">
        <v>740</v>
      </c>
      <c r="C63" s="1009"/>
      <c r="D63" s="1009"/>
      <c r="E63" s="1009"/>
      <c r="F63" s="1009"/>
      <c r="G63" s="1009"/>
      <c r="H63" s="1009"/>
      <c r="I63" s="1010"/>
      <c r="J63" s="643">
        <f>J58+J61</f>
        <v>1666.4090909090908</v>
      </c>
      <c r="K63" s="644"/>
      <c r="L63" s="590"/>
      <c r="M63" s="590"/>
      <c r="N63" s="590"/>
      <c r="O63" s="590"/>
      <c r="P63" s="590"/>
      <c r="Q63" s="590"/>
      <c r="R63" s="590"/>
      <c r="S63" s="590"/>
      <c r="T63" s="590"/>
      <c r="U63" s="590"/>
      <c r="V63" s="590"/>
      <c r="W63" s="590"/>
      <c r="X63" s="590"/>
      <c r="Y63" s="590"/>
      <c r="Z63" s="590"/>
    </row>
    <row r="64" spans="1:26" ht="9" customHeight="1">
      <c r="A64" s="574"/>
      <c r="B64" s="1116"/>
      <c r="C64" s="1009"/>
      <c r="D64" s="1009"/>
      <c r="E64" s="1009"/>
      <c r="F64" s="1009"/>
      <c r="G64" s="1009"/>
      <c r="H64" s="1009"/>
      <c r="I64" s="1009"/>
      <c r="J64" s="1010"/>
      <c r="K64" s="645"/>
      <c r="L64" s="590"/>
      <c r="M64" s="590"/>
      <c r="N64" s="590"/>
      <c r="O64" s="590"/>
      <c r="P64" s="590"/>
      <c r="Q64" s="590"/>
      <c r="R64" s="590"/>
      <c r="S64" s="590"/>
      <c r="T64" s="590"/>
      <c r="U64" s="590"/>
      <c r="V64" s="590"/>
      <c r="W64" s="590"/>
      <c r="X64" s="590"/>
      <c r="Y64" s="590"/>
      <c r="Z64" s="590"/>
    </row>
    <row r="65" spans="1:26" ht="19.5" customHeight="1">
      <c r="A65" s="574"/>
      <c r="B65" s="1111" t="s">
        <v>586</v>
      </c>
      <c r="C65" s="1009"/>
      <c r="D65" s="1009"/>
      <c r="E65" s="1009"/>
      <c r="F65" s="1009"/>
      <c r="G65" s="1009"/>
      <c r="H65" s="1009"/>
      <c r="I65" s="1009"/>
      <c r="J65" s="1010"/>
      <c r="K65" s="619"/>
      <c r="L65" s="590"/>
      <c r="M65" s="590"/>
      <c r="N65" s="590"/>
      <c r="O65" s="590"/>
      <c r="P65" s="590"/>
      <c r="Q65" s="590"/>
      <c r="R65" s="590"/>
      <c r="S65" s="590"/>
      <c r="T65" s="590"/>
      <c r="U65" s="590"/>
      <c r="V65" s="590"/>
      <c r="W65" s="590"/>
      <c r="X65" s="590"/>
      <c r="Y65" s="590"/>
      <c r="Z65" s="590"/>
    </row>
    <row r="66" spans="1:26" ht="8.25" customHeight="1">
      <c r="A66" s="574"/>
      <c r="B66" s="1116"/>
      <c r="C66" s="1009"/>
      <c r="D66" s="1009"/>
      <c r="E66" s="1009"/>
      <c r="F66" s="1009"/>
      <c r="G66" s="1009"/>
      <c r="H66" s="1009"/>
      <c r="I66" s="1009"/>
      <c r="J66" s="1010"/>
      <c r="K66" s="645"/>
      <c r="L66" s="590"/>
      <c r="M66" s="590"/>
      <c r="N66" s="590"/>
      <c r="O66" s="590"/>
      <c r="P66" s="590"/>
      <c r="Q66" s="590"/>
      <c r="R66" s="590"/>
      <c r="S66" s="590"/>
      <c r="T66" s="590"/>
      <c r="U66" s="590"/>
      <c r="V66" s="590"/>
      <c r="W66" s="590"/>
      <c r="X66" s="590"/>
      <c r="Y66" s="590"/>
      <c r="Z66" s="590"/>
    </row>
    <row r="67" spans="1:26" ht="27" customHeight="1">
      <c r="A67" s="574"/>
      <c r="B67" s="1096" t="s">
        <v>587</v>
      </c>
      <c r="C67" s="1009"/>
      <c r="D67" s="1009"/>
      <c r="E67" s="1009"/>
      <c r="F67" s="1009"/>
      <c r="G67" s="1009"/>
      <c r="H67" s="1009"/>
      <c r="I67" s="1009"/>
      <c r="J67" s="1010"/>
      <c r="K67" s="646"/>
      <c r="L67" s="590"/>
      <c r="M67" s="590"/>
      <c r="N67" s="590"/>
      <c r="O67" s="590"/>
      <c r="P67" s="590"/>
      <c r="Q67" s="590"/>
      <c r="R67" s="590"/>
      <c r="S67" s="590"/>
      <c r="T67" s="590"/>
      <c r="U67" s="590"/>
      <c r="V67" s="590"/>
      <c r="W67" s="590"/>
      <c r="X67" s="590"/>
      <c r="Y67" s="590"/>
      <c r="Z67" s="590"/>
    </row>
    <row r="68" spans="1:26" ht="27" customHeight="1">
      <c r="A68" s="574"/>
      <c r="B68" s="1112" t="s">
        <v>741</v>
      </c>
      <c r="C68" s="1009"/>
      <c r="D68" s="1009"/>
      <c r="E68" s="1009"/>
      <c r="F68" s="1009"/>
      <c r="G68" s="1009"/>
      <c r="H68" s="1009"/>
      <c r="I68" s="1009"/>
      <c r="J68" s="1010"/>
      <c r="K68" s="646"/>
      <c r="L68" s="590"/>
      <c r="M68" s="590"/>
      <c r="N68" s="590"/>
      <c r="O68" s="590"/>
      <c r="P68" s="590"/>
      <c r="Q68" s="590"/>
      <c r="R68" s="590"/>
      <c r="S68" s="590"/>
      <c r="T68" s="590"/>
      <c r="U68" s="590"/>
      <c r="V68" s="590"/>
      <c r="W68" s="590"/>
      <c r="X68" s="590"/>
      <c r="Y68" s="590"/>
      <c r="Z68" s="590"/>
    </row>
    <row r="69" spans="1:26" ht="22.5" customHeight="1">
      <c r="A69" s="574"/>
      <c r="B69" s="647" t="s">
        <v>589</v>
      </c>
      <c r="C69" s="1113" t="s">
        <v>742</v>
      </c>
      <c r="D69" s="1009"/>
      <c r="E69" s="1009"/>
      <c r="F69" s="1009"/>
      <c r="G69" s="1009"/>
      <c r="H69" s="1009"/>
      <c r="I69" s="1010"/>
      <c r="J69" s="604" t="s">
        <v>591</v>
      </c>
      <c r="K69" s="487"/>
      <c r="L69" s="590"/>
      <c r="M69" s="590"/>
      <c r="N69" s="590"/>
      <c r="O69" s="590"/>
      <c r="P69" s="590"/>
      <c r="Q69" s="590"/>
      <c r="R69" s="590"/>
      <c r="S69" s="590"/>
      <c r="T69" s="590"/>
      <c r="U69" s="590"/>
      <c r="V69" s="590"/>
      <c r="W69" s="590"/>
      <c r="X69" s="590"/>
      <c r="Y69" s="590"/>
      <c r="Z69" s="590"/>
    </row>
    <row r="70" spans="1:26" ht="28.5" customHeight="1">
      <c r="A70" s="574"/>
      <c r="B70" s="647" t="s">
        <v>514</v>
      </c>
      <c r="C70" s="1108" t="s">
        <v>743</v>
      </c>
      <c r="D70" s="1009"/>
      <c r="E70" s="1009"/>
      <c r="F70" s="1009"/>
      <c r="G70" s="1009"/>
      <c r="H70" s="1010"/>
      <c r="I70" s="648">
        <v>8.3299999999999999E-2</v>
      </c>
      <c r="J70" s="649">
        <f>ROUND(J58*I70,2)</f>
        <v>138.81</v>
      </c>
      <c r="K70" s="650"/>
      <c r="L70" s="590"/>
      <c r="M70" s="590"/>
      <c r="N70" s="590"/>
      <c r="O70" s="590"/>
      <c r="P70" s="590"/>
      <c r="Q70" s="590"/>
      <c r="R70" s="590"/>
      <c r="S70" s="590"/>
      <c r="T70" s="590"/>
      <c r="U70" s="590"/>
      <c r="V70" s="590"/>
      <c r="W70" s="590"/>
      <c r="X70" s="590"/>
      <c r="Y70" s="590"/>
      <c r="Z70" s="590"/>
    </row>
    <row r="71" spans="1:26" ht="93" customHeight="1">
      <c r="A71" s="574"/>
      <c r="B71" s="647" t="s">
        <v>516</v>
      </c>
      <c r="C71" s="1114" t="s">
        <v>744</v>
      </c>
      <c r="D71" s="1009"/>
      <c r="E71" s="1009"/>
      <c r="F71" s="1009"/>
      <c r="G71" s="1009"/>
      <c r="H71" s="1010"/>
      <c r="I71" s="651">
        <v>3.0249999999999999E-2</v>
      </c>
      <c r="J71" s="649">
        <f>ROUND(J58*I71,2)</f>
        <v>50.41</v>
      </c>
      <c r="K71" s="650"/>
      <c r="L71" s="590"/>
      <c r="M71" s="590"/>
      <c r="N71" s="590"/>
      <c r="O71" s="590"/>
      <c r="P71" s="590"/>
      <c r="Q71" s="590"/>
      <c r="R71" s="590"/>
      <c r="S71" s="590"/>
      <c r="T71" s="590"/>
      <c r="U71" s="590"/>
      <c r="V71" s="590"/>
      <c r="W71" s="590"/>
      <c r="X71" s="590"/>
      <c r="Y71" s="590"/>
      <c r="Z71" s="590"/>
    </row>
    <row r="72" spans="1:26" ht="15" customHeight="1">
      <c r="A72" s="574"/>
      <c r="B72" s="1094" t="s">
        <v>594</v>
      </c>
      <c r="C72" s="1009"/>
      <c r="D72" s="1009"/>
      <c r="E72" s="1009"/>
      <c r="F72" s="1009"/>
      <c r="G72" s="1009"/>
      <c r="H72" s="1009"/>
      <c r="I72" s="1010"/>
      <c r="J72" s="652">
        <f>SUM(J70+J71)</f>
        <v>189.22</v>
      </c>
      <c r="K72" s="653"/>
      <c r="L72" s="590"/>
      <c r="M72" s="590"/>
      <c r="N72" s="590"/>
      <c r="O72" s="590"/>
      <c r="P72" s="590"/>
      <c r="Q72" s="590"/>
      <c r="R72" s="590"/>
      <c r="S72" s="590"/>
      <c r="T72" s="590"/>
      <c r="U72" s="590"/>
      <c r="V72" s="590"/>
      <c r="W72" s="590"/>
      <c r="X72" s="590"/>
      <c r="Y72" s="590"/>
      <c r="Z72" s="590"/>
    </row>
    <row r="73" spans="1:26" ht="7.5" customHeight="1">
      <c r="A73" s="574"/>
      <c r="B73" s="1095"/>
      <c r="C73" s="1009"/>
      <c r="D73" s="1009"/>
      <c r="E73" s="1009"/>
      <c r="F73" s="1009"/>
      <c r="G73" s="1009"/>
      <c r="H73" s="1009"/>
      <c r="I73" s="1009"/>
      <c r="J73" s="1010"/>
      <c r="K73" s="654"/>
      <c r="L73" s="590"/>
      <c r="M73" s="590"/>
      <c r="N73" s="590"/>
      <c r="O73" s="590"/>
      <c r="P73" s="590"/>
      <c r="Q73" s="590"/>
      <c r="R73" s="590"/>
      <c r="S73" s="590"/>
      <c r="T73" s="590"/>
      <c r="U73" s="590"/>
      <c r="V73" s="590"/>
      <c r="W73" s="590"/>
      <c r="X73" s="590"/>
      <c r="Y73" s="590"/>
      <c r="Z73" s="590"/>
    </row>
    <row r="74" spans="1:26" ht="84" customHeight="1">
      <c r="A74" s="574"/>
      <c r="B74" s="1111" t="s">
        <v>745</v>
      </c>
      <c r="C74" s="1009"/>
      <c r="D74" s="1009"/>
      <c r="E74" s="1009"/>
      <c r="F74" s="1009"/>
      <c r="G74" s="1009"/>
      <c r="H74" s="1009"/>
      <c r="I74" s="1009"/>
      <c r="J74" s="1010"/>
      <c r="K74" s="619"/>
      <c r="L74" s="590"/>
      <c r="M74" s="590"/>
      <c r="N74" s="590"/>
      <c r="O74" s="590"/>
      <c r="P74" s="590"/>
      <c r="Q74" s="590"/>
      <c r="R74" s="590"/>
      <c r="S74" s="590"/>
      <c r="T74" s="590"/>
      <c r="U74" s="590"/>
      <c r="V74" s="590"/>
      <c r="W74" s="590"/>
      <c r="X74" s="590"/>
      <c r="Y74" s="590"/>
      <c r="Z74" s="590"/>
    </row>
    <row r="75" spans="1:26" ht="7.5" customHeight="1">
      <c r="A75" s="574"/>
      <c r="B75" s="1115"/>
      <c r="C75" s="1009"/>
      <c r="D75" s="1009"/>
      <c r="E75" s="1009"/>
      <c r="F75" s="1009"/>
      <c r="G75" s="1009"/>
      <c r="H75" s="1009"/>
      <c r="I75" s="1009"/>
      <c r="J75" s="1010"/>
      <c r="K75" s="619"/>
      <c r="L75" s="590"/>
      <c r="M75" s="590"/>
      <c r="N75" s="590"/>
      <c r="O75" s="590"/>
      <c r="P75" s="590"/>
      <c r="Q75" s="590"/>
      <c r="R75" s="590"/>
      <c r="S75" s="590"/>
      <c r="T75" s="590"/>
      <c r="U75" s="590"/>
      <c r="V75" s="590"/>
      <c r="W75" s="590"/>
      <c r="X75" s="590"/>
      <c r="Y75" s="590"/>
      <c r="Z75" s="590"/>
    </row>
    <row r="76" spans="1:26" ht="32.25" customHeight="1">
      <c r="A76" s="574"/>
      <c r="B76" s="1108" t="s">
        <v>746</v>
      </c>
      <c r="C76" s="1009"/>
      <c r="D76" s="1009"/>
      <c r="E76" s="1009"/>
      <c r="F76" s="1009"/>
      <c r="G76" s="1009"/>
      <c r="H76" s="1009"/>
      <c r="I76" s="1009"/>
      <c r="J76" s="1010"/>
      <c r="K76" s="655"/>
      <c r="L76" s="590"/>
      <c r="M76" s="590"/>
      <c r="N76" s="590"/>
      <c r="O76" s="590"/>
      <c r="P76" s="590"/>
      <c r="Q76" s="590"/>
      <c r="R76" s="590"/>
      <c r="S76" s="590"/>
      <c r="T76" s="590"/>
      <c r="U76" s="590"/>
      <c r="V76" s="590"/>
      <c r="W76" s="590"/>
      <c r="X76" s="590"/>
      <c r="Y76" s="590"/>
      <c r="Z76" s="590"/>
    </row>
    <row r="77" spans="1:26" ht="27" customHeight="1">
      <c r="A77" s="574"/>
      <c r="B77" s="656" t="s">
        <v>597</v>
      </c>
      <c r="C77" s="1165" t="s">
        <v>598</v>
      </c>
      <c r="D77" s="1009"/>
      <c r="E77" s="1009"/>
      <c r="F77" s="1009"/>
      <c r="G77" s="1009"/>
      <c r="H77" s="1010"/>
      <c r="I77" s="657" t="s">
        <v>556</v>
      </c>
      <c r="J77" s="657" t="s">
        <v>599</v>
      </c>
      <c r="K77" s="487"/>
      <c r="L77" s="590"/>
      <c r="M77" s="590"/>
      <c r="N77" s="590"/>
      <c r="O77" s="590"/>
      <c r="P77" s="590"/>
      <c r="Q77" s="590"/>
      <c r="R77" s="590"/>
      <c r="S77" s="590"/>
      <c r="T77" s="590"/>
      <c r="U77" s="590"/>
      <c r="V77" s="590"/>
      <c r="W77" s="590"/>
      <c r="X77" s="590"/>
      <c r="Y77" s="590"/>
      <c r="Z77" s="590"/>
    </row>
    <row r="78" spans="1:26" ht="18.75" customHeight="1">
      <c r="A78" s="574"/>
      <c r="B78" s="658" t="s">
        <v>514</v>
      </c>
      <c r="C78" s="1069" t="s">
        <v>600</v>
      </c>
      <c r="D78" s="1009"/>
      <c r="E78" s="1009"/>
      <c r="F78" s="1009"/>
      <c r="G78" s="1009"/>
      <c r="H78" s="1010"/>
      <c r="I78" s="659">
        <v>0.2</v>
      </c>
      <c r="J78" s="660">
        <f>ROUND((J58+J72)*I78,2)</f>
        <v>371.13</v>
      </c>
      <c r="K78" s="653"/>
      <c r="L78" s="590"/>
      <c r="M78" s="590"/>
      <c r="N78" s="590"/>
      <c r="O78" s="590"/>
      <c r="P78" s="590"/>
      <c r="Q78" s="590"/>
      <c r="R78" s="590"/>
      <c r="S78" s="590"/>
      <c r="T78" s="590"/>
      <c r="U78" s="590"/>
      <c r="V78" s="590"/>
      <c r="W78" s="590"/>
      <c r="X78" s="590"/>
      <c r="Y78" s="590"/>
      <c r="Z78" s="590"/>
    </row>
    <row r="79" spans="1:26" ht="18.75" customHeight="1">
      <c r="A79" s="574"/>
      <c r="B79" s="658" t="s">
        <v>516</v>
      </c>
      <c r="C79" s="1069" t="s">
        <v>601</v>
      </c>
      <c r="D79" s="1009"/>
      <c r="E79" s="1009"/>
      <c r="F79" s="1009"/>
      <c r="G79" s="1009"/>
      <c r="H79" s="1010"/>
      <c r="I79" s="659">
        <v>2.5000000000000001E-2</v>
      </c>
      <c r="J79" s="660">
        <f>ROUND((J58+J72)*I79,2)</f>
        <v>46.39</v>
      </c>
      <c r="K79" s="653"/>
      <c r="L79" s="590"/>
      <c r="M79" s="590"/>
      <c r="N79" s="590"/>
      <c r="O79" s="590"/>
      <c r="P79" s="590"/>
      <c r="Q79" s="590"/>
      <c r="R79" s="590"/>
      <c r="S79" s="590"/>
      <c r="T79" s="590"/>
      <c r="U79" s="590"/>
      <c r="V79" s="590"/>
      <c r="W79" s="590"/>
      <c r="X79" s="590"/>
      <c r="Y79" s="590"/>
      <c r="Z79" s="590"/>
    </row>
    <row r="80" spans="1:26" ht="55.5" customHeight="1">
      <c r="A80" s="574"/>
      <c r="B80" s="658" t="s">
        <v>518</v>
      </c>
      <c r="C80" s="1069" t="s">
        <v>747</v>
      </c>
      <c r="D80" s="1010"/>
      <c r="E80" s="597" t="s">
        <v>603</v>
      </c>
      <c r="F80" s="661">
        <f>'1-ABA-DE-CARREGAMENTO'!D57</f>
        <v>0.03</v>
      </c>
      <c r="G80" s="597" t="s">
        <v>604</v>
      </c>
      <c r="H80" s="662">
        <f>'1-ABA-DE-CARREGAMENTO'!D58</f>
        <v>1</v>
      </c>
      <c r="I80" s="663">
        <f>ROUND((F80*H80),6)</f>
        <v>0.03</v>
      </c>
      <c r="J80" s="660">
        <f>ROUND((J58+J72)*I80,2)</f>
        <v>55.67</v>
      </c>
      <c r="K80" s="653"/>
      <c r="L80" s="590"/>
      <c r="M80" s="590"/>
      <c r="N80" s="590"/>
      <c r="O80" s="590"/>
      <c r="P80" s="590"/>
      <c r="Q80" s="590"/>
      <c r="R80" s="590"/>
      <c r="S80" s="590"/>
      <c r="T80" s="590"/>
      <c r="U80" s="590"/>
      <c r="V80" s="590"/>
      <c r="W80" s="590"/>
      <c r="X80" s="590"/>
      <c r="Y80" s="590"/>
      <c r="Z80" s="590"/>
    </row>
    <row r="81" spans="1:26" ht="15.75" customHeight="1">
      <c r="A81" s="574"/>
      <c r="B81" s="658" t="s">
        <v>520</v>
      </c>
      <c r="C81" s="1069" t="s">
        <v>605</v>
      </c>
      <c r="D81" s="1009"/>
      <c r="E81" s="1009"/>
      <c r="F81" s="1009"/>
      <c r="G81" s="1009"/>
      <c r="H81" s="1010"/>
      <c r="I81" s="659">
        <v>1.4999999999999999E-2</v>
      </c>
      <c r="J81" s="660">
        <f>ROUND((J58+J72)*I81,2)</f>
        <v>27.83</v>
      </c>
      <c r="K81" s="653"/>
      <c r="L81" s="590"/>
      <c r="M81" s="590"/>
      <c r="N81" s="590"/>
      <c r="O81" s="590"/>
      <c r="P81" s="590"/>
      <c r="Q81" s="590"/>
      <c r="R81" s="590"/>
      <c r="S81" s="590"/>
      <c r="T81" s="590"/>
      <c r="U81" s="590"/>
      <c r="V81" s="590"/>
      <c r="W81" s="590"/>
      <c r="X81" s="590"/>
      <c r="Y81" s="590"/>
      <c r="Z81" s="590"/>
    </row>
    <row r="82" spans="1:26" ht="15.75" customHeight="1">
      <c r="A82" s="574"/>
      <c r="B82" s="658" t="s">
        <v>562</v>
      </c>
      <c r="C82" s="1069" t="s">
        <v>606</v>
      </c>
      <c r="D82" s="1009"/>
      <c r="E82" s="1009"/>
      <c r="F82" s="1009"/>
      <c r="G82" s="1009"/>
      <c r="H82" s="1010"/>
      <c r="I82" s="659">
        <v>0.01</v>
      </c>
      <c r="J82" s="660">
        <f>ROUND((J58+J72)*I82,2)</f>
        <v>18.559999999999999</v>
      </c>
      <c r="K82" s="653"/>
      <c r="L82" s="590"/>
      <c r="M82" s="590"/>
      <c r="N82" s="590"/>
      <c r="O82" s="590"/>
      <c r="P82" s="590"/>
      <c r="Q82" s="590"/>
      <c r="R82" s="590"/>
      <c r="S82" s="590"/>
      <c r="T82" s="590"/>
      <c r="U82" s="590"/>
      <c r="V82" s="590"/>
      <c r="W82" s="590"/>
      <c r="X82" s="590"/>
      <c r="Y82" s="590"/>
      <c r="Z82" s="590"/>
    </row>
    <row r="83" spans="1:26" ht="15.75" customHeight="1">
      <c r="A83" s="574"/>
      <c r="B83" s="658" t="s">
        <v>566</v>
      </c>
      <c r="C83" s="1069" t="s">
        <v>607</v>
      </c>
      <c r="D83" s="1009"/>
      <c r="E83" s="1009"/>
      <c r="F83" s="1009"/>
      <c r="G83" s="1009"/>
      <c r="H83" s="1010"/>
      <c r="I83" s="659">
        <v>6.0000000000000001E-3</v>
      </c>
      <c r="J83" s="660">
        <f>ROUND((J58+J72)*I83,2)</f>
        <v>11.13</v>
      </c>
      <c r="K83" s="653"/>
      <c r="L83" s="590"/>
      <c r="M83" s="590"/>
      <c r="N83" s="590"/>
      <c r="O83" s="590"/>
      <c r="P83" s="590"/>
      <c r="Q83" s="590"/>
      <c r="R83" s="590"/>
      <c r="S83" s="590"/>
      <c r="T83" s="590"/>
      <c r="U83" s="590"/>
      <c r="V83" s="590"/>
      <c r="W83" s="590"/>
      <c r="X83" s="590"/>
      <c r="Y83" s="590"/>
      <c r="Z83" s="590"/>
    </row>
    <row r="84" spans="1:26" ht="15.75" customHeight="1">
      <c r="A84" s="574"/>
      <c r="B84" s="658" t="s">
        <v>568</v>
      </c>
      <c r="C84" s="1069" t="s">
        <v>608</v>
      </c>
      <c r="D84" s="1009"/>
      <c r="E84" s="1009"/>
      <c r="F84" s="1009"/>
      <c r="G84" s="1009"/>
      <c r="H84" s="1010"/>
      <c r="I84" s="659">
        <v>2E-3</v>
      </c>
      <c r="J84" s="660">
        <f>ROUND((J58+J72)*I84,2)</f>
        <v>3.71</v>
      </c>
      <c r="K84" s="653"/>
      <c r="L84" s="590"/>
      <c r="M84" s="590"/>
      <c r="N84" s="590"/>
      <c r="O84" s="590"/>
      <c r="P84" s="590"/>
      <c r="Q84" s="590"/>
      <c r="R84" s="590"/>
      <c r="S84" s="590"/>
      <c r="T84" s="590"/>
      <c r="U84" s="590"/>
      <c r="V84" s="590"/>
      <c r="W84" s="590"/>
      <c r="X84" s="590"/>
      <c r="Y84" s="590"/>
      <c r="Z84" s="590"/>
    </row>
    <row r="85" spans="1:26" ht="15.75" customHeight="1">
      <c r="A85" s="574"/>
      <c r="B85" s="658" t="s">
        <v>570</v>
      </c>
      <c r="C85" s="1069" t="s">
        <v>609</v>
      </c>
      <c r="D85" s="1009"/>
      <c r="E85" s="1009"/>
      <c r="F85" s="1009"/>
      <c r="G85" s="1009"/>
      <c r="H85" s="1010"/>
      <c r="I85" s="659">
        <v>0.08</v>
      </c>
      <c r="J85" s="660">
        <f>ROUND((J58+J72)*I85,2)</f>
        <v>148.44999999999999</v>
      </c>
      <c r="K85" s="653"/>
      <c r="L85" s="590"/>
      <c r="M85" s="590"/>
      <c r="N85" s="590"/>
      <c r="O85" s="590"/>
      <c r="P85" s="590"/>
      <c r="Q85" s="590"/>
      <c r="R85" s="590"/>
      <c r="S85" s="590"/>
      <c r="T85" s="590"/>
      <c r="U85" s="590"/>
      <c r="V85" s="590"/>
      <c r="W85" s="590"/>
      <c r="X85" s="590"/>
      <c r="Y85" s="590"/>
      <c r="Z85" s="590"/>
    </row>
    <row r="86" spans="1:26" ht="15.75" customHeight="1">
      <c r="A86" s="574"/>
      <c r="B86" s="1089" t="s">
        <v>594</v>
      </c>
      <c r="C86" s="1009"/>
      <c r="D86" s="1009"/>
      <c r="E86" s="1009"/>
      <c r="F86" s="1009"/>
      <c r="G86" s="1009"/>
      <c r="H86" s="1010"/>
      <c r="I86" s="664">
        <f t="shared" ref="I86:J86" si="2">SUM(I78:I85)</f>
        <v>0.36800000000000005</v>
      </c>
      <c r="J86" s="652">
        <f t="shared" si="2"/>
        <v>682.86999999999989</v>
      </c>
      <c r="K86" s="653"/>
      <c r="L86" s="590"/>
      <c r="M86" s="590"/>
      <c r="N86" s="590"/>
      <c r="O86" s="590"/>
      <c r="P86" s="590"/>
      <c r="Q86" s="590"/>
      <c r="R86" s="590"/>
      <c r="S86" s="590"/>
      <c r="T86" s="590"/>
      <c r="U86" s="590"/>
      <c r="V86" s="590"/>
      <c r="W86" s="590"/>
      <c r="X86" s="590"/>
      <c r="Y86" s="590"/>
      <c r="Z86" s="590"/>
    </row>
    <row r="87" spans="1:26" ht="8.25" customHeight="1">
      <c r="A87" s="574"/>
      <c r="B87" s="665"/>
      <c r="C87" s="666"/>
      <c r="D87" s="666"/>
      <c r="E87" s="666"/>
      <c r="F87" s="666"/>
      <c r="G87" s="666"/>
      <c r="H87" s="666"/>
      <c r="I87" s="667"/>
      <c r="J87" s="668"/>
      <c r="K87" s="653"/>
      <c r="L87" s="590"/>
      <c r="M87" s="590"/>
      <c r="N87" s="590"/>
      <c r="O87" s="590"/>
      <c r="P87" s="590"/>
      <c r="Q87" s="590"/>
      <c r="R87" s="590"/>
      <c r="S87" s="590"/>
      <c r="T87" s="590"/>
      <c r="U87" s="590"/>
      <c r="V87" s="590"/>
      <c r="W87" s="590"/>
      <c r="X87" s="590"/>
      <c r="Y87" s="590"/>
      <c r="Z87" s="590"/>
    </row>
    <row r="88" spans="1:26" ht="35.25" customHeight="1">
      <c r="A88" s="574"/>
      <c r="B88" s="1111" t="s">
        <v>610</v>
      </c>
      <c r="C88" s="1009"/>
      <c r="D88" s="1009"/>
      <c r="E88" s="1009"/>
      <c r="F88" s="1009"/>
      <c r="G88" s="1009"/>
      <c r="H88" s="1009"/>
      <c r="I88" s="1009"/>
      <c r="J88" s="1010"/>
      <c r="K88" s="619"/>
      <c r="L88" s="590"/>
      <c r="M88" s="590"/>
      <c r="N88" s="590"/>
      <c r="O88" s="590"/>
      <c r="P88" s="590"/>
      <c r="Q88" s="590"/>
      <c r="R88" s="590"/>
      <c r="S88" s="590"/>
      <c r="T88" s="590"/>
      <c r="U88" s="590"/>
      <c r="V88" s="590"/>
      <c r="W88" s="590"/>
      <c r="X88" s="590"/>
      <c r="Y88" s="590"/>
      <c r="Z88" s="590"/>
    </row>
    <row r="89" spans="1:26" ht="9.75" customHeight="1">
      <c r="A89" s="574"/>
      <c r="B89" s="1122"/>
      <c r="C89" s="1009"/>
      <c r="D89" s="1009"/>
      <c r="E89" s="1009"/>
      <c r="F89" s="1009"/>
      <c r="G89" s="1009"/>
      <c r="H89" s="1009"/>
      <c r="I89" s="1009"/>
      <c r="J89" s="1010"/>
      <c r="K89" s="601"/>
      <c r="L89" s="590"/>
      <c r="M89" s="590"/>
      <c r="N89" s="590"/>
      <c r="O89" s="590"/>
      <c r="P89" s="590"/>
      <c r="Q89" s="590"/>
      <c r="R89" s="590"/>
      <c r="S89" s="590"/>
      <c r="T89" s="590"/>
      <c r="U89" s="590"/>
      <c r="V89" s="590"/>
      <c r="W89" s="590"/>
      <c r="X89" s="590"/>
      <c r="Y89" s="590"/>
      <c r="Z89" s="590"/>
    </row>
    <row r="90" spans="1:26" ht="20.25" customHeight="1">
      <c r="A90" s="574"/>
      <c r="B90" s="1096" t="s">
        <v>611</v>
      </c>
      <c r="C90" s="1009"/>
      <c r="D90" s="1009"/>
      <c r="E90" s="1009"/>
      <c r="F90" s="1009"/>
      <c r="G90" s="1009"/>
      <c r="H90" s="1009"/>
      <c r="I90" s="1009"/>
      <c r="J90" s="1010"/>
      <c r="K90" s="646"/>
      <c r="L90" s="590"/>
      <c r="M90" s="590"/>
      <c r="N90" s="590"/>
      <c r="O90" s="590"/>
      <c r="P90" s="590"/>
      <c r="Q90" s="590"/>
      <c r="R90" s="590"/>
      <c r="S90" s="590"/>
      <c r="T90" s="590"/>
      <c r="U90" s="590"/>
      <c r="V90" s="590"/>
      <c r="W90" s="590"/>
      <c r="X90" s="590"/>
      <c r="Y90" s="590"/>
      <c r="Z90" s="590"/>
    </row>
    <row r="91" spans="1:26" ht="27" customHeight="1">
      <c r="A91" s="574"/>
      <c r="B91" s="669" t="s">
        <v>612</v>
      </c>
      <c r="C91" s="1083" t="s">
        <v>613</v>
      </c>
      <c r="D91" s="1009"/>
      <c r="E91" s="1009"/>
      <c r="F91" s="1009"/>
      <c r="G91" s="1009"/>
      <c r="H91" s="1009"/>
      <c r="I91" s="1010"/>
      <c r="J91" s="670" t="s">
        <v>591</v>
      </c>
      <c r="K91" s="592"/>
      <c r="L91" s="590"/>
      <c r="M91" s="590"/>
      <c r="N91" s="590"/>
      <c r="O91" s="590"/>
      <c r="P91" s="590"/>
      <c r="Q91" s="590"/>
      <c r="R91" s="590"/>
      <c r="S91" s="590"/>
      <c r="T91" s="590"/>
      <c r="U91" s="590"/>
      <c r="V91" s="590"/>
      <c r="W91" s="590"/>
      <c r="X91" s="590"/>
      <c r="Y91" s="590"/>
      <c r="Z91" s="590"/>
    </row>
    <row r="92" spans="1:26" ht="23.25" customHeight="1">
      <c r="A92" s="574"/>
      <c r="B92" s="671" t="s">
        <v>514</v>
      </c>
      <c r="C92" s="1069" t="s">
        <v>748</v>
      </c>
      <c r="D92" s="1009"/>
      <c r="E92" s="1009"/>
      <c r="F92" s="1009"/>
      <c r="G92" s="1009"/>
      <c r="H92" s="1010"/>
      <c r="I92" s="672">
        <f>J47</f>
        <v>1365.9090909090908</v>
      </c>
      <c r="J92" s="673">
        <f>IF(ROUND((I93*I94*I95)-(I92*H96),2)&lt;0,0,ROUND((I93*I94*I95)-(I92*H96),2))</f>
        <v>58.85</v>
      </c>
      <c r="K92" s="653"/>
      <c r="L92" s="590"/>
      <c r="M92" s="590"/>
      <c r="N92" s="590"/>
      <c r="O92" s="590"/>
      <c r="P92" s="590"/>
      <c r="Q92" s="590"/>
      <c r="R92" s="590"/>
      <c r="S92" s="590"/>
      <c r="T92" s="590"/>
      <c r="U92" s="590"/>
      <c r="V92" s="590"/>
      <c r="W92" s="590"/>
      <c r="X92" s="590"/>
      <c r="Y92" s="590"/>
      <c r="Z92" s="590"/>
    </row>
    <row r="93" spans="1:26" ht="27" customHeight="1">
      <c r="A93" s="574"/>
      <c r="B93" s="671" t="s">
        <v>516</v>
      </c>
      <c r="C93" s="1069" t="s">
        <v>749</v>
      </c>
      <c r="D93" s="1009"/>
      <c r="E93" s="1009"/>
      <c r="F93" s="1009"/>
      <c r="G93" s="1009"/>
      <c r="H93" s="1009"/>
      <c r="I93" s="674">
        <f>'1-ABA-DE-CARREGAMENTO'!D72</f>
        <v>3.2</v>
      </c>
      <c r="J93" s="675" t="s">
        <v>527</v>
      </c>
      <c r="K93" s="639"/>
      <c r="L93" s="590"/>
      <c r="M93" s="590"/>
      <c r="N93" s="590"/>
      <c r="O93" s="590"/>
      <c r="P93" s="590"/>
      <c r="Q93" s="590"/>
      <c r="R93" s="590"/>
      <c r="S93" s="590"/>
      <c r="T93" s="590"/>
      <c r="U93" s="590"/>
      <c r="V93" s="590"/>
      <c r="W93" s="590"/>
      <c r="X93" s="590"/>
      <c r="Y93" s="590"/>
      <c r="Z93" s="590"/>
    </row>
    <row r="94" spans="1:26" ht="19.5" customHeight="1">
      <c r="A94" s="574"/>
      <c r="B94" s="671" t="s">
        <v>518</v>
      </c>
      <c r="C94" s="1069" t="s">
        <v>750</v>
      </c>
      <c r="D94" s="1009"/>
      <c r="E94" s="1009"/>
      <c r="F94" s="1009"/>
      <c r="G94" s="1009"/>
      <c r="H94" s="1010"/>
      <c r="I94" s="753">
        <f>'1-ABA-DE-CARREGAMENTO'!D73</f>
        <v>2</v>
      </c>
      <c r="J94" s="675" t="s">
        <v>527</v>
      </c>
      <c r="K94" s="639"/>
      <c r="L94" s="590"/>
      <c r="M94" s="590"/>
      <c r="N94" s="590"/>
      <c r="O94" s="590"/>
      <c r="P94" s="590"/>
      <c r="Q94" s="590"/>
      <c r="R94" s="590"/>
      <c r="S94" s="590"/>
      <c r="T94" s="590"/>
      <c r="U94" s="590"/>
      <c r="V94" s="590"/>
      <c r="W94" s="590"/>
      <c r="X94" s="590"/>
      <c r="Y94" s="590"/>
      <c r="Z94" s="590"/>
    </row>
    <row r="95" spans="1:26" ht="19.5" customHeight="1">
      <c r="A95" s="574"/>
      <c r="B95" s="671" t="s">
        <v>520</v>
      </c>
      <c r="C95" s="1125" t="s">
        <v>617</v>
      </c>
      <c r="D95" s="1009"/>
      <c r="E95" s="1009"/>
      <c r="F95" s="1009"/>
      <c r="G95" s="1009"/>
      <c r="H95" s="1010"/>
      <c r="I95" s="753">
        <f>'1-ABA-DE-CARREGAMENTO'!D74</f>
        <v>22</v>
      </c>
      <c r="J95" s="675" t="s">
        <v>527</v>
      </c>
      <c r="K95" s="639"/>
      <c r="L95" s="590"/>
      <c r="M95" s="590"/>
      <c r="N95" s="590"/>
      <c r="O95" s="590"/>
      <c r="P95" s="590"/>
      <c r="Q95" s="590"/>
      <c r="R95" s="590"/>
      <c r="S95" s="590"/>
      <c r="T95" s="590"/>
      <c r="U95" s="590"/>
      <c r="V95" s="590"/>
      <c r="W95" s="590"/>
      <c r="X95" s="590"/>
      <c r="Y95" s="590"/>
      <c r="Z95" s="590"/>
    </row>
    <row r="96" spans="1:26" ht="24.75" customHeight="1">
      <c r="A96" s="574"/>
      <c r="B96" s="671" t="s">
        <v>562</v>
      </c>
      <c r="C96" s="1125" t="s">
        <v>618</v>
      </c>
      <c r="D96" s="1009"/>
      <c r="E96" s="1009"/>
      <c r="F96" s="1009"/>
      <c r="G96" s="1009"/>
      <c r="H96" s="677">
        <v>0.06</v>
      </c>
      <c r="I96" s="678">
        <f>H96*I92</f>
        <v>81.954545454545439</v>
      </c>
      <c r="J96" s="679" t="s">
        <v>527</v>
      </c>
      <c r="K96" s="639"/>
      <c r="L96" s="590"/>
      <c r="M96" s="590"/>
      <c r="N96" s="590"/>
      <c r="O96" s="590"/>
      <c r="P96" s="590"/>
      <c r="Q96" s="590"/>
      <c r="R96" s="590"/>
      <c r="S96" s="590"/>
      <c r="T96" s="590"/>
      <c r="U96" s="590"/>
      <c r="V96" s="590"/>
      <c r="W96" s="590"/>
      <c r="X96" s="590"/>
      <c r="Y96" s="590"/>
      <c r="Z96" s="590"/>
    </row>
    <row r="97" spans="1:26" ht="14.25" customHeight="1">
      <c r="A97" s="574"/>
      <c r="B97" s="671" t="s">
        <v>566</v>
      </c>
      <c r="C97" s="1069" t="s">
        <v>751</v>
      </c>
      <c r="D97" s="1009"/>
      <c r="E97" s="1009"/>
      <c r="F97" s="1009"/>
      <c r="G97" s="1009"/>
      <c r="H97" s="1009"/>
      <c r="I97" s="1010"/>
      <c r="J97" s="673">
        <f>ROUND(I98*I99,2)-ROUND((I98*I99)*I100,2)</f>
        <v>392.04</v>
      </c>
      <c r="K97" s="653"/>
      <c r="L97" s="590"/>
      <c r="M97" s="590"/>
      <c r="N97" s="590"/>
      <c r="O97" s="590"/>
      <c r="P97" s="590"/>
      <c r="Q97" s="590"/>
      <c r="R97" s="590"/>
      <c r="S97" s="590"/>
      <c r="T97" s="590"/>
      <c r="U97" s="590"/>
      <c r="V97" s="590"/>
      <c r="W97" s="590"/>
      <c r="X97" s="590"/>
      <c r="Y97" s="590"/>
      <c r="Z97" s="590"/>
    </row>
    <row r="98" spans="1:26" ht="15.75" customHeight="1">
      <c r="A98" s="574"/>
      <c r="B98" s="671" t="s">
        <v>568</v>
      </c>
      <c r="C98" s="1069" t="s">
        <v>752</v>
      </c>
      <c r="D98" s="1009"/>
      <c r="E98" s="1009"/>
      <c r="F98" s="1009"/>
      <c r="G98" s="1009"/>
      <c r="H98" s="1010"/>
      <c r="I98" s="674">
        <f>IF('1-ABA-DE-CARREGAMENTO'!D60&gt;0,'1-ABA-DE-CARREGAMENTO'!D60,'1-ABA-DE-CARREGAMENTO'!D64)</f>
        <v>22</v>
      </c>
      <c r="J98" s="681"/>
      <c r="K98" s="639"/>
      <c r="L98" s="590"/>
      <c r="M98" s="590"/>
      <c r="N98" s="590"/>
      <c r="O98" s="590"/>
      <c r="P98" s="590"/>
      <c r="Q98" s="590"/>
      <c r="R98" s="590"/>
      <c r="S98" s="590"/>
      <c r="T98" s="590"/>
      <c r="U98" s="590"/>
      <c r="V98" s="590"/>
      <c r="W98" s="590"/>
      <c r="X98" s="590"/>
      <c r="Y98" s="590"/>
      <c r="Z98" s="590"/>
    </row>
    <row r="99" spans="1:26" ht="27.75" customHeight="1">
      <c r="A99" s="574"/>
      <c r="B99" s="671" t="s">
        <v>570</v>
      </c>
      <c r="C99" s="1069" t="s">
        <v>753</v>
      </c>
      <c r="D99" s="1009"/>
      <c r="E99" s="1009"/>
      <c r="F99" s="1009"/>
      <c r="G99" s="1009"/>
      <c r="H99" s="1010"/>
      <c r="I99" s="753">
        <f>'1-ABA-DE-CARREGAMENTO'!D62</f>
        <v>22</v>
      </c>
      <c r="J99" s="681"/>
      <c r="K99" s="639"/>
      <c r="L99" s="590"/>
      <c r="M99" s="590"/>
      <c r="N99" s="590"/>
      <c r="O99" s="590"/>
      <c r="P99" s="590"/>
      <c r="Q99" s="590"/>
      <c r="R99" s="590"/>
      <c r="S99" s="590"/>
      <c r="T99" s="590"/>
      <c r="U99" s="590"/>
      <c r="V99" s="590"/>
      <c r="W99" s="590"/>
      <c r="X99" s="590"/>
      <c r="Y99" s="590"/>
      <c r="Z99" s="590"/>
    </row>
    <row r="100" spans="1:26" ht="24" customHeight="1">
      <c r="A100" s="574"/>
      <c r="B100" s="671" t="s">
        <v>574</v>
      </c>
      <c r="C100" s="1125" t="s">
        <v>754</v>
      </c>
      <c r="D100" s="1009"/>
      <c r="E100" s="1009"/>
      <c r="F100" s="1009"/>
      <c r="G100" s="1009"/>
      <c r="H100" s="1010"/>
      <c r="I100" s="683">
        <f>'1-ABA-DE-CARREGAMENTO'!D61</f>
        <v>0.19</v>
      </c>
      <c r="J100" s="684"/>
      <c r="K100" s="639"/>
      <c r="L100" s="590"/>
      <c r="M100" s="590"/>
      <c r="N100" s="590"/>
      <c r="O100" s="590"/>
      <c r="P100" s="590"/>
      <c r="Q100" s="590"/>
      <c r="R100" s="590"/>
      <c r="S100" s="590"/>
      <c r="T100" s="590"/>
      <c r="U100" s="590"/>
      <c r="V100" s="590"/>
      <c r="W100" s="590"/>
      <c r="X100" s="590"/>
      <c r="Y100" s="590"/>
      <c r="Z100" s="590"/>
    </row>
    <row r="101" spans="1:26" ht="15.75" customHeight="1" outlineLevel="1">
      <c r="A101" s="574"/>
      <c r="B101" s="671" t="s">
        <v>578</v>
      </c>
      <c r="C101" s="1069" t="s">
        <v>623</v>
      </c>
      <c r="D101" s="1009"/>
      <c r="E101" s="1009"/>
      <c r="F101" s="1009"/>
      <c r="G101" s="1009"/>
      <c r="H101" s="1009"/>
      <c r="I101" s="1009"/>
      <c r="J101" s="660">
        <f>'1-ABA-DE-CARREGAMENTO'!D79/12</f>
        <v>0</v>
      </c>
      <c r="K101" s="653"/>
      <c r="L101" s="590"/>
      <c r="M101" s="590"/>
      <c r="N101" s="590"/>
      <c r="O101" s="590"/>
      <c r="P101" s="590"/>
      <c r="Q101" s="590"/>
      <c r="R101" s="590"/>
      <c r="S101" s="590"/>
      <c r="T101" s="590"/>
      <c r="U101" s="590"/>
      <c r="V101" s="590"/>
      <c r="W101" s="590"/>
      <c r="X101" s="590"/>
      <c r="Y101" s="590"/>
      <c r="Z101" s="590"/>
    </row>
    <row r="102" spans="1:26" ht="40.5" customHeight="1" outlineLevel="1">
      <c r="A102" s="574"/>
      <c r="B102" s="671" t="s">
        <v>580</v>
      </c>
      <c r="C102" s="1069" t="s">
        <v>755</v>
      </c>
      <c r="D102" s="1009"/>
      <c r="E102" s="1009"/>
      <c r="F102" s="1009"/>
      <c r="G102" s="1009"/>
      <c r="H102" s="1009"/>
      <c r="I102" s="1009"/>
      <c r="J102" s="660">
        <f>'1-ABA-DE-CARREGAMENTO'!D77</f>
        <v>0</v>
      </c>
      <c r="K102" s="653"/>
      <c r="L102" s="590"/>
      <c r="M102" s="590"/>
      <c r="N102" s="590"/>
      <c r="O102" s="590"/>
      <c r="P102" s="590"/>
      <c r="Q102" s="590"/>
      <c r="R102" s="590"/>
      <c r="S102" s="590"/>
      <c r="T102" s="590"/>
      <c r="U102" s="590"/>
      <c r="V102" s="590"/>
      <c r="W102" s="590"/>
      <c r="X102" s="590"/>
      <c r="Y102" s="590"/>
      <c r="Z102" s="590"/>
    </row>
    <row r="103" spans="1:26" ht="40.5" customHeight="1" outlineLevel="1">
      <c r="A103" s="574"/>
      <c r="B103" s="671" t="s">
        <v>625</v>
      </c>
      <c r="C103" s="1069" t="s">
        <v>756</v>
      </c>
      <c r="D103" s="1009"/>
      <c r="E103" s="1009"/>
      <c r="F103" s="1009"/>
      <c r="G103" s="1009"/>
      <c r="H103" s="1009"/>
      <c r="I103" s="1010"/>
      <c r="J103" s="660">
        <f>'1-ABA-DE-CARREGAMENTO'!D78</f>
        <v>0</v>
      </c>
      <c r="K103" s="653"/>
      <c r="L103" s="590"/>
      <c r="M103" s="590"/>
      <c r="N103" s="590"/>
      <c r="O103" s="590"/>
      <c r="P103" s="590"/>
      <c r="Q103" s="590"/>
      <c r="R103" s="590"/>
      <c r="S103" s="590"/>
      <c r="T103" s="590"/>
      <c r="U103" s="590"/>
      <c r="V103" s="590"/>
      <c r="W103" s="590"/>
      <c r="X103" s="590"/>
      <c r="Y103" s="590"/>
      <c r="Z103" s="590"/>
    </row>
    <row r="104" spans="1:26" ht="21" customHeight="1" outlineLevel="1">
      <c r="A104" s="574"/>
      <c r="B104" s="671" t="s">
        <v>627</v>
      </c>
      <c r="C104" s="1069" t="s">
        <v>628</v>
      </c>
      <c r="D104" s="1009"/>
      <c r="E104" s="1009"/>
      <c r="F104" s="1009"/>
      <c r="G104" s="1009"/>
      <c r="H104" s="1009"/>
      <c r="I104" s="1010"/>
      <c r="J104" s="660">
        <f>'1-ABA-DE-CARREGAMENTO'!D76</f>
        <v>18.5</v>
      </c>
      <c r="K104" s="653"/>
      <c r="L104" s="590"/>
      <c r="M104" s="590"/>
      <c r="N104" s="590"/>
      <c r="O104" s="590"/>
      <c r="P104" s="590"/>
      <c r="Q104" s="590"/>
      <c r="R104" s="590"/>
      <c r="S104" s="590"/>
      <c r="T104" s="590"/>
      <c r="U104" s="590"/>
      <c r="V104" s="590"/>
      <c r="W104" s="590"/>
      <c r="X104" s="590"/>
      <c r="Y104" s="590"/>
      <c r="Z104" s="590"/>
    </row>
    <row r="105" spans="1:26" ht="15.75" customHeight="1" outlineLevel="1">
      <c r="A105" s="574"/>
      <c r="B105" s="671" t="s">
        <v>129</v>
      </c>
      <c r="C105" s="1109" t="s">
        <v>668</v>
      </c>
      <c r="D105" s="1009"/>
      <c r="E105" s="1009"/>
      <c r="F105" s="1009"/>
      <c r="G105" s="1009"/>
      <c r="H105" s="1009"/>
      <c r="I105" s="1009"/>
      <c r="J105" s="686">
        <v>0</v>
      </c>
      <c r="K105" s="644"/>
      <c r="L105" s="590"/>
      <c r="M105" s="590"/>
      <c r="N105" s="590"/>
      <c r="O105" s="590"/>
      <c r="P105" s="590"/>
      <c r="Q105" s="590"/>
      <c r="R105" s="590"/>
      <c r="S105" s="590"/>
      <c r="T105" s="590"/>
      <c r="U105" s="590"/>
      <c r="V105" s="590"/>
      <c r="W105" s="590"/>
      <c r="X105" s="590"/>
      <c r="Y105" s="590"/>
      <c r="Z105" s="590"/>
    </row>
    <row r="106" spans="1:26" ht="18" customHeight="1">
      <c r="A106" s="574"/>
      <c r="B106" s="669"/>
      <c r="C106" s="1089" t="s">
        <v>594</v>
      </c>
      <c r="D106" s="1009"/>
      <c r="E106" s="1009"/>
      <c r="F106" s="1009"/>
      <c r="G106" s="1009"/>
      <c r="H106" s="1009"/>
      <c r="I106" s="1030"/>
      <c r="J106" s="652">
        <f>SUM(J92:J105)</f>
        <v>469.39000000000004</v>
      </c>
      <c r="K106" s="653"/>
      <c r="L106" s="590"/>
      <c r="M106" s="590"/>
      <c r="N106" s="590"/>
      <c r="O106" s="590"/>
      <c r="P106" s="590"/>
      <c r="Q106" s="590"/>
      <c r="R106" s="590"/>
      <c r="S106" s="590"/>
      <c r="T106" s="590"/>
      <c r="U106" s="590"/>
      <c r="V106" s="590"/>
      <c r="W106" s="590"/>
      <c r="X106" s="590"/>
      <c r="Y106" s="590"/>
      <c r="Z106" s="590"/>
    </row>
    <row r="107" spans="1:26" ht="9" customHeight="1">
      <c r="A107" s="574"/>
      <c r="B107" s="1122"/>
      <c r="C107" s="1009"/>
      <c r="D107" s="1009"/>
      <c r="E107" s="1009"/>
      <c r="F107" s="1009"/>
      <c r="G107" s="1009"/>
      <c r="H107" s="1009"/>
      <c r="I107" s="1009"/>
      <c r="J107" s="1010"/>
      <c r="K107" s="601"/>
      <c r="L107" s="590"/>
      <c r="M107" s="590"/>
      <c r="N107" s="590"/>
      <c r="O107" s="590"/>
      <c r="P107" s="590"/>
      <c r="Q107" s="590"/>
      <c r="R107" s="590"/>
      <c r="S107" s="590"/>
      <c r="T107" s="590"/>
      <c r="U107" s="590"/>
      <c r="V107" s="590"/>
      <c r="W107" s="590"/>
      <c r="X107" s="590"/>
      <c r="Y107" s="590"/>
      <c r="Z107" s="590"/>
    </row>
    <row r="108" spans="1:26" ht="32.25" customHeight="1">
      <c r="A108" s="574"/>
      <c r="B108" s="1111" t="s">
        <v>630</v>
      </c>
      <c r="C108" s="1009"/>
      <c r="D108" s="1009"/>
      <c r="E108" s="1009"/>
      <c r="F108" s="1009"/>
      <c r="G108" s="1009"/>
      <c r="H108" s="1009"/>
      <c r="I108" s="1009"/>
      <c r="J108" s="1010"/>
      <c r="K108" s="619"/>
      <c r="L108" s="590"/>
      <c r="M108" s="590"/>
      <c r="N108" s="590"/>
      <c r="O108" s="590"/>
      <c r="P108" s="590"/>
      <c r="Q108" s="590"/>
      <c r="R108" s="590"/>
      <c r="S108" s="590"/>
      <c r="T108" s="590"/>
      <c r="U108" s="590"/>
      <c r="V108" s="590"/>
      <c r="W108" s="590"/>
      <c r="X108" s="590"/>
      <c r="Y108" s="590"/>
      <c r="Z108" s="590"/>
    </row>
    <row r="109" spans="1:26" ht="8.25" customHeight="1">
      <c r="A109" s="574"/>
      <c r="B109" s="1117"/>
      <c r="C109" s="1009"/>
      <c r="D109" s="1009"/>
      <c r="E109" s="1009"/>
      <c r="F109" s="1009"/>
      <c r="G109" s="1009"/>
      <c r="H109" s="1009"/>
      <c r="I109" s="1009"/>
      <c r="J109" s="1010"/>
      <c r="K109" s="592"/>
      <c r="L109" s="590"/>
      <c r="M109" s="590"/>
      <c r="N109" s="590"/>
      <c r="O109" s="590"/>
      <c r="P109" s="590"/>
      <c r="Q109" s="590"/>
      <c r="R109" s="590"/>
      <c r="S109" s="590"/>
      <c r="T109" s="590"/>
      <c r="U109" s="590"/>
      <c r="V109" s="590"/>
      <c r="W109" s="590"/>
      <c r="X109" s="590"/>
      <c r="Y109" s="590"/>
      <c r="Z109" s="590"/>
    </row>
    <row r="110" spans="1:26" ht="17.25" customHeight="1">
      <c r="A110" s="574"/>
      <c r="B110" s="1108" t="s">
        <v>631</v>
      </c>
      <c r="C110" s="1009"/>
      <c r="D110" s="1009"/>
      <c r="E110" s="1009"/>
      <c r="F110" s="1009"/>
      <c r="G110" s="1009"/>
      <c r="H110" s="1009"/>
      <c r="I110" s="1009"/>
      <c r="J110" s="1010"/>
      <c r="K110" s="655"/>
      <c r="L110" s="590"/>
      <c r="M110" s="590"/>
      <c r="N110" s="590"/>
      <c r="O110" s="590"/>
      <c r="P110" s="590"/>
      <c r="Q110" s="590"/>
      <c r="R110" s="590"/>
      <c r="S110" s="590"/>
      <c r="T110" s="590"/>
      <c r="U110" s="590"/>
      <c r="V110" s="590"/>
      <c r="W110" s="590"/>
      <c r="X110" s="590"/>
      <c r="Y110" s="590"/>
      <c r="Z110" s="590"/>
    </row>
    <row r="111" spans="1:26" ht="15.75" customHeight="1">
      <c r="A111" s="574"/>
      <c r="B111" s="657">
        <v>2</v>
      </c>
      <c r="C111" s="1165" t="s">
        <v>632</v>
      </c>
      <c r="D111" s="1009"/>
      <c r="E111" s="1009"/>
      <c r="F111" s="1009"/>
      <c r="G111" s="1009"/>
      <c r="H111" s="1009"/>
      <c r="I111" s="1010"/>
      <c r="J111" s="657" t="s">
        <v>591</v>
      </c>
      <c r="K111" s="487"/>
      <c r="L111" s="590"/>
      <c r="M111" s="590"/>
      <c r="N111" s="590"/>
      <c r="O111" s="590"/>
      <c r="P111" s="590"/>
      <c r="Q111" s="590"/>
      <c r="R111" s="590"/>
      <c r="S111" s="590"/>
      <c r="T111" s="590"/>
      <c r="U111" s="590"/>
      <c r="V111" s="590"/>
      <c r="W111" s="590"/>
      <c r="X111" s="590"/>
      <c r="Y111" s="590"/>
      <c r="Z111" s="590"/>
    </row>
    <row r="112" spans="1:26" ht="14.25" customHeight="1">
      <c r="A112" s="574"/>
      <c r="B112" s="604" t="s">
        <v>589</v>
      </c>
      <c r="C112" s="1108" t="s">
        <v>757</v>
      </c>
      <c r="D112" s="1009"/>
      <c r="E112" s="1009"/>
      <c r="F112" s="1009"/>
      <c r="G112" s="1009"/>
      <c r="H112" s="1009"/>
      <c r="I112" s="1010"/>
      <c r="J112" s="687">
        <f>J72</f>
        <v>189.22</v>
      </c>
      <c r="K112" s="688"/>
      <c r="L112" s="590"/>
      <c r="M112" s="590"/>
      <c r="N112" s="590"/>
      <c r="O112" s="590"/>
      <c r="P112" s="590"/>
      <c r="Q112" s="590"/>
      <c r="R112" s="590"/>
      <c r="S112" s="590"/>
      <c r="T112" s="590"/>
      <c r="U112" s="590"/>
      <c r="V112" s="590"/>
      <c r="W112" s="590"/>
      <c r="X112" s="590"/>
      <c r="Y112" s="590"/>
      <c r="Z112" s="590"/>
    </row>
    <row r="113" spans="1:26" ht="14.25" customHeight="1">
      <c r="A113" s="574"/>
      <c r="B113" s="604" t="s">
        <v>597</v>
      </c>
      <c r="C113" s="1108" t="s">
        <v>598</v>
      </c>
      <c r="D113" s="1009"/>
      <c r="E113" s="1009"/>
      <c r="F113" s="1009"/>
      <c r="G113" s="1009"/>
      <c r="H113" s="1009"/>
      <c r="I113" s="1010"/>
      <c r="J113" s="687">
        <f>J86</f>
        <v>682.86999999999989</v>
      </c>
      <c r="K113" s="688"/>
      <c r="L113" s="590"/>
      <c r="M113" s="590"/>
      <c r="N113" s="590"/>
      <c r="O113" s="590"/>
      <c r="P113" s="590"/>
      <c r="Q113" s="590"/>
      <c r="R113" s="590"/>
      <c r="S113" s="590"/>
      <c r="T113" s="590"/>
      <c r="U113" s="590"/>
      <c r="V113" s="590"/>
      <c r="W113" s="590"/>
      <c r="X113" s="590"/>
      <c r="Y113" s="590"/>
      <c r="Z113" s="590"/>
    </row>
    <row r="114" spans="1:26" ht="14.25" customHeight="1">
      <c r="A114" s="574"/>
      <c r="B114" s="604" t="s">
        <v>612</v>
      </c>
      <c r="C114" s="1108" t="s">
        <v>613</v>
      </c>
      <c r="D114" s="1009"/>
      <c r="E114" s="1009"/>
      <c r="F114" s="1009"/>
      <c r="G114" s="1009"/>
      <c r="H114" s="1009"/>
      <c r="I114" s="1010"/>
      <c r="J114" s="687">
        <f>J106</f>
        <v>469.39000000000004</v>
      </c>
      <c r="K114" s="688"/>
      <c r="L114" s="590"/>
      <c r="M114" s="590"/>
      <c r="N114" s="590"/>
      <c r="O114" s="590"/>
      <c r="P114" s="590"/>
      <c r="Q114" s="590"/>
      <c r="R114" s="590"/>
      <c r="S114" s="590"/>
      <c r="T114" s="590"/>
      <c r="U114" s="590"/>
      <c r="V114" s="590"/>
      <c r="W114" s="590"/>
      <c r="X114" s="590"/>
      <c r="Y114" s="590"/>
      <c r="Z114" s="590"/>
    </row>
    <row r="115" spans="1:26" ht="14.25" customHeight="1">
      <c r="A115" s="574"/>
      <c r="B115" s="1160" t="s">
        <v>594</v>
      </c>
      <c r="C115" s="1009"/>
      <c r="D115" s="1009"/>
      <c r="E115" s="1009"/>
      <c r="F115" s="1009"/>
      <c r="G115" s="1009"/>
      <c r="H115" s="1009"/>
      <c r="I115" s="1010"/>
      <c r="J115" s="689">
        <f>SUM(J112+J113+J114)</f>
        <v>1341.48</v>
      </c>
      <c r="K115" s="688"/>
      <c r="L115" s="590"/>
      <c r="M115" s="590"/>
      <c r="N115" s="590"/>
      <c r="O115" s="590"/>
      <c r="P115" s="590"/>
      <c r="Q115" s="590"/>
      <c r="R115" s="590"/>
      <c r="S115" s="590"/>
      <c r="T115" s="590"/>
      <c r="U115" s="590"/>
      <c r="V115" s="590"/>
      <c r="W115" s="590"/>
      <c r="X115" s="590"/>
      <c r="Y115" s="590"/>
      <c r="Z115" s="590"/>
    </row>
    <row r="116" spans="1:26" ht="8.25" customHeight="1">
      <c r="A116" s="574"/>
      <c r="B116" s="1161"/>
      <c r="C116" s="1009"/>
      <c r="D116" s="1009"/>
      <c r="E116" s="1009"/>
      <c r="F116" s="1009"/>
      <c r="G116" s="1009"/>
      <c r="H116" s="1009"/>
      <c r="I116" s="1009"/>
      <c r="J116" s="1010"/>
      <c r="K116" s="690"/>
      <c r="L116" s="590"/>
      <c r="M116" s="590"/>
      <c r="N116" s="590"/>
      <c r="O116" s="590"/>
      <c r="P116" s="590"/>
      <c r="Q116" s="590"/>
      <c r="R116" s="590"/>
      <c r="S116" s="590"/>
      <c r="T116" s="590"/>
      <c r="U116" s="590"/>
      <c r="V116" s="590"/>
      <c r="W116" s="590"/>
      <c r="X116" s="590"/>
      <c r="Y116" s="590"/>
      <c r="Z116" s="590"/>
    </row>
    <row r="117" spans="1:26" ht="20.25" customHeight="1">
      <c r="A117" s="574"/>
      <c r="B117" s="1109" t="s">
        <v>634</v>
      </c>
      <c r="C117" s="1009"/>
      <c r="D117" s="1009"/>
      <c r="E117" s="1009"/>
      <c r="F117" s="1009"/>
      <c r="G117" s="1009"/>
      <c r="H117" s="1009"/>
      <c r="I117" s="1009"/>
      <c r="J117" s="1010"/>
      <c r="K117" s="691"/>
      <c r="L117" s="590"/>
      <c r="M117" s="590"/>
      <c r="N117" s="590"/>
      <c r="O117" s="590"/>
      <c r="P117" s="590"/>
      <c r="Q117" s="590"/>
      <c r="R117" s="590"/>
      <c r="S117" s="590"/>
      <c r="T117" s="590"/>
      <c r="U117" s="590"/>
      <c r="V117" s="590"/>
      <c r="W117" s="590"/>
      <c r="X117" s="590"/>
      <c r="Y117" s="590"/>
      <c r="Z117" s="590"/>
    </row>
    <row r="118" spans="1:26" ht="15" customHeight="1">
      <c r="A118" s="574"/>
      <c r="B118" s="669">
        <v>3</v>
      </c>
      <c r="C118" s="1162" t="s">
        <v>635</v>
      </c>
      <c r="D118" s="1009"/>
      <c r="E118" s="1009"/>
      <c r="F118" s="1009"/>
      <c r="G118" s="1009"/>
      <c r="H118" s="1009"/>
      <c r="I118" s="1010"/>
      <c r="J118" s="669" t="s">
        <v>591</v>
      </c>
      <c r="K118" s="601"/>
      <c r="L118" s="590"/>
      <c r="M118" s="590"/>
      <c r="N118" s="590"/>
      <c r="O118" s="590"/>
      <c r="P118" s="590"/>
      <c r="Q118" s="590"/>
      <c r="R118" s="590"/>
      <c r="S118" s="590"/>
      <c r="T118" s="590"/>
      <c r="U118" s="590"/>
      <c r="V118" s="590"/>
      <c r="W118" s="590"/>
      <c r="X118" s="590"/>
      <c r="Y118" s="590"/>
      <c r="Z118" s="590"/>
    </row>
    <row r="119" spans="1:26" ht="44.25" customHeight="1">
      <c r="A119" s="574"/>
      <c r="B119" s="671" t="s">
        <v>514</v>
      </c>
      <c r="C119" s="1069" t="s">
        <v>758</v>
      </c>
      <c r="D119" s="1009"/>
      <c r="E119" s="1009"/>
      <c r="F119" s="1009"/>
      <c r="G119" s="1009"/>
      <c r="H119" s="1009"/>
      <c r="I119" s="1010"/>
      <c r="J119" s="660">
        <f>ROUND((($J$58/12)+($J$70/12)+(J58/12/12)+($J$71/12))*(30/30)*0.05,2)</f>
        <v>8.31</v>
      </c>
      <c r="K119" s="653"/>
      <c r="L119" s="590"/>
      <c r="M119" s="590"/>
      <c r="N119" s="590"/>
      <c r="O119" s="590"/>
      <c r="P119" s="590"/>
      <c r="Q119" s="590"/>
      <c r="R119" s="590"/>
      <c r="S119" s="590"/>
      <c r="T119" s="590"/>
      <c r="U119" s="590"/>
      <c r="V119" s="590"/>
      <c r="W119" s="590"/>
      <c r="X119" s="590"/>
      <c r="Y119" s="590"/>
      <c r="Z119" s="590"/>
    </row>
    <row r="120" spans="1:26" ht="14.25" customHeight="1">
      <c r="A120" s="574"/>
      <c r="B120" s="671" t="s">
        <v>516</v>
      </c>
      <c r="C120" s="1109" t="s">
        <v>637</v>
      </c>
      <c r="D120" s="1009"/>
      <c r="E120" s="1009"/>
      <c r="F120" s="1009"/>
      <c r="G120" s="1009"/>
      <c r="H120" s="1009"/>
      <c r="I120" s="1010"/>
      <c r="J120" s="660">
        <f>ROUND($I$85*J119,2)</f>
        <v>0.66</v>
      </c>
      <c r="K120" s="653"/>
      <c r="L120" s="590"/>
      <c r="M120" s="590"/>
      <c r="N120" s="590"/>
      <c r="O120" s="590"/>
      <c r="P120" s="590"/>
      <c r="Q120" s="590"/>
      <c r="R120" s="590"/>
      <c r="S120" s="590"/>
      <c r="T120" s="590"/>
      <c r="U120" s="590"/>
      <c r="V120" s="590"/>
      <c r="W120" s="590"/>
      <c r="X120" s="590"/>
      <c r="Y120" s="590"/>
      <c r="Z120" s="590"/>
    </row>
    <row r="121" spans="1:26" ht="81.75" customHeight="1">
      <c r="A121" s="574"/>
      <c r="B121" s="671" t="s">
        <v>518</v>
      </c>
      <c r="C121" s="1110" t="s">
        <v>759</v>
      </c>
      <c r="D121" s="1009"/>
      <c r="E121" s="1009"/>
      <c r="F121" s="1009"/>
      <c r="G121" s="1009"/>
      <c r="H121" s="1009"/>
      <c r="I121" s="1010"/>
      <c r="J121" s="660">
        <f>ROUND(((7/30)/$I$11)*$J$58*1,2)</f>
        <v>12.96</v>
      </c>
      <c r="K121" s="653"/>
      <c r="L121" s="590"/>
      <c r="M121" s="590"/>
      <c r="N121" s="590"/>
      <c r="O121" s="590"/>
      <c r="P121" s="590"/>
      <c r="Q121" s="590"/>
      <c r="R121" s="590"/>
      <c r="S121" s="590"/>
      <c r="T121" s="590"/>
      <c r="U121" s="590"/>
      <c r="V121" s="590"/>
      <c r="W121" s="590"/>
      <c r="X121" s="590"/>
      <c r="Y121" s="590"/>
      <c r="Z121" s="590"/>
    </row>
    <row r="122" spans="1:26" ht="23.25" customHeight="1">
      <c r="A122" s="574"/>
      <c r="B122" s="671" t="s">
        <v>520</v>
      </c>
      <c r="C122" s="1109" t="s">
        <v>639</v>
      </c>
      <c r="D122" s="1009"/>
      <c r="E122" s="1009"/>
      <c r="F122" s="1009"/>
      <c r="G122" s="1009"/>
      <c r="H122" s="1009"/>
      <c r="I122" s="1010"/>
      <c r="J122" s="660">
        <f>ROUND($I$86*J121,2)</f>
        <v>4.7699999999999996</v>
      </c>
      <c r="K122" s="653"/>
      <c r="L122" s="590"/>
      <c r="M122" s="590"/>
      <c r="N122" s="590"/>
      <c r="O122" s="590"/>
      <c r="P122" s="590"/>
      <c r="Q122" s="590"/>
      <c r="R122" s="590"/>
      <c r="S122" s="590"/>
      <c r="T122" s="590"/>
      <c r="U122" s="590"/>
      <c r="V122" s="590"/>
      <c r="W122" s="590"/>
      <c r="X122" s="590"/>
      <c r="Y122" s="590"/>
      <c r="Z122" s="590"/>
    </row>
    <row r="123" spans="1:26" ht="37.5" customHeight="1">
      <c r="A123" s="574"/>
      <c r="B123" s="671" t="s">
        <v>562</v>
      </c>
      <c r="C123" s="1069" t="s">
        <v>760</v>
      </c>
      <c r="D123" s="1009"/>
      <c r="E123" s="1009"/>
      <c r="F123" s="1009"/>
      <c r="G123" s="1009"/>
      <c r="H123" s="1010"/>
      <c r="I123" s="692">
        <v>0.04</v>
      </c>
      <c r="J123" s="660">
        <f>ROUND(J58*I123,2)</f>
        <v>66.66</v>
      </c>
      <c r="K123" s="653"/>
      <c r="L123" s="590"/>
      <c r="M123" s="590"/>
      <c r="N123" s="590"/>
      <c r="O123" s="590"/>
      <c r="P123" s="590"/>
      <c r="Q123" s="590"/>
      <c r="R123" s="590"/>
      <c r="S123" s="590"/>
      <c r="T123" s="590"/>
      <c r="U123" s="590"/>
      <c r="V123" s="590"/>
      <c r="W123" s="590"/>
      <c r="X123" s="590"/>
      <c r="Y123" s="590"/>
      <c r="Z123" s="590"/>
    </row>
    <row r="124" spans="1:26" ht="15.75" customHeight="1">
      <c r="A124" s="574"/>
      <c r="B124" s="1089" t="s">
        <v>641</v>
      </c>
      <c r="C124" s="1009"/>
      <c r="D124" s="1009"/>
      <c r="E124" s="1009"/>
      <c r="F124" s="1009"/>
      <c r="G124" s="1009"/>
      <c r="H124" s="1009"/>
      <c r="I124" s="1010"/>
      <c r="J124" s="652">
        <f>SUM(J119:J123)</f>
        <v>93.36</v>
      </c>
      <c r="K124" s="653"/>
      <c r="L124" s="590"/>
      <c r="M124" s="590"/>
      <c r="N124" s="590"/>
      <c r="O124" s="590"/>
      <c r="P124" s="590"/>
      <c r="Q124" s="590"/>
      <c r="R124" s="590"/>
      <c r="S124" s="590"/>
      <c r="T124" s="590"/>
      <c r="U124" s="590"/>
      <c r="V124" s="590"/>
      <c r="W124" s="590"/>
      <c r="X124" s="590"/>
      <c r="Y124" s="590"/>
      <c r="Z124" s="590"/>
    </row>
    <row r="125" spans="1:26" ht="9" customHeight="1">
      <c r="A125" s="574"/>
      <c r="B125" s="1085"/>
      <c r="C125" s="1009"/>
      <c r="D125" s="1009"/>
      <c r="E125" s="1009"/>
      <c r="F125" s="1009"/>
      <c r="G125" s="1009"/>
      <c r="H125" s="1009"/>
      <c r="I125" s="1009"/>
      <c r="J125" s="1010"/>
      <c r="K125" s="693"/>
      <c r="L125" s="590"/>
      <c r="M125" s="590"/>
      <c r="N125" s="590"/>
      <c r="O125" s="590"/>
      <c r="P125" s="590"/>
      <c r="Q125" s="590"/>
      <c r="R125" s="590"/>
      <c r="S125" s="590"/>
      <c r="T125" s="590"/>
      <c r="U125" s="590"/>
      <c r="V125" s="590"/>
      <c r="W125" s="590"/>
      <c r="X125" s="590"/>
      <c r="Y125" s="590"/>
      <c r="Z125" s="590"/>
    </row>
    <row r="126" spans="1:26" ht="24" customHeight="1">
      <c r="A126" s="574"/>
      <c r="B126" s="1069" t="s">
        <v>642</v>
      </c>
      <c r="C126" s="1009"/>
      <c r="D126" s="1009"/>
      <c r="E126" s="1009"/>
      <c r="F126" s="1009"/>
      <c r="G126" s="1009"/>
      <c r="H126" s="1009"/>
      <c r="I126" s="1009"/>
      <c r="J126" s="1010"/>
      <c r="K126" s="594"/>
      <c r="L126" s="590"/>
      <c r="M126" s="590"/>
      <c r="N126" s="590"/>
      <c r="O126" s="590"/>
      <c r="P126" s="590"/>
      <c r="Q126" s="590"/>
      <c r="R126" s="590"/>
      <c r="S126" s="590"/>
      <c r="T126" s="590"/>
      <c r="U126" s="590"/>
      <c r="V126" s="590"/>
      <c r="W126" s="590"/>
      <c r="X126" s="590"/>
      <c r="Y126" s="590"/>
      <c r="Z126" s="590"/>
    </row>
    <row r="127" spans="1:26" ht="26.25" customHeight="1">
      <c r="A127" s="574"/>
      <c r="B127" s="1111" t="s">
        <v>643</v>
      </c>
      <c r="C127" s="1009"/>
      <c r="D127" s="1009"/>
      <c r="E127" s="1009"/>
      <c r="F127" s="1009"/>
      <c r="G127" s="1009"/>
      <c r="H127" s="1009"/>
      <c r="I127" s="1009"/>
      <c r="J127" s="1010"/>
      <c r="K127" s="619"/>
      <c r="L127" s="590"/>
      <c r="M127" s="590"/>
      <c r="N127" s="590"/>
      <c r="O127" s="590"/>
      <c r="P127" s="590"/>
      <c r="Q127" s="590"/>
      <c r="R127" s="590"/>
      <c r="S127" s="590"/>
      <c r="T127" s="590"/>
      <c r="U127" s="590"/>
      <c r="V127" s="590"/>
      <c r="W127" s="590"/>
      <c r="X127" s="590"/>
      <c r="Y127" s="590"/>
      <c r="Z127" s="590"/>
    </row>
    <row r="128" spans="1:26" ht="55.5" customHeight="1">
      <c r="A128" s="574"/>
      <c r="B128" s="1108" t="s">
        <v>761</v>
      </c>
      <c r="C128" s="1009"/>
      <c r="D128" s="1009"/>
      <c r="E128" s="1009"/>
      <c r="F128" s="1009"/>
      <c r="G128" s="1009"/>
      <c r="H128" s="1009"/>
      <c r="I128" s="1009"/>
      <c r="J128" s="1010"/>
      <c r="K128" s="655"/>
      <c r="L128" s="590"/>
      <c r="M128" s="590"/>
      <c r="N128" s="590"/>
      <c r="O128" s="590"/>
      <c r="P128" s="590"/>
      <c r="Q128" s="590"/>
      <c r="R128" s="590"/>
      <c r="S128" s="590"/>
      <c r="T128" s="590"/>
      <c r="U128" s="590"/>
      <c r="V128" s="590"/>
      <c r="W128" s="590"/>
      <c r="X128" s="590"/>
      <c r="Y128" s="590"/>
      <c r="Z128" s="590"/>
    </row>
    <row r="129" spans="1:26" ht="36.75" customHeight="1">
      <c r="A129" s="574"/>
      <c r="B129" s="694" t="s">
        <v>645</v>
      </c>
      <c r="C129" s="695">
        <f>J58</f>
        <v>1666.4090909090908</v>
      </c>
      <c r="D129" s="696" t="s">
        <v>646</v>
      </c>
      <c r="E129" s="694" t="s">
        <v>762</v>
      </c>
      <c r="F129" s="695">
        <f>J115-J92-J97</f>
        <v>890.59000000000015</v>
      </c>
      <c r="G129" s="696" t="s">
        <v>646</v>
      </c>
      <c r="H129" s="694" t="s">
        <v>648</v>
      </c>
      <c r="I129" s="695">
        <f>J124</f>
        <v>93.36</v>
      </c>
      <c r="J129" s="686">
        <f>C129+F129+I129</f>
        <v>2650.3590909090913</v>
      </c>
      <c r="K129" s="644"/>
      <c r="L129" s="590"/>
      <c r="M129" s="590"/>
      <c r="N129" s="590"/>
      <c r="O129" s="590"/>
      <c r="P129" s="590"/>
      <c r="Q129" s="590"/>
      <c r="R129" s="590"/>
      <c r="S129" s="590"/>
      <c r="T129" s="590"/>
      <c r="U129" s="590"/>
      <c r="V129" s="590"/>
      <c r="W129" s="590"/>
      <c r="X129" s="590"/>
      <c r="Y129" s="590"/>
      <c r="Z129" s="590"/>
    </row>
    <row r="130" spans="1:26" ht="7.5" customHeight="1">
      <c r="A130" s="574"/>
      <c r="B130" s="1163"/>
      <c r="C130" s="1009"/>
      <c r="D130" s="1009"/>
      <c r="E130" s="1009"/>
      <c r="F130" s="1009"/>
      <c r="G130" s="1009"/>
      <c r="H130" s="1009"/>
      <c r="I130" s="1009"/>
      <c r="J130" s="1010"/>
      <c r="K130" s="697"/>
      <c r="L130" s="590"/>
      <c r="M130" s="590"/>
      <c r="N130" s="590"/>
      <c r="O130" s="590"/>
      <c r="P130" s="590"/>
      <c r="Q130" s="590"/>
      <c r="R130" s="590"/>
      <c r="S130" s="590"/>
      <c r="T130" s="590"/>
      <c r="U130" s="590"/>
      <c r="V130" s="590"/>
      <c r="W130" s="590"/>
      <c r="X130" s="590"/>
      <c r="Y130" s="590"/>
      <c r="Z130" s="590"/>
    </row>
    <row r="131" spans="1:26" ht="25.5" customHeight="1">
      <c r="A131" s="574"/>
      <c r="B131" s="1069" t="s">
        <v>649</v>
      </c>
      <c r="C131" s="1009"/>
      <c r="D131" s="1009"/>
      <c r="E131" s="1009"/>
      <c r="F131" s="1009"/>
      <c r="G131" s="1009"/>
      <c r="H131" s="1009"/>
      <c r="I131" s="1009"/>
      <c r="J131" s="1010"/>
      <c r="K131" s="698"/>
      <c r="L131" s="590"/>
      <c r="M131" s="590"/>
      <c r="N131" s="590"/>
      <c r="O131" s="590"/>
      <c r="P131" s="590"/>
      <c r="Q131" s="590"/>
      <c r="R131" s="590"/>
      <c r="S131" s="590"/>
      <c r="T131" s="590"/>
      <c r="U131" s="590"/>
      <c r="V131" s="590"/>
      <c r="W131" s="590"/>
      <c r="X131" s="590"/>
      <c r="Y131" s="590"/>
      <c r="Z131" s="590"/>
    </row>
    <row r="132" spans="1:26" ht="24" customHeight="1">
      <c r="A132" s="574"/>
      <c r="B132" s="699" t="s">
        <v>650</v>
      </c>
      <c r="C132" s="1162" t="s">
        <v>651</v>
      </c>
      <c r="D132" s="1009"/>
      <c r="E132" s="1009"/>
      <c r="F132" s="1009"/>
      <c r="G132" s="1009"/>
      <c r="H132" s="1009"/>
      <c r="I132" s="1010"/>
      <c r="J132" s="699" t="s">
        <v>591</v>
      </c>
      <c r="K132" s="700"/>
      <c r="L132" s="590"/>
      <c r="M132" s="590"/>
      <c r="N132" s="590"/>
      <c r="O132" s="590"/>
      <c r="P132" s="590"/>
      <c r="Q132" s="590"/>
      <c r="R132" s="590"/>
      <c r="S132" s="590"/>
      <c r="T132" s="590"/>
      <c r="U132" s="590"/>
      <c r="V132" s="590"/>
      <c r="W132" s="590"/>
      <c r="X132" s="590"/>
      <c r="Y132" s="590"/>
      <c r="Z132" s="590"/>
    </row>
    <row r="133" spans="1:26" ht="51" customHeight="1">
      <c r="A133" s="574"/>
      <c r="B133" s="671" t="s">
        <v>514</v>
      </c>
      <c r="C133" s="1108" t="s">
        <v>763</v>
      </c>
      <c r="D133" s="1009"/>
      <c r="E133" s="1009"/>
      <c r="F133" s="1009"/>
      <c r="G133" s="1009"/>
      <c r="H133" s="701">
        <v>9.0749999999999997E-2</v>
      </c>
      <c r="I133" s="702">
        <f>I86</f>
        <v>0.36800000000000005</v>
      </c>
      <c r="J133" s="660">
        <f>ROUND(H133*J58,2)*(1+I133)</f>
        <v>206.88264000000001</v>
      </c>
      <c r="K133" s="653"/>
      <c r="L133" s="590"/>
      <c r="M133" s="590"/>
      <c r="N133" s="590"/>
      <c r="O133" s="590"/>
      <c r="P133" s="590"/>
      <c r="Q133" s="590"/>
      <c r="R133" s="590"/>
      <c r="S133" s="590"/>
      <c r="T133" s="590"/>
      <c r="U133" s="590"/>
      <c r="V133" s="590"/>
      <c r="W133" s="590"/>
      <c r="X133" s="590"/>
      <c r="Y133" s="590"/>
      <c r="Z133" s="590"/>
    </row>
    <row r="134" spans="1:26" ht="21" customHeight="1">
      <c r="A134" s="574"/>
      <c r="B134" s="671" t="s">
        <v>516</v>
      </c>
      <c r="C134" s="1069" t="s">
        <v>764</v>
      </c>
      <c r="D134" s="1009"/>
      <c r="E134" s="1009"/>
      <c r="F134" s="1009"/>
      <c r="G134" s="1009"/>
      <c r="H134" s="1009"/>
      <c r="I134" s="1010"/>
      <c r="J134" s="660">
        <f>ROUND((1/30)/12*(J129),2)</f>
        <v>7.36</v>
      </c>
      <c r="K134" s="653"/>
      <c r="L134" s="590"/>
      <c r="M134" s="590"/>
      <c r="N134" s="590"/>
      <c r="O134" s="590"/>
      <c r="P134" s="590"/>
      <c r="Q134" s="590"/>
      <c r="R134" s="590"/>
      <c r="S134" s="590"/>
      <c r="T134" s="590"/>
      <c r="U134" s="590"/>
      <c r="V134" s="590"/>
      <c r="W134" s="590"/>
      <c r="X134" s="590"/>
      <c r="Y134" s="590"/>
      <c r="Z134" s="590"/>
    </row>
    <row r="135" spans="1:26" ht="30.75" customHeight="1">
      <c r="A135" s="574"/>
      <c r="B135" s="671" t="s">
        <v>518</v>
      </c>
      <c r="C135" s="1069" t="s">
        <v>765</v>
      </c>
      <c r="D135" s="1009"/>
      <c r="E135" s="1009"/>
      <c r="F135" s="1009"/>
      <c r="G135" s="1009"/>
      <c r="H135" s="1009"/>
      <c r="I135" s="1010"/>
      <c r="J135" s="660">
        <f>ROUND((5/30)/12*0.015*(J129),2)</f>
        <v>0.55000000000000004</v>
      </c>
      <c r="K135" s="653"/>
      <c r="L135" s="590"/>
      <c r="M135" s="590"/>
      <c r="N135" s="590"/>
      <c r="O135" s="590"/>
      <c r="P135" s="590"/>
      <c r="Q135" s="590"/>
      <c r="R135" s="590"/>
      <c r="S135" s="590"/>
      <c r="T135" s="590"/>
      <c r="U135" s="590"/>
      <c r="V135" s="590"/>
      <c r="W135" s="590"/>
      <c r="X135" s="590"/>
      <c r="Y135" s="590"/>
      <c r="Z135" s="590"/>
    </row>
    <row r="136" spans="1:26" ht="24" customHeight="1">
      <c r="A136" s="574"/>
      <c r="B136" s="671" t="s">
        <v>520</v>
      </c>
      <c r="C136" s="1069" t="s">
        <v>766</v>
      </c>
      <c r="D136" s="1009"/>
      <c r="E136" s="1009"/>
      <c r="F136" s="1009"/>
      <c r="G136" s="1009"/>
      <c r="H136" s="1009"/>
      <c r="I136" s="1010"/>
      <c r="J136" s="660">
        <f>ROUND(((15/30)/12)*0.0078*(J129),2)</f>
        <v>0.86</v>
      </c>
      <c r="K136" s="653"/>
      <c r="L136" s="590"/>
      <c r="M136" s="590"/>
      <c r="N136" s="590"/>
      <c r="O136" s="590"/>
      <c r="P136" s="590"/>
      <c r="Q136" s="590"/>
      <c r="R136" s="590"/>
      <c r="S136" s="590"/>
      <c r="T136" s="590"/>
      <c r="U136" s="590"/>
      <c r="V136" s="590"/>
      <c r="W136" s="590"/>
      <c r="X136" s="590"/>
      <c r="Y136" s="590"/>
      <c r="Z136" s="590"/>
    </row>
    <row r="137" spans="1:26" ht="35.25" customHeight="1">
      <c r="A137" s="574"/>
      <c r="B137" s="703" t="s">
        <v>562</v>
      </c>
      <c r="C137" s="1164" t="s">
        <v>767</v>
      </c>
      <c r="D137" s="1009"/>
      <c r="E137" s="1009"/>
      <c r="F137" s="1009"/>
      <c r="G137" s="1009"/>
      <c r="H137" s="1009"/>
      <c r="I137" s="1010"/>
      <c r="J137" s="704">
        <f>ROUND(((((C129+C129/3)+(I86)*(C129+C129/3))*(4/12))/12)*0.02,2) + ((J106 -J92-J97+ J124)*4/12)*0.02</f>
        <v>2.4357333333333333</v>
      </c>
      <c r="K137" s="653"/>
      <c r="L137" s="590"/>
      <c r="M137" s="590"/>
      <c r="N137" s="590"/>
      <c r="O137" s="590"/>
      <c r="P137" s="590"/>
      <c r="Q137" s="590"/>
      <c r="R137" s="590"/>
      <c r="S137" s="590"/>
      <c r="T137" s="590"/>
      <c r="U137" s="590"/>
      <c r="V137" s="590"/>
      <c r="W137" s="590"/>
      <c r="X137" s="590"/>
      <c r="Y137" s="590"/>
      <c r="Z137" s="590"/>
    </row>
    <row r="138" spans="1:26" ht="63.75" customHeight="1">
      <c r="A138" s="574"/>
      <c r="B138" s="671" t="s">
        <v>566</v>
      </c>
      <c r="C138" s="1069" t="s">
        <v>768</v>
      </c>
      <c r="D138" s="1009"/>
      <c r="E138" s="1009"/>
      <c r="F138" s="1009"/>
      <c r="G138" s="1009"/>
      <c r="H138" s="1009"/>
      <c r="I138" s="1010"/>
      <c r="J138" s="660">
        <f>ROUND(((3/30)/12)*(J129),2)</f>
        <v>22.09</v>
      </c>
      <c r="K138" s="653"/>
      <c r="L138" s="590"/>
      <c r="M138" s="590"/>
      <c r="N138" s="590"/>
      <c r="O138" s="590"/>
      <c r="P138" s="590"/>
      <c r="Q138" s="590"/>
      <c r="R138" s="590"/>
      <c r="S138" s="590"/>
      <c r="T138" s="590"/>
      <c r="U138" s="590"/>
      <c r="V138" s="590"/>
      <c r="W138" s="590"/>
      <c r="X138" s="590"/>
      <c r="Y138" s="590"/>
      <c r="Z138" s="590"/>
    </row>
    <row r="139" spans="1:26" ht="15.75" customHeight="1">
      <c r="A139" s="574"/>
      <c r="B139" s="1089" t="s">
        <v>594</v>
      </c>
      <c r="C139" s="1009"/>
      <c r="D139" s="1009"/>
      <c r="E139" s="1009"/>
      <c r="F139" s="1009"/>
      <c r="G139" s="1009"/>
      <c r="H139" s="1009"/>
      <c r="I139" s="1010"/>
      <c r="J139" s="652">
        <f>SUM(J133:J138)</f>
        <v>240.17837333333338</v>
      </c>
      <c r="K139" s="653"/>
      <c r="L139" s="590"/>
      <c r="M139" s="590"/>
      <c r="N139" s="590"/>
      <c r="O139" s="590"/>
      <c r="P139" s="590"/>
      <c r="Q139" s="590"/>
      <c r="R139" s="590"/>
      <c r="S139" s="590"/>
      <c r="T139" s="590"/>
      <c r="U139" s="590"/>
      <c r="V139" s="590"/>
      <c r="W139" s="590"/>
      <c r="X139" s="590"/>
      <c r="Y139" s="590"/>
      <c r="Z139" s="590"/>
    </row>
    <row r="140" spans="1:26" ht="9" customHeight="1">
      <c r="A140" s="574"/>
      <c r="B140" s="1085"/>
      <c r="C140" s="1009"/>
      <c r="D140" s="1009"/>
      <c r="E140" s="1009"/>
      <c r="F140" s="1009"/>
      <c r="G140" s="1009"/>
      <c r="H140" s="1009"/>
      <c r="I140" s="1009"/>
      <c r="J140" s="1010"/>
      <c r="K140" s="693"/>
      <c r="L140" s="590"/>
      <c r="M140" s="590"/>
      <c r="N140" s="590"/>
      <c r="O140" s="590"/>
      <c r="P140" s="590"/>
      <c r="Q140" s="590"/>
      <c r="R140" s="590"/>
      <c r="S140" s="590"/>
      <c r="T140" s="590"/>
      <c r="U140" s="590"/>
      <c r="V140" s="590"/>
      <c r="W140" s="590"/>
      <c r="X140" s="590"/>
      <c r="Y140" s="590"/>
      <c r="Z140" s="590"/>
    </row>
    <row r="141" spans="1:26" ht="15.75" customHeight="1">
      <c r="A141" s="574"/>
      <c r="B141" s="1096" t="s">
        <v>658</v>
      </c>
      <c r="C141" s="1009"/>
      <c r="D141" s="1009"/>
      <c r="E141" s="1009"/>
      <c r="F141" s="1009"/>
      <c r="G141" s="1009"/>
      <c r="H141" s="1009"/>
      <c r="I141" s="1009"/>
      <c r="J141" s="1010"/>
      <c r="K141" s="646"/>
      <c r="L141" s="590"/>
      <c r="M141" s="590"/>
      <c r="N141" s="590"/>
      <c r="O141" s="590"/>
      <c r="P141" s="590"/>
      <c r="Q141" s="590"/>
      <c r="R141" s="590"/>
      <c r="S141" s="590"/>
      <c r="T141" s="590"/>
      <c r="U141" s="590"/>
      <c r="V141" s="590"/>
      <c r="W141" s="590"/>
      <c r="X141" s="590"/>
      <c r="Y141" s="590"/>
      <c r="Z141" s="590"/>
    </row>
    <row r="142" spans="1:26" ht="15.75" customHeight="1">
      <c r="A142" s="574"/>
      <c r="B142" s="705" t="s">
        <v>659</v>
      </c>
      <c r="C142" s="1097" t="s">
        <v>660</v>
      </c>
      <c r="D142" s="1009"/>
      <c r="E142" s="1009"/>
      <c r="F142" s="1009"/>
      <c r="G142" s="1009"/>
      <c r="H142" s="1009"/>
      <c r="I142" s="1010"/>
      <c r="J142" s="706" t="s">
        <v>591</v>
      </c>
      <c r="K142" s="707"/>
      <c r="L142" s="590"/>
      <c r="M142" s="590"/>
      <c r="N142" s="590"/>
      <c r="O142" s="590"/>
      <c r="P142" s="590"/>
      <c r="Q142" s="590"/>
      <c r="R142" s="590"/>
      <c r="S142" s="590"/>
      <c r="T142" s="590"/>
      <c r="U142" s="590"/>
      <c r="V142" s="590"/>
      <c r="W142" s="590"/>
      <c r="X142" s="590"/>
      <c r="Y142" s="590"/>
      <c r="Z142" s="590"/>
    </row>
    <row r="143" spans="1:26" ht="15.75" customHeight="1">
      <c r="A143" s="574"/>
      <c r="B143" s="647" t="s">
        <v>514</v>
      </c>
      <c r="C143" s="1096" t="s">
        <v>661</v>
      </c>
      <c r="D143" s="1009"/>
      <c r="E143" s="1009"/>
      <c r="F143" s="1009"/>
      <c r="G143" s="1009"/>
      <c r="H143" s="1009"/>
      <c r="I143" s="1010"/>
      <c r="J143" s="708">
        <v>0</v>
      </c>
      <c r="K143" s="709"/>
      <c r="L143" s="590"/>
      <c r="M143" s="590"/>
      <c r="N143" s="590"/>
      <c r="O143" s="590"/>
      <c r="P143" s="590"/>
      <c r="Q143" s="590"/>
      <c r="R143" s="590"/>
      <c r="S143" s="590"/>
      <c r="T143" s="590"/>
      <c r="U143" s="590"/>
      <c r="V143" s="590"/>
      <c r="W143" s="590"/>
      <c r="X143" s="590"/>
      <c r="Y143" s="590"/>
      <c r="Z143" s="590"/>
    </row>
    <row r="144" spans="1:26" ht="15.75" customHeight="1">
      <c r="A144" s="574"/>
      <c r="B144" s="1094" t="s">
        <v>594</v>
      </c>
      <c r="C144" s="1009"/>
      <c r="D144" s="1009"/>
      <c r="E144" s="1009"/>
      <c r="F144" s="1009"/>
      <c r="G144" s="1009"/>
      <c r="H144" s="1009"/>
      <c r="I144" s="1010"/>
      <c r="J144" s="710">
        <v>0</v>
      </c>
      <c r="K144" s="709"/>
      <c r="L144" s="590"/>
      <c r="M144" s="590"/>
      <c r="N144" s="590"/>
      <c r="O144" s="590"/>
      <c r="P144" s="590"/>
      <c r="Q144" s="590"/>
      <c r="R144" s="590"/>
      <c r="S144" s="590"/>
      <c r="T144" s="590"/>
      <c r="U144" s="590"/>
      <c r="V144" s="590"/>
      <c r="W144" s="590"/>
      <c r="X144" s="590"/>
      <c r="Y144" s="590"/>
      <c r="Z144" s="590"/>
    </row>
    <row r="145" spans="1:26" ht="7.5" customHeight="1">
      <c r="A145" s="574"/>
      <c r="B145" s="1095"/>
      <c r="C145" s="1009"/>
      <c r="D145" s="1009"/>
      <c r="E145" s="1009"/>
      <c r="F145" s="1009"/>
      <c r="G145" s="1009"/>
      <c r="H145" s="1009"/>
      <c r="I145" s="1009"/>
      <c r="J145" s="1010"/>
      <c r="K145" s="654"/>
      <c r="L145" s="590"/>
      <c r="M145" s="590"/>
      <c r="N145" s="590"/>
      <c r="O145" s="590"/>
      <c r="P145" s="590"/>
      <c r="Q145" s="590"/>
      <c r="R145" s="590"/>
      <c r="S145" s="590"/>
      <c r="T145" s="590"/>
      <c r="U145" s="590"/>
      <c r="V145" s="590"/>
      <c r="W145" s="590"/>
      <c r="X145" s="590"/>
      <c r="Y145" s="590"/>
      <c r="Z145" s="590"/>
    </row>
    <row r="146" spans="1:26" ht="23.25" customHeight="1">
      <c r="A146" s="574"/>
      <c r="B146" s="1096" t="s">
        <v>662</v>
      </c>
      <c r="C146" s="1009"/>
      <c r="D146" s="1009"/>
      <c r="E146" s="1009"/>
      <c r="F146" s="1009"/>
      <c r="G146" s="1009"/>
      <c r="H146" s="1009"/>
      <c r="I146" s="1009"/>
      <c r="J146" s="1010"/>
      <c r="K146" s="646"/>
      <c r="L146" s="590"/>
      <c r="M146" s="590"/>
      <c r="N146" s="590"/>
      <c r="O146" s="590"/>
      <c r="P146" s="590"/>
      <c r="Q146" s="590"/>
      <c r="R146" s="590"/>
      <c r="S146" s="590"/>
      <c r="T146" s="590"/>
      <c r="U146" s="590"/>
      <c r="V146" s="590"/>
      <c r="W146" s="590"/>
      <c r="X146" s="590"/>
      <c r="Y146" s="590"/>
      <c r="Z146" s="590"/>
    </row>
    <row r="147" spans="1:26" ht="23.25" customHeight="1">
      <c r="A147" s="574"/>
      <c r="B147" s="657">
        <v>4</v>
      </c>
      <c r="C147" s="1097" t="s">
        <v>663</v>
      </c>
      <c r="D147" s="1009"/>
      <c r="E147" s="1009"/>
      <c r="F147" s="1009"/>
      <c r="G147" s="1009"/>
      <c r="H147" s="1009"/>
      <c r="I147" s="1010"/>
      <c r="J147" s="706" t="s">
        <v>591</v>
      </c>
      <c r="K147" s="707"/>
      <c r="L147" s="590"/>
      <c r="M147" s="590"/>
      <c r="N147" s="590"/>
      <c r="O147" s="590"/>
      <c r="P147" s="590"/>
      <c r="Q147" s="590"/>
      <c r="R147" s="590"/>
      <c r="S147" s="590"/>
      <c r="T147" s="590"/>
      <c r="U147" s="590"/>
      <c r="V147" s="590"/>
      <c r="W147" s="590"/>
      <c r="X147" s="590"/>
      <c r="Y147" s="590"/>
      <c r="Z147" s="590"/>
    </row>
    <row r="148" spans="1:26" ht="18.75" customHeight="1">
      <c r="A148" s="574"/>
      <c r="B148" s="604" t="s">
        <v>650</v>
      </c>
      <c r="C148" s="1096" t="s">
        <v>651</v>
      </c>
      <c r="D148" s="1009"/>
      <c r="E148" s="1009"/>
      <c r="F148" s="1009"/>
      <c r="G148" s="1009"/>
      <c r="H148" s="1009"/>
      <c r="I148" s="1010"/>
      <c r="J148" s="708">
        <f>J139</f>
        <v>240.17837333333338</v>
      </c>
      <c r="K148" s="709"/>
      <c r="L148" s="590"/>
      <c r="M148" s="590"/>
      <c r="N148" s="590"/>
      <c r="O148" s="590"/>
      <c r="P148" s="590"/>
      <c r="Q148" s="590"/>
      <c r="R148" s="590"/>
      <c r="S148" s="590"/>
      <c r="T148" s="590"/>
      <c r="U148" s="590"/>
      <c r="V148" s="590"/>
      <c r="W148" s="590"/>
      <c r="X148" s="590"/>
      <c r="Y148" s="590"/>
      <c r="Z148" s="590"/>
    </row>
    <row r="149" spans="1:26" ht="21.75" customHeight="1">
      <c r="A149" s="574"/>
      <c r="B149" s="604" t="s">
        <v>664</v>
      </c>
      <c r="C149" s="1096" t="s">
        <v>660</v>
      </c>
      <c r="D149" s="1009"/>
      <c r="E149" s="1009"/>
      <c r="F149" s="1009"/>
      <c r="G149" s="1009"/>
      <c r="H149" s="1009"/>
      <c r="I149" s="1010"/>
      <c r="J149" s="708">
        <f>J144</f>
        <v>0</v>
      </c>
      <c r="K149" s="709"/>
      <c r="L149" s="590"/>
      <c r="M149" s="590"/>
      <c r="N149" s="590"/>
      <c r="O149" s="590"/>
      <c r="P149" s="590"/>
      <c r="Q149" s="590"/>
      <c r="R149" s="590"/>
      <c r="S149" s="590"/>
      <c r="T149" s="590"/>
      <c r="U149" s="590"/>
      <c r="V149" s="590"/>
      <c r="W149" s="590"/>
      <c r="X149" s="590"/>
      <c r="Y149" s="590"/>
      <c r="Z149" s="590"/>
    </row>
    <row r="150" spans="1:26" ht="23.25" customHeight="1">
      <c r="A150" s="574"/>
      <c r="B150" s="1160" t="s">
        <v>594</v>
      </c>
      <c r="C150" s="1009"/>
      <c r="D150" s="1009"/>
      <c r="E150" s="1009"/>
      <c r="F150" s="1009"/>
      <c r="G150" s="1009"/>
      <c r="H150" s="1009"/>
      <c r="I150" s="1010"/>
      <c r="J150" s="710">
        <f>SUM(J148+J149)</f>
        <v>240.17837333333338</v>
      </c>
      <c r="K150" s="709"/>
      <c r="L150" s="590"/>
      <c r="M150" s="590"/>
      <c r="N150" s="590"/>
      <c r="O150" s="590"/>
      <c r="P150" s="590"/>
      <c r="Q150" s="590"/>
      <c r="R150" s="590"/>
      <c r="S150" s="590"/>
      <c r="T150" s="590"/>
      <c r="U150" s="590"/>
      <c r="V150" s="590"/>
      <c r="W150" s="590"/>
      <c r="X150" s="590"/>
      <c r="Y150" s="590"/>
      <c r="Z150" s="590"/>
    </row>
    <row r="151" spans="1:26" ht="7.5" customHeight="1">
      <c r="A151" s="574"/>
      <c r="B151" s="1095"/>
      <c r="C151" s="1009"/>
      <c r="D151" s="1009"/>
      <c r="E151" s="1009"/>
      <c r="F151" s="1009"/>
      <c r="G151" s="1009"/>
      <c r="H151" s="1009"/>
      <c r="I151" s="1009"/>
      <c r="J151" s="1010"/>
      <c r="K151" s="654"/>
      <c r="L151" s="590"/>
      <c r="M151" s="590"/>
      <c r="N151" s="590"/>
      <c r="O151" s="590"/>
      <c r="P151" s="590"/>
      <c r="Q151" s="590"/>
      <c r="R151" s="590"/>
      <c r="S151" s="590"/>
      <c r="T151" s="590"/>
      <c r="U151" s="590"/>
      <c r="V151" s="590"/>
      <c r="W151" s="590"/>
      <c r="X151" s="590"/>
      <c r="Y151" s="590"/>
      <c r="Z151" s="590"/>
    </row>
    <row r="152" spans="1:26" ht="27.75" customHeight="1">
      <c r="A152" s="574"/>
      <c r="B152" s="1069" t="s">
        <v>665</v>
      </c>
      <c r="C152" s="1009"/>
      <c r="D152" s="1009"/>
      <c r="E152" s="1009"/>
      <c r="F152" s="1009"/>
      <c r="G152" s="1009"/>
      <c r="H152" s="1009"/>
      <c r="I152" s="1009"/>
      <c r="J152" s="1010"/>
      <c r="K152" s="594"/>
      <c r="L152" s="590"/>
      <c r="M152" s="590"/>
      <c r="N152" s="590"/>
      <c r="O152" s="590"/>
      <c r="P152" s="590"/>
      <c r="Q152" s="590"/>
      <c r="R152" s="590"/>
      <c r="S152" s="590"/>
      <c r="T152" s="590"/>
      <c r="U152" s="590"/>
      <c r="V152" s="590"/>
      <c r="W152" s="590"/>
      <c r="X152" s="590"/>
      <c r="Y152" s="590"/>
      <c r="Z152" s="590"/>
    </row>
    <row r="153" spans="1:26" ht="27" customHeight="1">
      <c r="A153" s="574"/>
      <c r="B153" s="669">
        <v>3</v>
      </c>
      <c r="C153" s="1083" t="s">
        <v>666</v>
      </c>
      <c r="D153" s="1009"/>
      <c r="E153" s="1009"/>
      <c r="F153" s="1009"/>
      <c r="G153" s="1009"/>
      <c r="H153" s="1009"/>
      <c r="I153" s="1010"/>
      <c r="J153" s="669" t="s">
        <v>591</v>
      </c>
      <c r="K153" s="601"/>
      <c r="L153" s="590"/>
      <c r="M153" s="590"/>
      <c r="N153" s="590"/>
      <c r="O153" s="590"/>
      <c r="P153" s="590"/>
      <c r="Q153" s="590"/>
      <c r="R153" s="590"/>
      <c r="S153" s="590"/>
      <c r="T153" s="590"/>
      <c r="U153" s="590"/>
      <c r="V153" s="590"/>
      <c r="W153" s="590"/>
      <c r="X153" s="590"/>
      <c r="Y153" s="590"/>
      <c r="Z153" s="590"/>
    </row>
    <row r="154" spans="1:26" ht="18.75" customHeight="1">
      <c r="A154" s="574"/>
      <c r="B154" s="671" t="s">
        <v>514</v>
      </c>
      <c r="C154" s="1069" t="s">
        <v>769</v>
      </c>
      <c r="D154" s="1009"/>
      <c r="E154" s="1009"/>
      <c r="F154" s="1009"/>
      <c r="G154" s="1009"/>
      <c r="H154" s="1009"/>
      <c r="I154" s="1010"/>
      <c r="J154" s="711">
        <f>'Uniformes - EPIs_TODOS'!E85</f>
        <v>116.70902777777776</v>
      </c>
      <c r="K154" s="653"/>
      <c r="L154" s="590"/>
      <c r="M154" s="590"/>
      <c r="N154" s="590"/>
      <c r="O154" s="590"/>
      <c r="P154" s="590"/>
      <c r="Q154" s="590"/>
      <c r="R154" s="590"/>
      <c r="S154" s="590"/>
      <c r="T154" s="590"/>
      <c r="U154" s="590"/>
      <c r="V154" s="590"/>
      <c r="W154" s="590"/>
      <c r="X154" s="590"/>
      <c r="Y154" s="590"/>
      <c r="Z154" s="590"/>
    </row>
    <row r="155" spans="1:26" ht="18.75" customHeight="1">
      <c r="A155" s="574"/>
      <c r="B155" s="671" t="s">
        <v>516</v>
      </c>
      <c r="C155" s="1069" t="s">
        <v>770</v>
      </c>
      <c r="D155" s="1009"/>
      <c r="E155" s="1009"/>
      <c r="F155" s="1009"/>
      <c r="G155" s="1009"/>
      <c r="H155" s="1009"/>
      <c r="I155" s="1010"/>
      <c r="J155" s="686">
        <f>'Uniformes - EPIs_TODOS'!E69</f>
        <v>174.59983333333329</v>
      </c>
      <c r="K155" s="644"/>
      <c r="L155" s="590"/>
      <c r="M155" s="590"/>
      <c r="N155" s="590"/>
      <c r="O155" s="590"/>
      <c r="P155" s="590"/>
      <c r="Q155" s="590"/>
      <c r="R155" s="590"/>
      <c r="S155" s="590"/>
      <c r="T155" s="590"/>
      <c r="U155" s="590"/>
      <c r="V155" s="590"/>
      <c r="W155" s="590"/>
      <c r="X155" s="590"/>
      <c r="Y155" s="590"/>
      <c r="Z155" s="590"/>
    </row>
    <row r="156" spans="1:26" ht="18.75" customHeight="1">
      <c r="A156" s="574"/>
      <c r="B156" s="671" t="s">
        <v>518</v>
      </c>
      <c r="C156" s="1069" t="s">
        <v>668</v>
      </c>
      <c r="D156" s="1009"/>
      <c r="E156" s="1009"/>
      <c r="F156" s="1009"/>
      <c r="G156" s="1009"/>
      <c r="H156" s="1009"/>
      <c r="I156" s="1010"/>
      <c r="J156" s="686" t="s">
        <v>669</v>
      </c>
      <c r="K156" s="644"/>
      <c r="L156" s="590"/>
      <c r="M156" s="590"/>
      <c r="N156" s="590"/>
      <c r="O156" s="590"/>
      <c r="P156" s="590"/>
      <c r="Q156" s="590"/>
      <c r="R156" s="590"/>
      <c r="S156" s="590"/>
      <c r="T156" s="590"/>
      <c r="U156" s="590"/>
      <c r="V156" s="590"/>
      <c r="W156" s="590"/>
      <c r="X156" s="590"/>
      <c r="Y156" s="590"/>
      <c r="Z156" s="590"/>
    </row>
    <row r="157" spans="1:26" ht="15.75" customHeight="1">
      <c r="A157" s="574"/>
      <c r="B157" s="1089" t="s">
        <v>670</v>
      </c>
      <c r="C157" s="1009"/>
      <c r="D157" s="1009"/>
      <c r="E157" s="1009"/>
      <c r="F157" s="1009"/>
      <c r="G157" s="1009"/>
      <c r="H157" s="1009"/>
      <c r="I157" s="1010"/>
      <c r="J157" s="643">
        <f>ROUND(SUM(J154:J156),2)</f>
        <v>291.31</v>
      </c>
      <c r="K157" s="644"/>
      <c r="L157" s="590"/>
      <c r="M157" s="590"/>
      <c r="N157" s="590"/>
      <c r="O157" s="590"/>
      <c r="P157" s="590"/>
      <c r="Q157" s="590"/>
      <c r="R157" s="590"/>
      <c r="S157" s="590"/>
      <c r="T157" s="590"/>
      <c r="U157" s="590"/>
      <c r="V157" s="590"/>
      <c r="W157" s="590"/>
      <c r="X157" s="590"/>
      <c r="Y157" s="590"/>
      <c r="Z157" s="590"/>
    </row>
    <row r="158" spans="1:26" ht="7.5" customHeight="1">
      <c r="A158" s="574"/>
      <c r="B158" s="1122"/>
      <c r="C158" s="1009"/>
      <c r="D158" s="1009"/>
      <c r="E158" s="1009"/>
      <c r="F158" s="1009"/>
      <c r="G158" s="1009"/>
      <c r="H158" s="1009"/>
      <c r="I158" s="1009"/>
      <c r="J158" s="1010"/>
      <c r="K158" s="601"/>
      <c r="L158" s="590"/>
      <c r="M158" s="590"/>
      <c r="N158" s="590"/>
      <c r="O158" s="590"/>
      <c r="P158" s="590"/>
      <c r="Q158" s="590"/>
      <c r="R158" s="590"/>
      <c r="S158" s="590"/>
      <c r="T158" s="590"/>
      <c r="U158" s="590"/>
      <c r="V158" s="590"/>
      <c r="W158" s="590"/>
      <c r="X158" s="590"/>
      <c r="Y158" s="590"/>
      <c r="Z158" s="590"/>
    </row>
    <row r="159" spans="1:26" ht="15.75" customHeight="1">
      <c r="A159" s="574"/>
      <c r="B159" s="1166" t="s">
        <v>671</v>
      </c>
      <c r="C159" s="1009"/>
      <c r="D159" s="1009"/>
      <c r="E159" s="1009"/>
      <c r="F159" s="1009"/>
      <c r="G159" s="1009"/>
      <c r="H159" s="1009"/>
      <c r="I159" s="1009"/>
      <c r="J159" s="1010"/>
      <c r="K159" s="712"/>
      <c r="L159" s="590"/>
      <c r="M159" s="590"/>
      <c r="N159" s="590"/>
      <c r="O159" s="590"/>
      <c r="P159" s="590"/>
      <c r="Q159" s="590"/>
      <c r="R159" s="590"/>
      <c r="S159" s="590"/>
      <c r="T159" s="590"/>
      <c r="U159" s="590"/>
      <c r="V159" s="590"/>
      <c r="W159" s="590"/>
      <c r="X159" s="590"/>
      <c r="Y159" s="590"/>
      <c r="Z159" s="590"/>
    </row>
    <row r="160" spans="1:26" ht="6.75" customHeight="1">
      <c r="A160" s="574"/>
      <c r="B160" s="713"/>
      <c r="C160" s="714"/>
      <c r="D160" s="714"/>
      <c r="E160" s="714"/>
      <c r="F160" s="714"/>
      <c r="G160" s="714"/>
      <c r="H160" s="714"/>
      <c r="I160" s="714"/>
      <c r="J160" s="715"/>
      <c r="K160" s="329"/>
      <c r="L160" s="590"/>
      <c r="M160" s="590"/>
      <c r="N160" s="590"/>
      <c r="O160" s="590"/>
      <c r="P160" s="590"/>
      <c r="Q160" s="590"/>
      <c r="R160" s="590"/>
      <c r="S160" s="590"/>
      <c r="T160" s="590"/>
      <c r="U160" s="590"/>
      <c r="V160" s="590"/>
      <c r="W160" s="590"/>
      <c r="X160" s="590"/>
      <c r="Y160" s="590"/>
      <c r="Z160" s="590"/>
    </row>
    <row r="161" spans="1:26" ht="16.5" customHeight="1">
      <c r="A161" s="574"/>
      <c r="B161" s="1109" t="s">
        <v>672</v>
      </c>
      <c r="C161" s="1009"/>
      <c r="D161" s="1009"/>
      <c r="E161" s="1009"/>
      <c r="F161" s="1009"/>
      <c r="G161" s="1009"/>
      <c r="H161" s="1009"/>
      <c r="I161" s="1009"/>
      <c r="J161" s="1010"/>
      <c r="K161" s="691"/>
      <c r="L161" s="590"/>
      <c r="M161" s="590"/>
      <c r="N161" s="590"/>
      <c r="O161" s="590"/>
      <c r="P161" s="590"/>
      <c r="Q161" s="590"/>
      <c r="R161" s="590"/>
      <c r="S161" s="590"/>
      <c r="T161" s="590"/>
      <c r="U161" s="590"/>
      <c r="V161" s="590"/>
      <c r="W161" s="590"/>
      <c r="X161" s="590"/>
      <c r="Y161" s="590"/>
      <c r="Z161" s="590"/>
    </row>
    <row r="162" spans="1:26" ht="30" customHeight="1">
      <c r="A162" s="574"/>
      <c r="B162" s="669">
        <v>6</v>
      </c>
      <c r="C162" s="1162" t="s">
        <v>673</v>
      </c>
      <c r="D162" s="1009"/>
      <c r="E162" s="1009"/>
      <c r="F162" s="1009"/>
      <c r="G162" s="1009"/>
      <c r="H162" s="1010"/>
      <c r="I162" s="670" t="s">
        <v>556</v>
      </c>
      <c r="J162" s="716" t="s">
        <v>599</v>
      </c>
      <c r="K162" s="717"/>
      <c r="L162" s="590"/>
      <c r="M162" s="590"/>
      <c r="N162" s="590"/>
      <c r="O162" s="590"/>
      <c r="P162" s="590"/>
      <c r="Q162" s="590"/>
      <c r="R162" s="590"/>
      <c r="S162" s="590"/>
      <c r="T162" s="590"/>
      <c r="U162" s="590"/>
      <c r="V162" s="590"/>
      <c r="W162" s="590"/>
      <c r="X162" s="590"/>
      <c r="Y162" s="590"/>
      <c r="Z162" s="590"/>
    </row>
    <row r="163" spans="1:26" ht="65.25" customHeight="1">
      <c r="A163" s="574"/>
      <c r="B163" s="1125" t="s">
        <v>674</v>
      </c>
      <c r="C163" s="1009"/>
      <c r="D163" s="1009"/>
      <c r="E163" s="1009"/>
      <c r="F163" s="1009"/>
      <c r="G163" s="1009"/>
      <c r="H163" s="1010"/>
      <c r="I163" s="718" t="s">
        <v>527</v>
      </c>
      <c r="J163" s="719">
        <f>SUM(J63+J115+J124+J150+J157)</f>
        <v>3632.7374642424238</v>
      </c>
      <c r="K163" s="720"/>
      <c r="L163" s="590"/>
      <c r="M163" s="590"/>
      <c r="N163" s="590"/>
      <c r="O163" s="590"/>
      <c r="P163" s="590"/>
      <c r="Q163" s="590"/>
      <c r="R163" s="590"/>
      <c r="S163" s="590"/>
      <c r="T163" s="590"/>
      <c r="U163" s="590"/>
      <c r="V163" s="590"/>
      <c r="W163" s="590"/>
      <c r="X163" s="590"/>
      <c r="Y163" s="590"/>
      <c r="Z163" s="590"/>
    </row>
    <row r="164" spans="1:26" ht="15" customHeight="1">
      <c r="A164" s="574"/>
      <c r="B164" s="671" t="s">
        <v>514</v>
      </c>
      <c r="C164" s="1109" t="s">
        <v>675</v>
      </c>
      <c r="D164" s="1009"/>
      <c r="E164" s="1009"/>
      <c r="F164" s="1009"/>
      <c r="G164" s="1009"/>
      <c r="H164" s="1010"/>
      <c r="I164" s="659">
        <f>'1-ABA-DE-CARREGAMENTO'!D85</f>
        <v>0.06</v>
      </c>
      <c r="J164" s="660">
        <f>ROUND(I164*J163,2)</f>
        <v>217.96</v>
      </c>
      <c r="K164" s="653"/>
      <c r="L164" s="590"/>
      <c r="M164" s="590"/>
      <c r="N164" s="590"/>
      <c r="O164" s="590"/>
      <c r="P164" s="590"/>
      <c r="Q164" s="590"/>
      <c r="R164" s="590"/>
      <c r="S164" s="590"/>
      <c r="T164" s="590"/>
      <c r="U164" s="590"/>
      <c r="V164" s="590"/>
      <c r="W164" s="590"/>
      <c r="X164" s="590"/>
      <c r="Y164" s="590"/>
      <c r="Z164" s="590"/>
    </row>
    <row r="165" spans="1:26" ht="50.25" customHeight="1">
      <c r="A165" s="574"/>
      <c r="B165" s="1125" t="s">
        <v>676</v>
      </c>
      <c r="C165" s="1009"/>
      <c r="D165" s="1009"/>
      <c r="E165" s="1009"/>
      <c r="F165" s="1009"/>
      <c r="G165" s="1009"/>
      <c r="H165" s="1010"/>
      <c r="I165" s="721" t="s">
        <v>527</v>
      </c>
      <c r="J165" s="719">
        <f>SUM(J63+J115+J124+J150+J157+J164)</f>
        <v>3850.6974642424238</v>
      </c>
      <c r="K165" s="720"/>
      <c r="L165" s="590"/>
      <c r="M165" s="590"/>
      <c r="N165" s="590"/>
      <c r="O165" s="590"/>
      <c r="P165" s="590"/>
      <c r="Q165" s="590"/>
      <c r="R165" s="590"/>
      <c r="S165" s="590"/>
      <c r="T165" s="590"/>
      <c r="U165" s="590"/>
      <c r="V165" s="590"/>
      <c r="W165" s="590"/>
      <c r="X165" s="590"/>
      <c r="Y165" s="590"/>
      <c r="Z165" s="590"/>
    </row>
    <row r="166" spans="1:26" ht="15" customHeight="1">
      <c r="A166" s="574"/>
      <c r="B166" s="671" t="s">
        <v>516</v>
      </c>
      <c r="C166" s="1109" t="s">
        <v>312</v>
      </c>
      <c r="D166" s="1009"/>
      <c r="E166" s="1009"/>
      <c r="F166" s="1009"/>
      <c r="G166" s="1009"/>
      <c r="H166" s="1010"/>
      <c r="I166" s="659">
        <f>'1-ABA-DE-CARREGAMENTO'!D86</f>
        <v>0.06</v>
      </c>
      <c r="J166" s="660">
        <f>ROUND(I166*J165,2)</f>
        <v>231.04</v>
      </c>
      <c r="K166" s="653"/>
      <c r="L166" s="590"/>
      <c r="M166" s="590"/>
      <c r="N166" s="590"/>
      <c r="O166" s="590"/>
      <c r="P166" s="590"/>
      <c r="Q166" s="590"/>
      <c r="R166" s="590"/>
      <c r="S166" s="590"/>
      <c r="T166" s="590"/>
      <c r="U166" s="590"/>
      <c r="V166" s="590"/>
      <c r="W166" s="590"/>
      <c r="X166" s="590"/>
      <c r="Y166" s="590"/>
      <c r="Z166" s="590"/>
    </row>
    <row r="167" spans="1:26" ht="48.75" customHeight="1">
      <c r="A167" s="574"/>
      <c r="B167" s="1125" t="s">
        <v>677</v>
      </c>
      <c r="C167" s="1009"/>
      <c r="D167" s="1009"/>
      <c r="E167" s="1009"/>
      <c r="F167" s="1009"/>
      <c r="G167" s="1009"/>
      <c r="H167" s="1010"/>
      <c r="I167" s="721" t="s">
        <v>527</v>
      </c>
      <c r="J167" s="719">
        <f>SUM(J163+J164+J166)</f>
        <v>4081.7374642424238</v>
      </c>
      <c r="K167" s="720"/>
      <c r="L167" s="590"/>
      <c r="M167" s="590"/>
      <c r="N167" s="590"/>
      <c r="O167" s="590"/>
      <c r="P167" s="590"/>
      <c r="Q167" s="590"/>
      <c r="R167" s="590"/>
      <c r="S167" s="590"/>
      <c r="T167" s="590"/>
      <c r="U167" s="590"/>
      <c r="V167" s="590"/>
      <c r="W167" s="590"/>
      <c r="X167" s="590"/>
      <c r="Y167" s="590"/>
      <c r="Z167" s="590"/>
    </row>
    <row r="168" spans="1:26" ht="16.5" customHeight="1">
      <c r="A168" s="574"/>
      <c r="B168" s="671" t="s">
        <v>518</v>
      </c>
      <c r="C168" s="1109" t="s">
        <v>678</v>
      </c>
      <c r="D168" s="1009"/>
      <c r="E168" s="1009"/>
      <c r="F168" s="1009"/>
      <c r="G168" s="1009"/>
      <c r="H168" s="1010"/>
      <c r="I168" s="628" t="s">
        <v>527</v>
      </c>
      <c r="J168" s="638" t="s">
        <v>527</v>
      </c>
      <c r="K168" s="639"/>
      <c r="L168" s="590"/>
      <c r="M168" s="590"/>
      <c r="N168" s="590"/>
      <c r="O168" s="590"/>
      <c r="P168" s="590"/>
      <c r="Q168" s="590"/>
      <c r="R168" s="590"/>
      <c r="S168" s="590"/>
      <c r="T168" s="590"/>
      <c r="U168" s="590"/>
      <c r="V168" s="590"/>
      <c r="W168" s="590"/>
      <c r="X168" s="590"/>
      <c r="Y168" s="590"/>
      <c r="Z168" s="590"/>
    </row>
    <row r="169" spans="1:26" ht="14.25" customHeight="1">
      <c r="A169" s="574"/>
      <c r="B169" s="671"/>
      <c r="C169" s="1109" t="s">
        <v>679</v>
      </c>
      <c r="D169" s="1009"/>
      <c r="E169" s="1009"/>
      <c r="F169" s="1009"/>
      <c r="G169" s="1009"/>
      <c r="H169" s="1010"/>
      <c r="I169" s="628" t="s">
        <v>527</v>
      </c>
      <c r="J169" s="638" t="s">
        <v>527</v>
      </c>
      <c r="K169" s="639"/>
      <c r="L169" s="590"/>
      <c r="M169" s="590"/>
      <c r="N169" s="590"/>
      <c r="O169" s="590"/>
      <c r="P169" s="590"/>
      <c r="Q169" s="590"/>
      <c r="R169" s="590"/>
      <c r="S169" s="590"/>
      <c r="T169" s="590"/>
      <c r="U169" s="590"/>
      <c r="V169" s="590"/>
      <c r="W169" s="590"/>
      <c r="X169" s="590"/>
      <c r="Y169" s="590"/>
      <c r="Z169" s="590"/>
    </row>
    <row r="170" spans="1:26" ht="22.5" customHeight="1">
      <c r="A170" s="574"/>
      <c r="B170" s="671"/>
      <c r="C170" s="1099" t="s">
        <v>771</v>
      </c>
      <c r="D170" s="1009"/>
      <c r="E170" s="1009"/>
      <c r="F170" s="1009"/>
      <c r="G170" s="1009"/>
      <c r="H170" s="1010"/>
      <c r="I170" s="627">
        <f>'1-ABA-DE-CARREGAMENTO'!E28</f>
        <v>1.6500000000000001E-2</v>
      </c>
      <c r="J170" s="722">
        <f t="shared" ref="J170:J171" si="3">ROUND(($J$167/(1-$I$179))*I170,2)</f>
        <v>77.64</v>
      </c>
      <c r="K170" s="723"/>
      <c r="L170" s="590"/>
      <c r="M170" s="590"/>
      <c r="N170" s="590"/>
      <c r="O170" s="590"/>
      <c r="P170" s="590"/>
      <c r="Q170" s="590"/>
      <c r="R170" s="590"/>
      <c r="S170" s="590"/>
      <c r="T170" s="590"/>
      <c r="U170" s="590"/>
      <c r="V170" s="590"/>
      <c r="W170" s="590"/>
      <c r="X170" s="590"/>
      <c r="Y170" s="590"/>
      <c r="Z170" s="590"/>
    </row>
    <row r="171" spans="1:26" ht="22.5" customHeight="1">
      <c r="A171" s="574"/>
      <c r="B171" s="671"/>
      <c r="C171" s="1099" t="s">
        <v>772</v>
      </c>
      <c r="D171" s="1009"/>
      <c r="E171" s="1009"/>
      <c r="F171" s="1009"/>
      <c r="G171" s="1009"/>
      <c r="H171" s="1010"/>
      <c r="I171" s="627">
        <f>'1-ABA-DE-CARREGAMENTO'!F28</f>
        <v>7.5999999999999998E-2</v>
      </c>
      <c r="J171" s="722">
        <f t="shared" si="3"/>
        <v>357.59</v>
      </c>
      <c r="K171" s="723"/>
      <c r="L171" s="590"/>
      <c r="M171" s="590"/>
      <c r="N171" s="590"/>
      <c r="O171" s="590"/>
      <c r="P171" s="590"/>
      <c r="Q171" s="590"/>
      <c r="R171" s="590"/>
      <c r="S171" s="590"/>
      <c r="T171" s="590"/>
      <c r="U171" s="590"/>
      <c r="V171" s="590"/>
      <c r="W171" s="590"/>
      <c r="X171" s="590"/>
      <c r="Y171" s="590"/>
      <c r="Z171" s="590"/>
    </row>
    <row r="172" spans="1:26" ht="29.25" customHeight="1">
      <c r="A172" s="574"/>
      <c r="B172" s="671"/>
      <c r="C172" s="1069" t="s">
        <v>773</v>
      </c>
      <c r="D172" s="1009"/>
      <c r="E172" s="1009"/>
      <c r="F172" s="1009"/>
      <c r="G172" s="1009"/>
      <c r="H172" s="1010"/>
      <c r="I172" s="627" t="s">
        <v>527</v>
      </c>
      <c r="J172" s="638" t="s">
        <v>527</v>
      </c>
      <c r="K172" s="639"/>
      <c r="L172" s="590"/>
      <c r="M172" s="590"/>
      <c r="N172" s="590"/>
      <c r="O172" s="590"/>
      <c r="P172" s="590"/>
      <c r="Q172" s="590"/>
      <c r="R172" s="590"/>
      <c r="S172" s="590"/>
      <c r="T172" s="590"/>
      <c r="U172" s="590"/>
      <c r="V172" s="590"/>
      <c r="W172" s="590"/>
      <c r="X172" s="590"/>
      <c r="Y172" s="590"/>
      <c r="Z172" s="590"/>
    </row>
    <row r="173" spans="1:26" ht="29.25" customHeight="1">
      <c r="A173" s="574"/>
      <c r="B173" s="671"/>
      <c r="C173" s="1069" t="s">
        <v>774</v>
      </c>
      <c r="D173" s="1009"/>
      <c r="E173" s="1009"/>
      <c r="F173" s="1009"/>
      <c r="G173" s="1009"/>
      <c r="H173" s="1010"/>
      <c r="I173" s="627" t="s">
        <v>527</v>
      </c>
      <c r="J173" s="638" t="s">
        <v>527</v>
      </c>
      <c r="K173" s="639"/>
      <c r="L173" s="590"/>
      <c r="M173" s="590"/>
      <c r="N173" s="590"/>
      <c r="O173" s="590"/>
      <c r="P173" s="590"/>
      <c r="Q173" s="590"/>
      <c r="R173" s="590"/>
      <c r="S173" s="590"/>
      <c r="T173" s="590"/>
      <c r="U173" s="590"/>
      <c r="V173" s="590"/>
      <c r="W173" s="590"/>
      <c r="X173" s="590"/>
      <c r="Y173" s="590"/>
      <c r="Z173" s="590"/>
    </row>
    <row r="174" spans="1:26" ht="18" customHeight="1">
      <c r="A174" s="574"/>
      <c r="B174" s="671"/>
      <c r="C174" s="1069" t="s">
        <v>684</v>
      </c>
      <c r="D174" s="1009"/>
      <c r="E174" s="1009"/>
      <c r="F174" s="1009"/>
      <c r="G174" s="1009"/>
      <c r="H174" s="1009"/>
      <c r="I174" s="724" t="s">
        <v>527</v>
      </c>
      <c r="J174" s="725" t="s">
        <v>527</v>
      </c>
      <c r="K174" s="726"/>
      <c r="L174" s="590"/>
      <c r="M174" s="590"/>
      <c r="N174" s="590"/>
      <c r="O174" s="590"/>
      <c r="P174" s="590"/>
      <c r="Q174" s="590"/>
      <c r="R174" s="590"/>
      <c r="S174" s="590"/>
      <c r="T174" s="590"/>
      <c r="U174" s="590"/>
      <c r="V174" s="590"/>
      <c r="W174" s="590"/>
      <c r="X174" s="590"/>
      <c r="Y174" s="590"/>
      <c r="Z174" s="590"/>
    </row>
    <row r="175" spans="1:26" ht="18" customHeight="1">
      <c r="A175" s="574"/>
      <c r="B175" s="671"/>
      <c r="C175" s="1069" t="s">
        <v>685</v>
      </c>
      <c r="D175" s="1009"/>
      <c r="E175" s="1009"/>
      <c r="F175" s="1009"/>
      <c r="G175" s="1009"/>
      <c r="H175" s="1009"/>
      <c r="I175" s="724" t="s">
        <v>527</v>
      </c>
      <c r="J175" s="725" t="s">
        <v>527</v>
      </c>
      <c r="K175" s="726"/>
      <c r="L175" s="590"/>
      <c r="M175" s="590"/>
      <c r="N175" s="590"/>
      <c r="O175" s="590"/>
      <c r="P175" s="590"/>
      <c r="Q175" s="590"/>
      <c r="R175" s="590"/>
      <c r="S175" s="590"/>
      <c r="T175" s="590"/>
      <c r="U175" s="590"/>
      <c r="V175" s="590"/>
      <c r="W175" s="590"/>
      <c r="X175" s="590"/>
      <c r="Y175" s="590"/>
      <c r="Z175" s="590"/>
    </row>
    <row r="176" spans="1:26" ht="15" customHeight="1">
      <c r="A176" s="574"/>
      <c r="B176" s="671"/>
      <c r="C176" s="1069" t="s">
        <v>775</v>
      </c>
      <c r="D176" s="1009"/>
      <c r="E176" s="1009"/>
      <c r="F176" s="1009"/>
      <c r="G176" s="1009"/>
      <c r="H176" s="1010"/>
      <c r="I176" s="727">
        <f>'1-ABA-DE-CARREGAMENTO'!D87</f>
        <v>0.04</v>
      </c>
      <c r="J176" s="722">
        <f>ROUND(($J$167/(1-$I$179))*I176,2)</f>
        <v>188.21</v>
      </c>
      <c r="K176" s="723"/>
      <c r="L176" s="590"/>
      <c r="M176" s="590"/>
      <c r="N176" s="590"/>
      <c r="O176" s="590"/>
      <c r="P176" s="590"/>
      <c r="Q176" s="590"/>
      <c r="R176" s="590"/>
      <c r="S176" s="590"/>
      <c r="T176" s="590"/>
      <c r="U176" s="590"/>
      <c r="V176" s="590"/>
      <c r="W176" s="590"/>
      <c r="X176" s="590"/>
      <c r="Y176" s="590"/>
      <c r="Z176" s="590"/>
    </row>
    <row r="177" spans="1:26" ht="15.75" customHeight="1">
      <c r="A177" s="574"/>
      <c r="B177" s="1089" t="s">
        <v>641</v>
      </c>
      <c r="C177" s="1009"/>
      <c r="D177" s="1009"/>
      <c r="E177" s="1009"/>
      <c r="F177" s="1009"/>
      <c r="G177" s="1009"/>
      <c r="H177" s="1009"/>
      <c r="I177" s="1010"/>
      <c r="J177" s="652">
        <f>SUM(J164+J166+J170+J171+J176)</f>
        <v>1072.44</v>
      </c>
      <c r="K177" s="653"/>
      <c r="L177" s="590"/>
      <c r="M177" s="590"/>
      <c r="N177" s="590"/>
      <c r="O177" s="590"/>
      <c r="P177" s="590"/>
      <c r="Q177" s="590"/>
      <c r="R177" s="590"/>
      <c r="S177" s="590"/>
      <c r="T177" s="590"/>
      <c r="U177" s="590"/>
      <c r="V177" s="590"/>
      <c r="W177" s="590"/>
      <c r="X177" s="590"/>
      <c r="Y177" s="590"/>
      <c r="Z177" s="590"/>
    </row>
    <row r="178" spans="1:26" ht="6.75" customHeight="1">
      <c r="A178" s="574"/>
      <c r="B178" s="1085"/>
      <c r="C178" s="1009"/>
      <c r="D178" s="1009"/>
      <c r="E178" s="1009"/>
      <c r="F178" s="1009"/>
      <c r="G178" s="1009"/>
      <c r="H178" s="1009"/>
      <c r="I178" s="1009"/>
      <c r="J178" s="1010"/>
      <c r="K178" s="693"/>
      <c r="L178" s="590"/>
      <c r="M178" s="590"/>
      <c r="N178" s="590"/>
      <c r="O178" s="590"/>
      <c r="P178" s="590"/>
      <c r="Q178" s="590"/>
      <c r="R178" s="590"/>
      <c r="S178" s="590"/>
      <c r="T178" s="590"/>
      <c r="U178" s="590"/>
      <c r="V178" s="590"/>
      <c r="W178" s="590"/>
      <c r="X178" s="590"/>
      <c r="Y178" s="590"/>
      <c r="Z178" s="590"/>
    </row>
    <row r="179" spans="1:26" ht="15.75" customHeight="1">
      <c r="A179" s="574"/>
      <c r="B179" s="1100" t="s">
        <v>687</v>
      </c>
      <c r="C179" s="1009"/>
      <c r="D179" s="1009"/>
      <c r="E179" s="1009"/>
      <c r="F179" s="1009"/>
      <c r="G179" s="1009"/>
      <c r="H179" s="1010"/>
      <c r="I179" s="728">
        <f t="shared" ref="I179:J179" si="4">SUM(I170:I176)</f>
        <v>0.13250000000000001</v>
      </c>
      <c r="J179" s="719">
        <f t="shared" si="4"/>
        <v>623.43999999999994</v>
      </c>
      <c r="K179" s="720"/>
      <c r="L179" s="590"/>
      <c r="M179" s="590"/>
      <c r="N179" s="590"/>
      <c r="O179" s="590"/>
      <c r="P179" s="590"/>
      <c r="Q179" s="590"/>
      <c r="R179" s="590"/>
      <c r="S179" s="590"/>
      <c r="T179" s="590"/>
      <c r="U179" s="590"/>
      <c r="V179" s="590"/>
      <c r="W179" s="590"/>
      <c r="X179" s="590"/>
      <c r="Y179" s="590"/>
      <c r="Z179" s="590"/>
    </row>
    <row r="180" spans="1:26" ht="12.75" customHeight="1">
      <c r="A180" s="574"/>
      <c r="B180" s="1101" t="s">
        <v>688</v>
      </c>
      <c r="C180" s="1023"/>
      <c r="D180" s="1104" t="s">
        <v>689</v>
      </c>
      <c r="E180" s="1023"/>
      <c r="F180" s="1023"/>
      <c r="G180" s="1023"/>
      <c r="H180" s="1023"/>
      <c r="I180" s="1023"/>
      <c r="J180" s="1040"/>
      <c r="K180" s="729"/>
      <c r="L180" s="590"/>
      <c r="M180" s="590"/>
      <c r="N180" s="590"/>
      <c r="O180" s="590"/>
      <c r="P180" s="590"/>
      <c r="Q180" s="590"/>
      <c r="R180" s="590"/>
      <c r="S180" s="590"/>
      <c r="T180" s="590"/>
      <c r="U180" s="590"/>
      <c r="V180" s="590"/>
      <c r="W180" s="590"/>
      <c r="X180" s="590"/>
      <c r="Y180" s="590"/>
      <c r="Z180" s="590"/>
    </row>
    <row r="181" spans="1:26" ht="12" customHeight="1">
      <c r="A181" s="574"/>
      <c r="B181" s="1102"/>
      <c r="C181" s="1023"/>
      <c r="D181" s="1105" t="s">
        <v>690</v>
      </c>
      <c r="E181" s="1023"/>
      <c r="F181" s="1023"/>
      <c r="G181" s="1023"/>
      <c r="H181" s="1023"/>
      <c r="I181" s="1023"/>
      <c r="J181" s="1040"/>
      <c r="K181" s="730"/>
      <c r="L181" s="590"/>
      <c r="M181" s="590"/>
      <c r="N181" s="590"/>
      <c r="O181" s="590"/>
      <c r="P181" s="590"/>
      <c r="Q181" s="590"/>
      <c r="R181" s="590"/>
      <c r="S181" s="590"/>
      <c r="T181" s="590"/>
      <c r="U181" s="590"/>
      <c r="V181" s="590"/>
      <c r="W181" s="590"/>
      <c r="X181" s="590"/>
      <c r="Y181" s="590"/>
      <c r="Z181" s="590"/>
    </row>
    <row r="182" spans="1:26" ht="13.5" customHeight="1">
      <c r="A182" s="574"/>
      <c r="B182" s="1103"/>
      <c r="C182" s="1060"/>
      <c r="D182" s="1106" t="s">
        <v>691</v>
      </c>
      <c r="E182" s="1060"/>
      <c r="F182" s="1060"/>
      <c r="G182" s="1060"/>
      <c r="H182" s="1060"/>
      <c r="I182" s="1060"/>
      <c r="J182" s="1062"/>
      <c r="K182" s="729"/>
      <c r="L182" s="590"/>
      <c r="M182" s="590"/>
      <c r="N182" s="590"/>
      <c r="O182" s="590"/>
      <c r="P182" s="590"/>
      <c r="Q182" s="590"/>
      <c r="R182" s="590"/>
      <c r="S182" s="590"/>
      <c r="T182" s="590"/>
      <c r="U182" s="590"/>
      <c r="V182" s="590"/>
      <c r="W182" s="590"/>
      <c r="X182" s="590"/>
      <c r="Y182" s="590"/>
      <c r="Z182" s="590"/>
    </row>
    <row r="183" spans="1:26" ht="6.75" customHeight="1">
      <c r="A183" s="574"/>
      <c r="B183" s="1107"/>
      <c r="C183" s="1009"/>
      <c r="D183" s="1009"/>
      <c r="E183" s="1009"/>
      <c r="F183" s="1009"/>
      <c r="G183" s="1009"/>
      <c r="H183" s="1009"/>
      <c r="I183" s="1009"/>
      <c r="J183" s="1010"/>
      <c r="K183" s="731"/>
      <c r="L183" s="590"/>
      <c r="M183" s="590"/>
      <c r="N183" s="590"/>
      <c r="O183" s="590"/>
      <c r="P183" s="590"/>
      <c r="Q183" s="590"/>
      <c r="R183" s="590"/>
      <c r="S183" s="590"/>
      <c r="T183" s="590"/>
      <c r="U183" s="590"/>
      <c r="V183" s="590"/>
      <c r="W183" s="590"/>
      <c r="X183" s="590"/>
      <c r="Y183" s="590"/>
      <c r="Z183" s="590"/>
    </row>
    <row r="184" spans="1:26" ht="24" customHeight="1">
      <c r="A184" s="574"/>
      <c r="B184" s="1084" t="s">
        <v>692</v>
      </c>
      <c r="C184" s="1009"/>
      <c r="D184" s="1009"/>
      <c r="E184" s="1009"/>
      <c r="F184" s="1009"/>
      <c r="G184" s="1009"/>
      <c r="H184" s="1009"/>
      <c r="I184" s="1009"/>
      <c r="J184" s="1010"/>
      <c r="K184" s="600"/>
      <c r="L184" s="590"/>
      <c r="M184" s="590"/>
      <c r="N184" s="590"/>
      <c r="O184" s="590"/>
      <c r="P184" s="590"/>
      <c r="Q184" s="590"/>
      <c r="R184" s="590"/>
      <c r="S184" s="590"/>
      <c r="T184" s="590"/>
      <c r="U184" s="590"/>
      <c r="V184" s="590"/>
      <c r="W184" s="590"/>
      <c r="X184" s="590"/>
      <c r="Y184" s="590"/>
      <c r="Z184" s="590"/>
    </row>
    <row r="185" spans="1:26" ht="8.25" customHeight="1">
      <c r="A185" s="574"/>
      <c r="B185" s="1085"/>
      <c r="C185" s="1009"/>
      <c r="D185" s="1009"/>
      <c r="E185" s="1009"/>
      <c r="F185" s="1009"/>
      <c r="G185" s="1009"/>
      <c r="H185" s="1009"/>
      <c r="I185" s="1009"/>
      <c r="J185" s="1010"/>
      <c r="K185" s="693"/>
      <c r="L185" s="590"/>
      <c r="M185" s="590"/>
      <c r="N185" s="590"/>
      <c r="O185" s="590"/>
      <c r="P185" s="590"/>
      <c r="Q185" s="590"/>
      <c r="R185" s="590"/>
      <c r="S185" s="590"/>
      <c r="T185" s="590"/>
      <c r="U185" s="590"/>
      <c r="V185" s="590"/>
      <c r="W185" s="590"/>
      <c r="X185" s="590"/>
      <c r="Y185" s="590"/>
      <c r="Z185" s="590"/>
    </row>
    <row r="186" spans="1:26" ht="27.75" customHeight="1">
      <c r="A186" s="574"/>
      <c r="B186" s="1069" t="s">
        <v>776</v>
      </c>
      <c r="C186" s="1009"/>
      <c r="D186" s="1009"/>
      <c r="E186" s="1009"/>
      <c r="F186" s="1009"/>
      <c r="G186" s="1009"/>
      <c r="H186" s="1009"/>
      <c r="I186" s="1009"/>
      <c r="J186" s="1010"/>
      <c r="K186" s="594"/>
      <c r="L186" s="590"/>
      <c r="M186" s="590"/>
      <c r="N186" s="590"/>
      <c r="O186" s="590"/>
      <c r="P186" s="590"/>
      <c r="Q186" s="590"/>
      <c r="R186" s="590"/>
      <c r="S186" s="590"/>
      <c r="T186" s="590"/>
      <c r="U186" s="590"/>
      <c r="V186" s="590"/>
      <c r="W186" s="590"/>
      <c r="X186" s="590"/>
      <c r="Y186" s="590"/>
      <c r="Z186" s="590"/>
    </row>
    <row r="187" spans="1:26" ht="15" customHeight="1">
      <c r="A187" s="574"/>
      <c r="B187" s="1086" t="s">
        <v>694</v>
      </c>
      <c r="C187" s="1009"/>
      <c r="D187" s="1009"/>
      <c r="E187" s="1009"/>
      <c r="F187" s="1009"/>
      <c r="G187" s="1009"/>
      <c r="H187" s="1009"/>
      <c r="I187" s="1010"/>
      <c r="J187" s="670" t="s">
        <v>591</v>
      </c>
      <c r="K187" s="592"/>
      <c r="L187" s="590"/>
      <c r="M187" s="590"/>
      <c r="N187" s="590"/>
      <c r="O187" s="590"/>
      <c r="P187" s="590"/>
      <c r="Q187" s="590"/>
      <c r="R187" s="590"/>
      <c r="S187" s="590"/>
      <c r="T187" s="590"/>
      <c r="U187" s="590"/>
      <c r="V187" s="590"/>
      <c r="W187" s="590"/>
      <c r="X187" s="590"/>
      <c r="Y187" s="590"/>
      <c r="Z187" s="590"/>
    </row>
    <row r="188" spans="1:26" ht="15" customHeight="1">
      <c r="A188" s="574"/>
      <c r="B188" s="732" t="s">
        <v>514</v>
      </c>
      <c r="C188" s="1078" t="s">
        <v>695</v>
      </c>
      <c r="D188" s="1009"/>
      <c r="E188" s="1009"/>
      <c r="F188" s="1009"/>
      <c r="G188" s="1009"/>
      <c r="H188" s="1009"/>
      <c r="I188" s="1009"/>
      <c r="J188" s="686">
        <f>J63</f>
        <v>1666.4090909090908</v>
      </c>
      <c r="K188" s="644"/>
      <c r="L188" s="590"/>
      <c r="M188" s="590"/>
      <c r="N188" s="590"/>
      <c r="O188" s="590"/>
      <c r="P188" s="590"/>
      <c r="Q188" s="590"/>
      <c r="R188" s="590"/>
      <c r="S188" s="590"/>
      <c r="T188" s="590"/>
      <c r="U188" s="590"/>
      <c r="V188" s="590"/>
      <c r="W188" s="590"/>
      <c r="X188" s="590"/>
      <c r="Y188" s="590"/>
      <c r="Z188" s="590"/>
    </row>
    <row r="189" spans="1:26" ht="15" customHeight="1">
      <c r="A189" s="574"/>
      <c r="B189" s="732" t="s">
        <v>516</v>
      </c>
      <c r="C189" s="1078" t="s">
        <v>696</v>
      </c>
      <c r="D189" s="1009"/>
      <c r="E189" s="1009"/>
      <c r="F189" s="1009"/>
      <c r="G189" s="1009"/>
      <c r="H189" s="1009"/>
      <c r="I189" s="1009"/>
      <c r="J189" s="686">
        <f>J115</f>
        <v>1341.48</v>
      </c>
      <c r="K189" s="644"/>
      <c r="L189" s="590"/>
      <c r="M189" s="590"/>
      <c r="N189" s="590"/>
      <c r="O189" s="590"/>
      <c r="P189" s="590"/>
      <c r="Q189" s="590"/>
      <c r="R189" s="590"/>
      <c r="S189" s="590"/>
      <c r="T189" s="590"/>
      <c r="U189" s="590"/>
      <c r="V189" s="590"/>
      <c r="W189" s="590"/>
      <c r="X189" s="590"/>
      <c r="Y189" s="590"/>
      <c r="Z189" s="590"/>
    </row>
    <row r="190" spans="1:26" ht="15" customHeight="1">
      <c r="A190" s="574"/>
      <c r="B190" s="732" t="s">
        <v>518</v>
      </c>
      <c r="C190" s="1078" t="s">
        <v>697</v>
      </c>
      <c r="D190" s="1009"/>
      <c r="E190" s="1009"/>
      <c r="F190" s="1009"/>
      <c r="G190" s="1009"/>
      <c r="H190" s="1009"/>
      <c r="I190" s="1009"/>
      <c r="J190" s="686">
        <f>J124</f>
        <v>93.36</v>
      </c>
      <c r="K190" s="644"/>
      <c r="L190" s="590"/>
      <c r="M190" s="590"/>
      <c r="N190" s="590"/>
      <c r="O190" s="590"/>
      <c r="P190" s="590"/>
      <c r="Q190" s="590"/>
      <c r="R190" s="590"/>
      <c r="S190" s="590"/>
      <c r="T190" s="590"/>
      <c r="U190" s="590"/>
      <c r="V190" s="590"/>
      <c r="W190" s="590"/>
      <c r="X190" s="590"/>
      <c r="Y190" s="590"/>
      <c r="Z190" s="590"/>
    </row>
    <row r="191" spans="1:26" ht="15" customHeight="1">
      <c r="A191" s="574"/>
      <c r="B191" s="732" t="s">
        <v>520</v>
      </c>
      <c r="C191" s="1078" t="s">
        <v>698</v>
      </c>
      <c r="D191" s="1009"/>
      <c r="E191" s="1009"/>
      <c r="F191" s="1009"/>
      <c r="G191" s="1009"/>
      <c r="H191" s="1009"/>
      <c r="I191" s="1009"/>
      <c r="J191" s="686">
        <f>J150</f>
        <v>240.17837333333338</v>
      </c>
      <c r="K191" s="644"/>
      <c r="L191" s="590"/>
      <c r="M191" s="590"/>
      <c r="N191" s="590"/>
      <c r="O191" s="590"/>
      <c r="P191" s="590"/>
      <c r="Q191" s="590"/>
      <c r="R191" s="590"/>
      <c r="S191" s="590"/>
      <c r="T191" s="590"/>
      <c r="U191" s="590"/>
      <c r="V191" s="590"/>
      <c r="W191" s="590"/>
      <c r="X191" s="590"/>
      <c r="Y191" s="590"/>
      <c r="Z191" s="590"/>
    </row>
    <row r="192" spans="1:26" ht="15" customHeight="1">
      <c r="A192" s="574"/>
      <c r="B192" s="732" t="s">
        <v>562</v>
      </c>
      <c r="C192" s="1078" t="s">
        <v>699</v>
      </c>
      <c r="D192" s="1009"/>
      <c r="E192" s="1009"/>
      <c r="F192" s="1009"/>
      <c r="G192" s="1009"/>
      <c r="H192" s="1009"/>
      <c r="I192" s="1009"/>
      <c r="J192" s="686">
        <f>J157</f>
        <v>291.31</v>
      </c>
      <c r="K192" s="644"/>
      <c r="L192" s="590"/>
      <c r="M192" s="590"/>
      <c r="N192" s="590"/>
      <c r="O192" s="590"/>
      <c r="P192" s="590"/>
      <c r="Q192" s="590"/>
      <c r="R192" s="590"/>
      <c r="S192" s="590"/>
      <c r="T192" s="590"/>
      <c r="U192" s="590"/>
      <c r="V192" s="590"/>
      <c r="W192" s="590"/>
      <c r="X192" s="590"/>
      <c r="Y192" s="590"/>
      <c r="Z192" s="590"/>
    </row>
    <row r="193" spans="1:26" ht="15" customHeight="1">
      <c r="A193" s="574"/>
      <c r="B193" s="1077" t="s">
        <v>700</v>
      </c>
      <c r="C193" s="1009"/>
      <c r="D193" s="1009"/>
      <c r="E193" s="1009"/>
      <c r="F193" s="1009"/>
      <c r="G193" s="1009"/>
      <c r="H193" s="1009"/>
      <c r="I193" s="1030"/>
      <c r="J193" s="643">
        <f>ROUND(SUM(J188:J192),2)</f>
        <v>3632.74</v>
      </c>
      <c r="K193" s="644"/>
      <c r="L193" s="590"/>
      <c r="M193" s="590"/>
      <c r="N193" s="590"/>
      <c r="O193" s="590"/>
      <c r="P193" s="590"/>
      <c r="Q193" s="590"/>
      <c r="R193" s="590"/>
      <c r="S193" s="590"/>
      <c r="T193" s="590"/>
      <c r="U193" s="590"/>
      <c r="V193" s="590"/>
      <c r="W193" s="590"/>
      <c r="X193" s="590"/>
      <c r="Y193" s="590"/>
      <c r="Z193" s="590"/>
    </row>
    <row r="194" spans="1:26" ht="15" customHeight="1">
      <c r="A194" s="574"/>
      <c r="B194" s="733" t="s">
        <v>566</v>
      </c>
      <c r="C194" s="1078" t="s">
        <v>672</v>
      </c>
      <c r="D194" s="1009"/>
      <c r="E194" s="1009"/>
      <c r="F194" s="1009"/>
      <c r="G194" s="1009"/>
      <c r="H194" s="1009"/>
      <c r="I194" s="1009"/>
      <c r="J194" s="686">
        <f>J177</f>
        <v>1072.44</v>
      </c>
      <c r="K194" s="644"/>
      <c r="L194" s="590"/>
      <c r="M194" s="590"/>
      <c r="N194" s="590"/>
      <c r="O194" s="590"/>
      <c r="P194" s="590"/>
      <c r="Q194" s="590"/>
      <c r="R194" s="590"/>
      <c r="S194" s="590"/>
      <c r="T194" s="590"/>
      <c r="U194" s="590"/>
      <c r="V194" s="590"/>
      <c r="W194" s="590"/>
      <c r="X194" s="590"/>
      <c r="Y194" s="590"/>
      <c r="Z194" s="590"/>
    </row>
    <row r="195" spans="1:26" ht="15" customHeight="1">
      <c r="A195" s="574"/>
      <c r="B195" s="1077" t="s">
        <v>777</v>
      </c>
      <c r="C195" s="1009"/>
      <c r="D195" s="1009"/>
      <c r="E195" s="1009"/>
      <c r="F195" s="1009"/>
      <c r="G195" s="1009"/>
      <c r="H195" s="1009"/>
      <c r="I195" s="1030"/>
      <c r="J195" s="643">
        <f>J193+J194</f>
        <v>4705.18</v>
      </c>
      <c r="K195" s="644"/>
      <c r="L195" s="590"/>
      <c r="M195" s="590"/>
      <c r="N195" s="590"/>
      <c r="O195" s="590"/>
      <c r="P195" s="590"/>
      <c r="Q195" s="590"/>
      <c r="R195" s="590"/>
      <c r="S195" s="590"/>
      <c r="T195" s="590"/>
      <c r="U195" s="590"/>
      <c r="V195" s="590"/>
      <c r="W195" s="590"/>
      <c r="X195" s="590"/>
      <c r="Y195" s="590"/>
      <c r="Z195" s="590"/>
    </row>
    <row r="196" spans="1:26" ht="36.75" customHeight="1">
      <c r="A196" s="574"/>
      <c r="B196" s="1079" t="s">
        <v>702</v>
      </c>
      <c r="C196" s="1009"/>
      <c r="D196" s="1009"/>
      <c r="E196" s="1009"/>
      <c r="F196" s="1009"/>
      <c r="G196" s="1009"/>
      <c r="H196" s="1009"/>
      <c r="I196" s="1009"/>
      <c r="J196" s="1010"/>
      <c r="K196" s="735"/>
      <c r="L196" s="590"/>
      <c r="M196" s="590"/>
      <c r="N196" s="590"/>
      <c r="O196" s="590"/>
      <c r="P196" s="590"/>
      <c r="Q196" s="590"/>
      <c r="R196" s="590"/>
      <c r="S196" s="590"/>
      <c r="T196" s="590"/>
      <c r="U196" s="590"/>
      <c r="V196" s="590"/>
      <c r="W196" s="590"/>
      <c r="X196" s="590"/>
      <c r="Y196" s="590"/>
      <c r="Z196" s="590"/>
    </row>
    <row r="197" spans="1:26" ht="9" customHeight="1">
      <c r="A197" s="574"/>
      <c r="B197" s="1175"/>
      <c r="C197" s="1009"/>
      <c r="D197" s="1009"/>
      <c r="E197" s="1009"/>
      <c r="F197" s="1009"/>
      <c r="G197" s="1009"/>
      <c r="H197" s="1009"/>
      <c r="I197" s="1009"/>
      <c r="J197" s="1010"/>
      <c r="K197" s="736"/>
      <c r="L197" s="590"/>
      <c r="M197" s="590"/>
      <c r="N197" s="590"/>
      <c r="O197" s="590"/>
      <c r="P197" s="590"/>
      <c r="Q197" s="590"/>
      <c r="R197" s="590"/>
      <c r="S197" s="590"/>
      <c r="T197" s="590"/>
      <c r="U197" s="590"/>
      <c r="V197" s="590"/>
      <c r="W197" s="590"/>
      <c r="X197" s="590"/>
      <c r="Y197" s="590"/>
      <c r="Z197" s="590"/>
    </row>
    <row r="198" spans="1:26" ht="15" customHeight="1">
      <c r="A198" s="574"/>
      <c r="B198" s="737"/>
      <c r="C198" s="594"/>
      <c r="D198" s="594"/>
      <c r="E198" s="594"/>
      <c r="F198" s="594"/>
      <c r="G198" s="594"/>
      <c r="H198" s="594"/>
      <c r="I198" s="738"/>
      <c r="J198" s="739"/>
      <c r="K198" s="738"/>
      <c r="L198" s="590"/>
      <c r="M198" s="590"/>
      <c r="N198" s="590"/>
      <c r="O198" s="590"/>
      <c r="P198" s="590"/>
      <c r="Q198" s="590"/>
      <c r="R198" s="590"/>
      <c r="S198" s="590"/>
      <c r="T198" s="590"/>
      <c r="U198" s="590"/>
      <c r="V198" s="590"/>
      <c r="W198" s="590"/>
      <c r="X198" s="590"/>
      <c r="Y198" s="590"/>
      <c r="Z198" s="590"/>
    </row>
    <row r="199" spans="1:26" ht="31.5" customHeight="1">
      <c r="A199" s="574"/>
      <c r="B199" s="1082" t="s">
        <v>703</v>
      </c>
      <c r="C199" s="1023"/>
      <c r="D199" s="1023"/>
      <c r="E199" s="1023"/>
      <c r="F199" s="1023"/>
      <c r="G199" s="1023"/>
      <c r="H199" s="1023"/>
      <c r="I199" s="1023"/>
      <c r="J199" s="1040"/>
      <c r="K199" s="594"/>
      <c r="L199" s="590"/>
      <c r="M199" s="590"/>
      <c r="N199" s="590"/>
      <c r="O199" s="590"/>
      <c r="P199" s="590"/>
      <c r="Q199" s="590"/>
      <c r="R199" s="590"/>
      <c r="S199" s="590"/>
      <c r="T199" s="590"/>
      <c r="U199" s="590"/>
      <c r="V199" s="590"/>
      <c r="W199" s="590"/>
      <c r="X199" s="590"/>
      <c r="Y199" s="590"/>
      <c r="Z199" s="590"/>
    </row>
    <row r="200" spans="1:26" ht="45" customHeight="1">
      <c r="A200" s="574"/>
      <c r="B200" s="1083" t="s">
        <v>704</v>
      </c>
      <c r="C200" s="1009"/>
      <c r="D200" s="1009"/>
      <c r="E200" s="1010"/>
      <c r="F200" s="1083" t="s">
        <v>778</v>
      </c>
      <c r="G200" s="1010"/>
      <c r="H200" s="670" t="s">
        <v>707</v>
      </c>
      <c r="I200" s="1083" t="s">
        <v>708</v>
      </c>
      <c r="J200" s="1010"/>
      <c r="K200" s="592"/>
      <c r="L200" s="590"/>
      <c r="M200" s="590"/>
      <c r="N200" s="590"/>
      <c r="O200" s="590"/>
      <c r="P200" s="590"/>
      <c r="Q200" s="590"/>
      <c r="R200" s="590"/>
      <c r="S200" s="590"/>
      <c r="T200" s="590"/>
      <c r="U200" s="590"/>
      <c r="V200" s="590"/>
      <c r="W200" s="590"/>
      <c r="X200" s="590"/>
      <c r="Y200" s="590"/>
      <c r="Z200" s="590"/>
    </row>
    <row r="201" spans="1:26" ht="33" hidden="1" customHeight="1" outlineLevel="1">
      <c r="A201" s="574"/>
      <c r="B201" s="1069" t="s">
        <v>709</v>
      </c>
      <c r="C201" s="1009"/>
      <c r="D201" s="1009"/>
      <c r="E201" s="1010"/>
      <c r="F201" s="1081">
        <v>0</v>
      </c>
      <c r="G201" s="1010"/>
      <c r="H201" s="742">
        <f t="shared" ref="H201:H202" si="5">E201*F201</f>
        <v>0</v>
      </c>
      <c r="I201" s="1081">
        <f t="shared" ref="I201:I203" si="6">F201*H201</f>
        <v>0</v>
      </c>
      <c r="J201" s="1010"/>
      <c r="K201" s="717"/>
      <c r="L201" s="590"/>
      <c r="M201" s="590"/>
      <c r="N201" s="590"/>
      <c r="O201" s="590"/>
      <c r="P201" s="590"/>
      <c r="Q201" s="590"/>
      <c r="R201" s="590"/>
      <c r="S201" s="590"/>
      <c r="T201" s="590"/>
      <c r="U201" s="590"/>
      <c r="V201" s="590"/>
      <c r="W201" s="590"/>
      <c r="X201" s="590"/>
      <c r="Y201" s="590"/>
      <c r="Z201" s="590"/>
    </row>
    <row r="202" spans="1:26" ht="42.75" hidden="1" customHeight="1" outlineLevel="1">
      <c r="A202" s="574"/>
      <c r="B202" s="1069" t="s">
        <v>710</v>
      </c>
      <c r="C202" s="1009"/>
      <c r="D202" s="1009"/>
      <c r="E202" s="1010"/>
      <c r="F202" s="1081">
        <v>0</v>
      </c>
      <c r="G202" s="1010"/>
      <c r="H202" s="742">
        <f t="shared" si="5"/>
        <v>0</v>
      </c>
      <c r="I202" s="1081">
        <f t="shared" si="6"/>
        <v>0</v>
      </c>
      <c r="J202" s="1010"/>
      <c r="K202" s="717"/>
      <c r="L202" s="590"/>
      <c r="M202" s="590"/>
      <c r="N202" s="590"/>
      <c r="O202" s="590"/>
      <c r="P202" s="590"/>
      <c r="Q202" s="590"/>
      <c r="R202" s="590"/>
      <c r="S202" s="590"/>
      <c r="T202" s="590"/>
      <c r="U202" s="590"/>
      <c r="V202" s="590"/>
      <c r="W202" s="590"/>
      <c r="X202" s="590"/>
      <c r="Y202" s="590"/>
      <c r="Z202" s="590"/>
    </row>
    <row r="203" spans="1:26" ht="41.25" customHeight="1" collapsed="1">
      <c r="A203" s="574"/>
      <c r="B203" s="1098" t="str">
        <f>B3</f>
        <v>5132-05_COZINHEIRO_geral_hs</v>
      </c>
      <c r="C203" s="1009"/>
      <c r="D203" s="1009"/>
      <c r="E203" s="1010"/>
      <c r="F203" s="1087">
        <f>J195</f>
        <v>4705.18</v>
      </c>
      <c r="G203" s="1010"/>
      <c r="H203" s="742">
        <f>I17</f>
        <v>3</v>
      </c>
      <c r="I203" s="1081">
        <f t="shared" si="6"/>
        <v>14115.54</v>
      </c>
      <c r="J203" s="1010"/>
      <c r="K203" s="717"/>
      <c r="L203" s="590"/>
      <c r="M203" s="590"/>
      <c r="N203" s="590"/>
      <c r="O203" s="590"/>
      <c r="P203" s="590"/>
      <c r="Q203" s="590"/>
      <c r="R203" s="590"/>
      <c r="S203" s="590"/>
      <c r="T203" s="590"/>
      <c r="U203" s="590"/>
      <c r="V203" s="590"/>
      <c r="W203" s="590"/>
      <c r="X203" s="590"/>
      <c r="Y203" s="590"/>
      <c r="Z203" s="590"/>
    </row>
    <row r="204" spans="1:26" ht="41.25" hidden="1" customHeight="1" outlineLevel="1">
      <c r="A204" s="574"/>
      <c r="B204" s="1069" t="s">
        <v>711</v>
      </c>
      <c r="C204" s="1009"/>
      <c r="D204" s="1009"/>
      <c r="E204" s="1010"/>
      <c r="F204" s="1087">
        <v>0</v>
      </c>
      <c r="G204" s="1010"/>
      <c r="H204" s="742">
        <f t="shared" ref="H204:I204" si="7">E204*G204</f>
        <v>0</v>
      </c>
      <c r="I204" s="1081">
        <f t="shared" si="7"/>
        <v>0</v>
      </c>
      <c r="J204" s="1010"/>
      <c r="K204" s="717"/>
      <c r="L204" s="590"/>
      <c r="M204" s="590"/>
      <c r="N204" s="590"/>
      <c r="O204" s="590"/>
      <c r="P204" s="590"/>
      <c r="Q204" s="590"/>
      <c r="R204" s="590"/>
      <c r="S204" s="590"/>
      <c r="T204" s="590"/>
      <c r="U204" s="590"/>
      <c r="V204" s="590"/>
      <c r="W204" s="590"/>
      <c r="X204" s="590"/>
      <c r="Y204" s="590"/>
      <c r="Z204" s="590"/>
    </row>
    <row r="205" spans="1:26" ht="39.75" hidden="1" customHeight="1" outlineLevel="1">
      <c r="A205" s="574"/>
      <c r="B205" s="1069" t="s">
        <v>712</v>
      </c>
      <c r="C205" s="1009"/>
      <c r="D205" s="1009"/>
      <c r="E205" s="1010"/>
      <c r="F205" s="1087">
        <v>0</v>
      </c>
      <c r="G205" s="1010"/>
      <c r="H205" s="742">
        <f t="shared" ref="H205:I205" si="8">E205*G205</f>
        <v>0</v>
      </c>
      <c r="I205" s="1081">
        <f t="shared" si="8"/>
        <v>0</v>
      </c>
      <c r="J205" s="1010"/>
      <c r="K205" s="717"/>
      <c r="L205" s="590"/>
      <c r="M205" s="590"/>
      <c r="N205" s="590"/>
      <c r="O205" s="590"/>
      <c r="P205" s="590"/>
      <c r="Q205" s="590"/>
      <c r="R205" s="590"/>
      <c r="S205" s="590"/>
      <c r="T205" s="590"/>
      <c r="U205" s="590"/>
      <c r="V205" s="590"/>
      <c r="W205" s="590"/>
      <c r="X205" s="590"/>
      <c r="Y205" s="590"/>
      <c r="Z205" s="590"/>
    </row>
    <row r="206" spans="1:26" ht="35.25" hidden="1" customHeight="1" outlineLevel="1">
      <c r="A206" s="574"/>
      <c r="B206" s="1088" t="s">
        <v>779</v>
      </c>
      <c r="C206" s="1009"/>
      <c r="D206" s="1009"/>
      <c r="E206" s="1010"/>
      <c r="F206" s="1081">
        <v>0</v>
      </c>
      <c r="G206" s="1010"/>
      <c r="H206" s="742">
        <f t="shared" ref="H206:I206" si="9">E206*G206</f>
        <v>0</v>
      </c>
      <c r="I206" s="1081">
        <f t="shared" si="9"/>
        <v>0</v>
      </c>
      <c r="J206" s="1010"/>
      <c r="K206" s="717"/>
      <c r="L206" s="590"/>
      <c r="M206" s="590"/>
      <c r="N206" s="590"/>
      <c r="O206" s="590"/>
      <c r="P206" s="590"/>
      <c r="Q206" s="590"/>
      <c r="R206" s="590"/>
      <c r="S206" s="590"/>
      <c r="T206" s="590"/>
      <c r="U206" s="590"/>
      <c r="V206" s="590"/>
      <c r="W206" s="590"/>
      <c r="X206" s="590"/>
      <c r="Y206" s="590"/>
      <c r="Z206" s="590"/>
    </row>
    <row r="207" spans="1:26" ht="20.25" customHeight="1" collapsed="1">
      <c r="A207" s="574"/>
      <c r="B207" s="1089" t="s">
        <v>714</v>
      </c>
      <c r="C207" s="1009"/>
      <c r="D207" s="1009"/>
      <c r="E207" s="1009"/>
      <c r="F207" s="1009"/>
      <c r="G207" s="1010"/>
      <c r="H207" s="744">
        <f>SUM(H201:H206)</f>
        <v>3</v>
      </c>
      <c r="I207" s="1090">
        <f>SUM(I201:J206)</f>
        <v>14115.54</v>
      </c>
      <c r="J207" s="1010"/>
      <c r="K207" s="745"/>
      <c r="L207" s="590"/>
      <c r="M207" s="590"/>
      <c r="N207" s="590"/>
      <c r="O207" s="590"/>
      <c r="P207" s="590"/>
      <c r="Q207" s="590"/>
      <c r="R207" s="590"/>
      <c r="S207" s="590"/>
      <c r="T207" s="590"/>
      <c r="U207" s="590"/>
      <c r="V207" s="590"/>
      <c r="W207" s="590"/>
      <c r="X207" s="590"/>
      <c r="Y207" s="590"/>
      <c r="Z207" s="590"/>
    </row>
    <row r="208" spans="1:26" ht="6.75" customHeight="1">
      <c r="A208" s="574"/>
      <c r="B208" s="1174"/>
      <c r="C208" s="1092"/>
      <c r="D208" s="1092"/>
      <c r="E208" s="1092"/>
      <c r="F208" s="1092"/>
      <c r="G208" s="1092"/>
      <c r="H208" s="1092"/>
      <c r="I208" s="1092"/>
      <c r="J208" s="1093"/>
      <c r="K208" s="693"/>
      <c r="L208" s="590"/>
      <c r="M208" s="590"/>
      <c r="N208" s="590"/>
      <c r="O208" s="590"/>
      <c r="P208" s="590"/>
      <c r="Q208" s="590"/>
      <c r="R208" s="590"/>
      <c r="S208" s="590"/>
      <c r="T208" s="590"/>
      <c r="U208" s="590"/>
      <c r="V208" s="590"/>
      <c r="W208" s="590"/>
      <c r="X208" s="590"/>
      <c r="Y208" s="590"/>
      <c r="Z208" s="590"/>
    </row>
    <row r="209" spans="1:26" ht="17.25" customHeight="1">
      <c r="A209" s="574"/>
      <c r="B209" s="1071" t="s">
        <v>715</v>
      </c>
      <c r="C209" s="1060"/>
      <c r="D209" s="1060"/>
      <c r="E209" s="1060"/>
      <c r="F209" s="1060"/>
      <c r="G209" s="1060"/>
      <c r="H209" s="1060"/>
      <c r="I209" s="1060"/>
      <c r="J209" s="1062"/>
      <c r="K209" s="600"/>
      <c r="L209" s="590"/>
      <c r="M209" s="590"/>
      <c r="N209" s="590"/>
      <c r="O209" s="590"/>
      <c r="P209" s="590"/>
      <c r="Q209" s="590"/>
      <c r="R209" s="590"/>
      <c r="S209" s="590"/>
      <c r="T209" s="590"/>
      <c r="U209" s="590"/>
      <c r="V209" s="590"/>
      <c r="W209" s="590"/>
      <c r="X209" s="590"/>
      <c r="Y209" s="590"/>
      <c r="Z209" s="590"/>
    </row>
    <row r="210" spans="1:26" ht="6.75" customHeight="1">
      <c r="A210" s="574"/>
      <c r="B210" s="1072"/>
      <c r="C210" s="1009"/>
      <c r="D210" s="1009"/>
      <c r="E210" s="1009"/>
      <c r="F210" s="1009"/>
      <c r="G210" s="1009"/>
      <c r="H210" s="1009"/>
      <c r="I210" s="1009"/>
      <c r="J210" s="1010"/>
      <c r="K210" s="746"/>
      <c r="L210" s="590"/>
      <c r="M210" s="590"/>
      <c r="N210" s="590"/>
      <c r="O210" s="590"/>
      <c r="P210" s="590"/>
      <c r="Q210" s="590"/>
      <c r="R210" s="590"/>
      <c r="S210" s="590"/>
      <c r="T210" s="590"/>
      <c r="U210" s="590"/>
      <c r="V210" s="590"/>
      <c r="W210" s="590"/>
      <c r="X210" s="590"/>
      <c r="Y210" s="590"/>
      <c r="Z210" s="590"/>
    </row>
    <row r="211" spans="1:26" ht="18.75" customHeight="1">
      <c r="A211" s="574"/>
      <c r="B211" s="1069" t="s">
        <v>716</v>
      </c>
      <c r="C211" s="1009"/>
      <c r="D211" s="1009"/>
      <c r="E211" s="1009"/>
      <c r="F211" s="1009"/>
      <c r="G211" s="1010"/>
      <c r="H211" s="1073">
        <f>$I$207</f>
        <v>14115.54</v>
      </c>
      <c r="I211" s="1009"/>
      <c r="J211" s="1010"/>
      <c r="K211" s="603"/>
      <c r="L211" s="590"/>
      <c r="M211" s="590"/>
      <c r="N211" s="590"/>
      <c r="O211" s="590"/>
      <c r="P211" s="590"/>
      <c r="Q211" s="590"/>
      <c r="R211" s="590"/>
      <c r="S211" s="590"/>
      <c r="T211" s="590"/>
      <c r="U211" s="590"/>
      <c r="V211" s="590"/>
      <c r="W211" s="590"/>
      <c r="X211" s="590"/>
      <c r="Y211" s="590"/>
      <c r="Z211" s="590"/>
    </row>
    <row r="212" spans="1:26" ht="8.25" customHeight="1">
      <c r="A212" s="574"/>
      <c r="B212" s="1074"/>
      <c r="C212" s="1015"/>
      <c r="D212" s="1015"/>
      <c r="E212" s="1015"/>
      <c r="F212" s="1015"/>
      <c r="G212" s="1015"/>
      <c r="H212" s="1015"/>
      <c r="I212" s="1015"/>
      <c r="J212" s="1075"/>
      <c r="K212" s="700"/>
      <c r="L212" s="590"/>
      <c r="M212" s="590"/>
      <c r="N212" s="590"/>
      <c r="O212" s="590"/>
      <c r="P212" s="590"/>
      <c r="Q212" s="590"/>
      <c r="R212" s="590"/>
      <c r="S212" s="590"/>
      <c r="T212" s="590"/>
      <c r="U212" s="590"/>
      <c r="V212" s="590"/>
      <c r="W212" s="590"/>
      <c r="X212" s="590"/>
      <c r="Y212" s="590"/>
      <c r="Z212" s="590"/>
    </row>
    <row r="213" spans="1:26" ht="19.5" customHeight="1">
      <c r="A213" s="574"/>
      <c r="B213" s="1069" t="s">
        <v>717</v>
      </c>
      <c r="C213" s="1009"/>
      <c r="D213" s="1009"/>
      <c r="E213" s="1009"/>
      <c r="F213" s="1009"/>
      <c r="G213" s="1010"/>
      <c r="H213" s="1076">
        <f>$I$11</f>
        <v>30</v>
      </c>
      <c r="I213" s="1009"/>
      <c r="J213" s="1010"/>
      <c r="K213" s="593"/>
      <c r="L213" s="590"/>
      <c r="M213" s="590"/>
      <c r="N213" s="590"/>
      <c r="O213" s="590"/>
      <c r="P213" s="590"/>
      <c r="Q213" s="590"/>
      <c r="R213" s="590"/>
      <c r="S213" s="590"/>
      <c r="T213" s="590"/>
      <c r="U213" s="590"/>
      <c r="V213" s="590"/>
      <c r="W213" s="590"/>
      <c r="X213" s="590"/>
      <c r="Y213" s="590"/>
      <c r="Z213" s="590"/>
    </row>
    <row r="214" spans="1:26" ht="8.25" customHeight="1">
      <c r="A214" s="574"/>
      <c r="B214" s="1068"/>
      <c r="C214" s="1009"/>
      <c r="D214" s="1009"/>
      <c r="E214" s="1009"/>
      <c r="F214" s="1009"/>
      <c r="G214" s="1009"/>
      <c r="H214" s="1009"/>
      <c r="I214" s="1009"/>
      <c r="J214" s="1010"/>
      <c r="K214" s="594"/>
      <c r="L214" s="590"/>
      <c r="M214" s="590"/>
      <c r="N214" s="590"/>
      <c r="O214" s="590"/>
      <c r="P214" s="590"/>
      <c r="Q214" s="590"/>
      <c r="R214" s="590"/>
      <c r="S214" s="590"/>
      <c r="T214" s="590"/>
      <c r="U214" s="590"/>
      <c r="V214" s="590"/>
      <c r="W214" s="590"/>
      <c r="X214" s="590"/>
      <c r="Y214" s="590"/>
      <c r="Z214" s="590"/>
    </row>
    <row r="215" spans="1:26" ht="31.5" customHeight="1">
      <c r="A215" s="574"/>
      <c r="B215" s="1069" t="s">
        <v>780</v>
      </c>
      <c r="C215" s="1009"/>
      <c r="D215" s="1009"/>
      <c r="E215" s="1009"/>
      <c r="F215" s="1009"/>
      <c r="G215" s="1010"/>
      <c r="H215" s="1070">
        <f>ROUND(H211*H213,2)</f>
        <v>423466.2</v>
      </c>
      <c r="I215" s="1009"/>
      <c r="J215" s="1010"/>
      <c r="K215" s="747"/>
      <c r="L215" s="590"/>
      <c r="M215" s="590"/>
      <c r="N215" s="590"/>
      <c r="O215" s="590"/>
      <c r="P215" s="590"/>
      <c r="Q215" s="590"/>
      <c r="R215" s="590"/>
      <c r="S215" s="590"/>
      <c r="T215" s="590"/>
      <c r="U215" s="590"/>
      <c r="V215" s="590"/>
      <c r="W215" s="590"/>
      <c r="X215" s="590"/>
      <c r="Y215" s="590"/>
      <c r="Z215" s="590"/>
    </row>
    <row r="216" spans="1:26" ht="8.25" customHeight="1">
      <c r="A216" s="574"/>
      <c r="B216" s="1068"/>
      <c r="C216" s="1009"/>
      <c r="D216" s="1009"/>
      <c r="E216" s="1009"/>
      <c r="F216" s="1009"/>
      <c r="G216" s="1009"/>
      <c r="H216" s="1009"/>
      <c r="I216" s="1009"/>
      <c r="J216" s="1010"/>
      <c r="K216" s="594"/>
      <c r="L216" s="590"/>
      <c r="M216" s="590"/>
      <c r="N216" s="590"/>
      <c r="O216" s="590"/>
      <c r="P216" s="590"/>
      <c r="Q216" s="590"/>
      <c r="R216" s="590"/>
      <c r="S216" s="590"/>
      <c r="T216" s="590"/>
      <c r="U216" s="590"/>
      <c r="V216" s="590"/>
      <c r="W216" s="590"/>
      <c r="X216" s="590"/>
      <c r="Y216" s="590"/>
      <c r="Z216" s="590"/>
    </row>
    <row r="217" spans="1:26" ht="15.75" customHeight="1">
      <c r="A217" s="590"/>
      <c r="B217" s="590"/>
      <c r="C217" s="590"/>
      <c r="D217" s="590"/>
      <c r="E217" s="590"/>
      <c r="F217" s="590"/>
      <c r="G217" s="590"/>
      <c r="H217" s="590"/>
      <c r="I217" s="590"/>
      <c r="J217" s="590"/>
      <c r="K217" s="590"/>
      <c r="L217" s="590"/>
      <c r="M217" s="590"/>
      <c r="N217" s="590"/>
      <c r="O217" s="590"/>
      <c r="P217" s="590"/>
      <c r="Q217" s="590"/>
      <c r="R217" s="590"/>
      <c r="S217" s="590"/>
      <c r="T217" s="590"/>
      <c r="U217" s="590"/>
      <c r="V217" s="590"/>
      <c r="W217" s="590"/>
      <c r="X217" s="590"/>
      <c r="Y217" s="590"/>
      <c r="Z217" s="590"/>
    </row>
    <row r="218" spans="1:26" ht="15.75" customHeight="1">
      <c r="A218" s="590"/>
      <c r="B218" s="590"/>
      <c r="C218" s="590"/>
      <c r="D218" s="590"/>
      <c r="E218" s="590"/>
      <c r="F218" s="590"/>
      <c r="G218" s="590"/>
      <c r="H218" s="590"/>
      <c r="I218" s="590"/>
      <c r="J218" s="590"/>
      <c r="K218" s="590"/>
      <c r="L218" s="590"/>
      <c r="M218" s="590"/>
      <c r="N218" s="590"/>
      <c r="O218" s="590"/>
      <c r="P218" s="590"/>
      <c r="Q218" s="590"/>
      <c r="R218" s="590"/>
      <c r="S218" s="590"/>
      <c r="T218" s="590"/>
      <c r="U218" s="590"/>
      <c r="V218" s="590"/>
      <c r="W218" s="590"/>
      <c r="X218" s="590"/>
      <c r="Y218" s="590"/>
      <c r="Z218" s="590"/>
    </row>
    <row r="219" spans="1:26" ht="15.75" customHeight="1">
      <c r="A219" s="590"/>
      <c r="B219" s="590"/>
      <c r="C219" s="590"/>
      <c r="D219" s="590"/>
      <c r="E219" s="590"/>
      <c r="F219" s="590"/>
      <c r="G219" s="590"/>
      <c r="H219" s="590"/>
      <c r="I219" s="590"/>
      <c r="J219" s="590"/>
      <c r="K219" s="590"/>
      <c r="L219" s="590"/>
      <c r="M219" s="590"/>
      <c r="N219" s="590"/>
      <c r="O219" s="590"/>
      <c r="P219" s="590"/>
      <c r="Q219" s="590"/>
      <c r="R219" s="590"/>
      <c r="S219" s="590"/>
      <c r="T219" s="590"/>
      <c r="U219" s="590"/>
      <c r="V219" s="590"/>
      <c r="W219" s="590"/>
      <c r="X219" s="590"/>
      <c r="Y219" s="590"/>
      <c r="Z219" s="590"/>
    </row>
    <row r="220" spans="1:26" ht="15.75" customHeight="1">
      <c r="A220" s="590"/>
      <c r="B220" s="590"/>
      <c r="C220" s="590"/>
      <c r="D220" s="590"/>
      <c r="E220" s="590"/>
      <c r="F220" s="590"/>
      <c r="G220" s="590"/>
      <c r="H220" s="590"/>
      <c r="I220" s="590"/>
      <c r="J220" s="590"/>
      <c r="K220" s="590"/>
      <c r="L220" s="590"/>
      <c r="M220" s="590"/>
      <c r="N220" s="590"/>
      <c r="O220" s="590"/>
      <c r="P220" s="590"/>
      <c r="Q220" s="590"/>
      <c r="R220" s="590"/>
      <c r="S220" s="590"/>
      <c r="T220" s="590"/>
      <c r="U220" s="590"/>
      <c r="V220" s="590"/>
      <c r="W220" s="590"/>
      <c r="X220" s="590"/>
      <c r="Y220" s="590"/>
      <c r="Z220" s="590"/>
    </row>
    <row r="221" spans="1:26" ht="15.75" customHeight="1">
      <c r="A221" s="590"/>
      <c r="B221" s="590"/>
      <c r="C221" s="590"/>
      <c r="D221" s="590"/>
      <c r="E221" s="590"/>
      <c r="F221" s="590"/>
      <c r="G221" s="590"/>
      <c r="H221" s="590"/>
      <c r="I221" s="590"/>
      <c r="J221" s="590"/>
      <c r="K221" s="590"/>
      <c r="L221" s="590"/>
      <c r="M221" s="590"/>
      <c r="N221" s="590"/>
      <c r="O221" s="590"/>
      <c r="P221" s="590"/>
      <c r="Q221" s="590"/>
      <c r="R221" s="590"/>
      <c r="S221" s="590"/>
      <c r="T221" s="590"/>
      <c r="U221" s="590"/>
      <c r="V221" s="590"/>
      <c r="W221" s="590"/>
      <c r="X221" s="590"/>
      <c r="Y221" s="590"/>
      <c r="Z221" s="590"/>
    </row>
    <row r="222" spans="1:26" ht="15.75" customHeight="1">
      <c r="A222" s="590"/>
      <c r="B222" s="590"/>
      <c r="C222" s="590"/>
      <c r="D222" s="590"/>
      <c r="E222" s="590"/>
      <c r="F222" s="590"/>
      <c r="G222" s="590"/>
      <c r="H222" s="590"/>
      <c r="I222" s="590"/>
      <c r="J222" s="590"/>
      <c r="K222" s="590"/>
      <c r="L222" s="590"/>
      <c r="M222" s="590"/>
      <c r="N222" s="590"/>
      <c r="O222" s="590"/>
      <c r="P222" s="590"/>
      <c r="Q222" s="590"/>
      <c r="R222" s="590"/>
      <c r="S222" s="590"/>
      <c r="T222" s="590"/>
      <c r="U222" s="590"/>
      <c r="V222" s="590"/>
      <c r="W222" s="590"/>
      <c r="X222" s="590"/>
      <c r="Y222" s="590"/>
      <c r="Z222" s="590"/>
    </row>
    <row r="223" spans="1:26" ht="15.75" customHeight="1">
      <c r="A223" s="590"/>
      <c r="B223" s="590"/>
      <c r="C223" s="590"/>
      <c r="D223" s="590"/>
      <c r="E223" s="590"/>
      <c r="F223" s="590"/>
      <c r="G223" s="590"/>
      <c r="H223" s="590"/>
      <c r="I223" s="590"/>
      <c r="J223" s="590"/>
      <c r="K223" s="590"/>
      <c r="L223" s="590"/>
      <c r="M223" s="590"/>
      <c r="N223" s="590"/>
      <c r="O223" s="590"/>
      <c r="P223" s="590"/>
      <c r="Q223" s="590"/>
      <c r="R223" s="590"/>
      <c r="S223" s="590"/>
      <c r="T223" s="590"/>
      <c r="U223" s="590"/>
      <c r="V223" s="590"/>
      <c r="W223" s="590"/>
      <c r="X223" s="590"/>
      <c r="Y223" s="590"/>
      <c r="Z223" s="590"/>
    </row>
    <row r="224" spans="1:26" ht="15.75" customHeight="1">
      <c r="A224" s="590"/>
      <c r="B224" s="590"/>
      <c r="C224" s="590"/>
      <c r="D224" s="590"/>
      <c r="E224" s="590"/>
      <c r="F224" s="590"/>
      <c r="G224" s="590"/>
      <c r="H224" s="590"/>
      <c r="I224" s="590"/>
      <c r="J224" s="590"/>
      <c r="K224" s="590"/>
      <c r="L224" s="590"/>
      <c r="M224" s="590"/>
      <c r="N224" s="590"/>
      <c r="O224" s="590"/>
      <c r="P224" s="590"/>
      <c r="Q224" s="590"/>
      <c r="R224" s="590"/>
      <c r="S224" s="590"/>
      <c r="T224" s="590"/>
      <c r="U224" s="590"/>
      <c r="V224" s="590"/>
      <c r="W224" s="590"/>
      <c r="X224" s="590"/>
      <c r="Y224" s="590"/>
      <c r="Z224" s="590"/>
    </row>
    <row r="225" spans="1:26" ht="15.75" customHeight="1">
      <c r="A225" s="590"/>
      <c r="B225" s="590"/>
      <c r="C225" s="590"/>
      <c r="D225" s="590"/>
      <c r="E225" s="590"/>
      <c r="F225" s="590"/>
      <c r="G225" s="590"/>
      <c r="H225" s="590"/>
      <c r="I225" s="590"/>
      <c r="J225" s="590"/>
      <c r="K225" s="590"/>
      <c r="L225" s="590"/>
      <c r="M225" s="590"/>
      <c r="N225" s="590"/>
      <c r="O225" s="590"/>
      <c r="P225" s="590"/>
      <c r="Q225" s="590"/>
      <c r="R225" s="590"/>
      <c r="S225" s="590"/>
      <c r="T225" s="590"/>
      <c r="U225" s="590"/>
      <c r="V225" s="590"/>
      <c r="W225" s="590"/>
      <c r="X225" s="590"/>
      <c r="Y225" s="590"/>
      <c r="Z225" s="590"/>
    </row>
    <row r="226" spans="1:26" ht="15.75" customHeight="1">
      <c r="A226" s="590"/>
      <c r="B226" s="590"/>
      <c r="C226" s="590"/>
      <c r="D226" s="590"/>
      <c r="E226" s="590"/>
      <c r="F226" s="590"/>
      <c r="G226" s="590"/>
      <c r="H226" s="590"/>
      <c r="I226" s="590"/>
      <c r="J226" s="590"/>
      <c r="K226" s="590"/>
      <c r="L226" s="590"/>
      <c r="M226" s="590"/>
      <c r="N226" s="590"/>
      <c r="O226" s="590"/>
      <c r="P226" s="590"/>
      <c r="Q226" s="590"/>
      <c r="R226" s="590"/>
      <c r="S226" s="590"/>
      <c r="T226" s="590"/>
      <c r="U226" s="590"/>
      <c r="V226" s="590"/>
      <c r="W226" s="590"/>
      <c r="X226" s="590"/>
      <c r="Y226" s="590"/>
      <c r="Z226" s="590"/>
    </row>
    <row r="227" spans="1:26" ht="15.75" customHeight="1">
      <c r="A227" s="590"/>
      <c r="B227" s="590"/>
      <c r="C227" s="590"/>
      <c r="D227" s="590"/>
      <c r="E227" s="590"/>
      <c r="F227" s="590"/>
      <c r="G227" s="590"/>
      <c r="H227" s="590"/>
      <c r="I227" s="590"/>
      <c r="J227" s="590"/>
      <c r="K227" s="590"/>
      <c r="L227" s="590"/>
      <c r="M227" s="590"/>
      <c r="N227" s="590"/>
      <c r="O227" s="590"/>
      <c r="P227" s="590"/>
      <c r="Q227" s="590"/>
      <c r="R227" s="590"/>
      <c r="S227" s="590"/>
      <c r="T227" s="590"/>
      <c r="U227" s="590"/>
      <c r="V227" s="590"/>
      <c r="W227" s="590"/>
      <c r="X227" s="590"/>
      <c r="Y227" s="590"/>
      <c r="Z227" s="590"/>
    </row>
    <row r="228" spans="1:26" ht="15.75" customHeight="1">
      <c r="A228" s="590"/>
      <c r="B228" s="590"/>
      <c r="C228" s="590"/>
      <c r="D228" s="590"/>
      <c r="E228" s="590"/>
      <c r="F228" s="590"/>
      <c r="G228" s="590"/>
      <c r="H228" s="590"/>
      <c r="I228" s="590"/>
      <c r="J228" s="590"/>
      <c r="K228" s="590"/>
      <c r="L228" s="590"/>
      <c r="M228" s="590"/>
      <c r="N228" s="590"/>
      <c r="O228" s="590"/>
      <c r="P228" s="590"/>
      <c r="Q228" s="590"/>
      <c r="R228" s="590"/>
      <c r="S228" s="590"/>
      <c r="T228" s="590"/>
      <c r="U228" s="590"/>
      <c r="V228" s="590"/>
      <c r="W228" s="590"/>
      <c r="X228" s="590"/>
      <c r="Y228" s="590"/>
      <c r="Z228" s="590"/>
    </row>
    <row r="229" spans="1:26" ht="15.75" customHeight="1">
      <c r="A229" s="590"/>
      <c r="B229" s="590"/>
      <c r="C229" s="590"/>
      <c r="D229" s="590"/>
      <c r="E229" s="590"/>
      <c r="F229" s="590"/>
      <c r="G229" s="590"/>
      <c r="H229" s="590"/>
      <c r="I229" s="590"/>
      <c r="J229" s="590"/>
      <c r="K229" s="590"/>
      <c r="L229" s="590"/>
      <c r="M229" s="590"/>
      <c r="N229" s="590"/>
      <c r="O229" s="590"/>
      <c r="P229" s="590"/>
      <c r="Q229" s="590"/>
      <c r="R229" s="590"/>
      <c r="S229" s="590"/>
      <c r="T229" s="590"/>
      <c r="U229" s="590"/>
      <c r="V229" s="590"/>
      <c r="W229" s="590"/>
      <c r="X229" s="590"/>
      <c r="Y229" s="590"/>
      <c r="Z229" s="590"/>
    </row>
    <row r="230" spans="1:26" ht="15.75" customHeight="1">
      <c r="A230" s="590"/>
      <c r="B230" s="590"/>
      <c r="C230" s="590"/>
      <c r="D230" s="590"/>
      <c r="E230" s="590"/>
      <c r="F230" s="590"/>
      <c r="G230" s="590"/>
      <c r="H230" s="590"/>
      <c r="I230" s="590"/>
      <c r="J230" s="590"/>
      <c r="K230" s="590"/>
      <c r="L230" s="590"/>
      <c r="M230" s="590"/>
      <c r="N230" s="590"/>
      <c r="O230" s="590"/>
      <c r="P230" s="590"/>
      <c r="Q230" s="590"/>
      <c r="R230" s="590"/>
      <c r="S230" s="590"/>
      <c r="T230" s="590"/>
      <c r="U230" s="590"/>
      <c r="V230" s="590"/>
      <c r="W230" s="590"/>
      <c r="X230" s="590"/>
      <c r="Y230" s="590"/>
      <c r="Z230" s="590"/>
    </row>
    <row r="231" spans="1:26" ht="15.75" customHeight="1">
      <c r="A231" s="590"/>
      <c r="B231" s="590"/>
      <c r="C231" s="590"/>
      <c r="D231" s="590"/>
      <c r="E231" s="590"/>
      <c r="F231" s="590"/>
      <c r="G231" s="590"/>
      <c r="H231" s="590"/>
      <c r="I231" s="590"/>
      <c r="J231" s="590"/>
      <c r="K231" s="590"/>
      <c r="L231" s="590"/>
      <c r="M231" s="590"/>
      <c r="N231" s="590"/>
      <c r="O231" s="590"/>
      <c r="P231" s="590"/>
      <c r="Q231" s="590"/>
      <c r="R231" s="590"/>
      <c r="S231" s="590"/>
      <c r="T231" s="590"/>
      <c r="U231" s="590"/>
      <c r="V231" s="590"/>
      <c r="W231" s="590"/>
      <c r="X231" s="590"/>
      <c r="Y231" s="590"/>
      <c r="Z231" s="590"/>
    </row>
    <row r="232" spans="1:26" ht="15.75" customHeight="1">
      <c r="A232" s="590"/>
      <c r="B232" s="590"/>
      <c r="C232" s="590"/>
      <c r="D232" s="590"/>
      <c r="E232" s="590"/>
      <c r="F232" s="590"/>
      <c r="G232" s="590"/>
      <c r="H232" s="590"/>
      <c r="I232" s="590"/>
      <c r="J232" s="590"/>
      <c r="K232" s="590"/>
      <c r="L232" s="590"/>
      <c r="M232" s="590"/>
      <c r="N232" s="590"/>
      <c r="O232" s="590"/>
      <c r="P232" s="590"/>
      <c r="Q232" s="590"/>
      <c r="R232" s="590"/>
      <c r="S232" s="590"/>
      <c r="T232" s="590"/>
      <c r="U232" s="590"/>
      <c r="V232" s="590"/>
      <c r="W232" s="590"/>
      <c r="X232" s="590"/>
      <c r="Y232" s="590"/>
      <c r="Z232" s="590"/>
    </row>
    <row r="233" spans="1:26" ht="15.75" customHeight="1">
      <c r="A233" s="590"/>
      <c r="B233" s="590"/>
      <c r="C233" s="590"/>
      <c r="D233" s="590"/>
      <c r="E233" s="590"/>
      <c r="F233" s="590"/>
      <c r="G233" s="590"/>
      <c r="H233" s="590"/>
      <c r="I233" s="590"/>
      <c r="J233" s="590"/>
      <c r="K233" s="590"/>
      <c r="L233" s="590"/>
      <c r="M233" s="590"/>
      <c r="N233" s="590"/>
      <c r="O233" s="590"/>
      <c r="P233" s="590"/>
      <c r="Q233" s="590"/>
      <c r="R233" s="590"/>
      <c r="S233" s="590"/>
      <c r="T233" s="590"/>
      <c r="U233" s="590"/>
      <c r="V233" s="590"/>
      <c r="W233" s="590"/>
      <c r="X233" s="590"/>
      <c r="Y233" s="590"/>
      <c r="Z233" s="590"/>
    </row>
    <row r="234" spans="1:26" ht="15.75" customHeight="1">
      <c r="A234" s="590"/>
      <c r="B234" s="590"/>
      <c r="C234" s="590"/>
      <c r="D234" s="590"/>
      <c r="E234" s="590"/>
      <c r="F234" s="590"/>
      <c r="G234" s="590"/>
      <c r="H234" s="590"/>
      <c r="I234" s="590"/>
      <c r="J234" s="590"/>
      <c r="K234" s="590"/>
      <c r="L234" s="590"/>
      <c r="M234" s="590"/>
      <c r="N234" s="590"/>
      <c r="O234" s="590"/>
      <c r="P234" s="590"/>
      <c r="Q234" s="590"/>
      <c r="R234" s="590"/>
      <c r="S234" s="590"/>
      <c r="T234" s="590"/>
      <c r="U234" s="590"/>
      <c r="V234" s="590"/>
      <c r="W234" s="590"/>
      <c r="X234" s="590"/>
      <c r="Y234" s="590"/>
      <c r="Z234" s="590"/>
    </row>
    <row r="235" spans="1:26" ht="15.75" customHeight="1">
      <c r="A235" s="590"/>
      <c r="B235" s="590"/>
      <c r="C235" s="590"/>
      <c r="D235" s="590"/>
      <c r="E235" s="590"/>
      <c r="F235" s="590"/>
      <c r="G235" s="590"/>
      <c r="H235" s="590"/>
      <c r="I235" s="590"/>
      <c r="J235" s="590"/>
      <c r="K235" s="590"/>
      <c r="L235" s="590"/>
      <c r="M235" s="590"/>
      <c r="N235" s="590"/>
      <c r="O235" s="590"/>
      <c r="P235" s="590"/>
      <c r="Q235" s="590"/>
      <c r="R235" s="590"/>
      <c r="S235" s="590"/>
      <c r="T235" s="590"/>
      <c r="U235" s="590"/>
      <c r="V235" s="590"/>
      <c r="W235" s="590"/>
      <c r="X235" s="590"/>
      <c r="Y235" s="590"/>
      <c r="Z235" s="590"/>
    </row>
    <row r="236" spans="1:26" ht="15.75" customHeight="1">
      <c r="A236" s="590"/>
      <c r="B236" s="590"/>
      <c r="C236" s="590"/>
      <c r="D236" s="590"/>
      <c r="E236" s="590"/>
      <c r="F236" s="590"/>
      <c r="G236" s="590"/>
      <c r="H236" s="590"/>
      <c r="I236" s="590"/>
      <c r="J236" s="590"/>
      <c r="K236" s="590"/>
      <c r="L236" s="590"/>
      <c r="M236" s="590"/>
      <c r="N236" s="590"/>
      <c r="O236" s="590"/>
      <c r="P236" s="590"/>
      <c r="Q236" s="590"/>
      <c r="R236" s="590"/>
      <c r="S236" s="590"/>
      <c r="T236" s="590"/>
      <c r="U236" s="590"/>
      <c r="V236" s="590"/>
      <c r="W236" s="590"/>
      <c r="X236" s="590"/>
      <c r="Y236" s="590"/>
      <c r="Z236" s="590"/>
    </row>
    <row r="237" spans="1:26" ht="15.75" customHeight="1">
      <c r="A237" s="590"/>
      <c r="B237" s="590"/>
      <c r="C237" s="590"/>
      <c r="D237" s="590"/>
      <c r="E237" s="590"/>
      <c r="F237" s="590"/>
      <c r="G237" s="590"/>
      <c r="H237" s="590"/>
      <c r="I237" s="590"/>
      <c r="J237" s="590"/>
      <c r="K237" s="590"/>
      <c r="L237" s="590"/>
      <c r="M237" s="590"/>
      <c r="N237" s="590"/>
      <c r="O237" s="590"/>
      <c r="P237" s="590"/>
      <c r="Q237" s="590"/>
      <c r="R237" s="590"/>
      <c r="S237" s="590"/>
      <c r="T237" s="590"/>
      <c r="U237" s="590"/>
      <c r="V237" s="590"/>
      <c r="W237" s="590"/>
      <c r="X237" s="590"/>
      <c r="Y237" s="590"/>
      <c r="Z237" s="590"/>
    </row>
    <row r="238" spans="1:26" ht="15.75" customHeight="1">
      <c r="A238" s="590"/>
      <c r="B238" s="590"/>
      <c r="C238" s="590"/>
      <c r="D238" s="590"/>
      <c r="E238" s="590"/>
      <c r="F238" s="590"/>
      <c r="G238" s="590"/>
      <c r="H238" s="590"/>
      <c r="I238" s="590"/>
      <c r="J238" s="590"/>
      <c r="K238" s="590"/>
      <c r="L238" s="590"/>
      <c r="M238" s="590"/>
      <c r="N238" s="590"/>
      <c r="O238" s="590"/>
      <c r="P238" s="590"/>
      <c r="Q238" s="590"/>
      <c r="R238" s="590"/>
      <c r="S238" s="590"/>
      <c r="T238" s="590"/>
      <c r="U238" s="590"/>
      <c r="V238" s="590"/>
      <c r="W238" s="590"/>
      <c r="X238" s="590"/>
      <c r="Y238" s="590"/>
      <c r="Z238" s="590"/>
    </row>
    <row r="239" spans="1:26" ht="15.75" customHeight="1">
      <c r="A239" s="590"/>
      <c r="B239" s="590"/>
      <c r="C239" s="590"/>
      <c r="D239" s="590"/>
      <c r="E239" s="590"/>
      <c r="F239" s="590"/>
      <c r="G239" s="590"/>
      <c r="H239" s="590"/>
      <c r="I239" s="590"/>
      <c r="J239" s="590"/>
      <c r="K239" s="590"/>
      <c r="L239" s="590"/>
      <c r="M239" s="590"/>
      <c r="N239" s="590"/>
      <c r="O239" s="590"/>
      <c r="P239" s="590"/>
      <c r="Q239" s="590"/>
      <c r="R239" s="590"/>
      <c r="S239" s="590"/>
      <c r="T239" s="590"/>
      <c r="U239" s="590"/>
      <c r="V239" s="590"/>
      <c r="W239" s="590"/>
      <c r="X239" s="590"/>
      <c r="Y239" s="590"/>
      <c r="Z239" s="590"/>
    </row>
    <row r="240" spans="1:26" ht="15.75" customHeight="1">
      <c r="A240" s="590"/>
      <c r="B240" s="590"/>
      <c r="C240" s="590"/>
      <c r="D240" s="590"/>
      <c r="E240" s="590"/>
      <c r="F240" s="590"/>
      <c r="G240" s="590"/>
      <c r="H240" s="590"/>
      <c r="I240" s="590"/>
      <c r="J240" s="590"/>
      <c r="K240" s="590"/>
      <c r="L240" s="590"/>
      <c r="M240" s="590"/>
      <c r="N240" s="590"/>
      <c r="O240" s="590"/>
      <c r="P240" s="590"/>
      <c r="Q240" s="590"/>
      <c r="R240" s="590"/>
      <c r="S240" s="590"/>
      <c r="T240" s="590"/>
      <c r="U240" s="590"/>
      <c r="V240" s="590"/>
      <c r="W240" s="590"/>
      <c r="X240" s="590"/>
      <c r="Y240" s="590"/>
      <c r="Z240" s="590"/>
    </row>
    <row r="241" spans="1:26" ht="15.75" customHeight="1">
      <c r="A241" s="590"/>
      <c r="B241" s="590"/>
      <c r="C241" s="590"/>
      <c r="D241" s="590"/>
      <c r="E241" s="590"/>
      <c r="F241" s="590"/>
      <c r="G241" s="590"/>
      <c r="H241" s="590"/>
      <c r="I241" s="590"/>
      <c r="J241" s="590"/>
      <c r="K241" s="590"/>
      <c r="L241" s="590"/>
      <c r="M241" s="590"/>
      <c r="N241" s="590"/>
      <c r="O241" s="590"/>
      <c r="P241" s="590"/>
      <c r="Q241" s="590"/>
      <c r="R241" s="590"/>
      <c r="S241" s="590"/>
      <c r="T241" s="590"/>
      <c r="U241" s="590"/>
      <c r="V241" s="590"/>
      <c r="W241" s="590"/>
      <c r="X241" s="590"/>
      <c r="Y241" s="590"/>
      <c r="Z241" s="590"/>
    </row>
    <row r="242" spans="1:26" ht="15.75" customHeight="1">
      <c r="A242" s="590"/>
      <c r="B242" s="590"/>
      <c r="C242" s="590"/>
      <c r="D242" s="590"/>
      <c r="E242" s="590"/>
      <c r="F242" s="590"/>
      <c r="G242" s="590"/>
      <c r="H242" s="590"/>
      <c r="I242" s="590"/>
      <c r="J242" s="590"/>
      <c r="K242" s="590"/>
      <c r="L242" s="590"/>
      <c r="M242" s="590"/>
      <c r="N242" s="590"/>
      <c r="O242" s="590"/>
      <c r="P242" s="590"/>
      <c r="Q242" s="590"/>
      <c r="R242" s="590"/>
      <c r="S242" s="590"/>
      <c r="T242" s="590"/>
      <c r="U242" s="590"/>
      <c r="V242" s="590"/>
      <c r="W242" s="590"/>
      <c r="X242" s="590"/>
      <c r="Y242" s="590"/>
      <c r="Z242" s="590"/>
    </row>
    <row r="243" spans="1:26" ht="15.75" customHeight="1">
      <c r="A243" s="590"/>
      <c r="B243" s="590"/>
      <c r="C243" s="590"/>
      <c r="D243" s="590"/>
      <c r="E243" s="590"/>
      <c r="F243" s="590"/>
      <c r="G243" s="590"/>
      <c r="H243" s="590"/>
      <c r="I243" s="590"/>
      <c r="J243" s="590"/>
      <c r="K243" s="590"/>
      <c r="L243" s="590"/>
      <c r="M243" s="590"/>
      <c r="N243" s="590"/>
      <c r="O243" s="590"/>
      <c r="P243" s="590"/>
      <c r="Q243" s="590"/>
      <c r="R243" s="590"/>
      <c r="S243" s="590"/>
      <c r="T243" s="590"/>
      <c r="U243" s="590"/>
      <c r="V243" s="590"/>
      <c r="W243" s="590"/>
      <c r="X243" s="590"/>
      <c r="Y243" s="590"/>
      <c r="Z243" s="590"/>
    </row>
    <row r="244" spans="1:26" ht="15.75" customHeight="1">
      <c r="A244" s="590"/>
      <c r="B244" s="590"/>
      <c r="C244" s="590"/>
      <c r="D244" s="590"/>
      <c r="E244" s="590"/>
      <c r="F244" s="590"/>
      <c r="G244" s="590"/>
      <c r="H244" s="590"/>
      <c r="I244" s="590"/>
      <c r="J244" s="590"/>
      <c r="K244" s="590"/>
      <c r="L244" s="590"/>
      <c r="M244" s="590"/>
      <c r="N244" s="590"/>
      <c r="O244" s="590"/>
      <c r="P244" s="590"/>
      <c r="Q244" s="590"/>
      <c r="R244" s="590"/>
      <c r="S244" s="590"/>
      <c r="T244" s="590"/>
      <c r="U244" s="590"/>
      <c r="V244" s="590"/>
      <c r="W244" s="590"/>
      <c r="X244" s="590"/>
      <c r="Y244" s="590"/>
      <c r="Z244" s="590"/>
    </row>
    <row r="245" spans="1:26" ht="15.75" customHeight="1">
      <c r="A245" s="590"/>
      <c r="B245" s="590"/>
      <c r="C245" s="590"/>
      <c r="D245" s="590"/>
      <c r="E245" s="590"/>
      <c r="F245" s="590"/>
      <c r="G245" s="590"/>
      <c r="H245" s="590"/>
      <c r="I245" s="590"/>
      <c r="J245" s="590"/>
      <c r="K245" s="590"/>
      <c r="L245" s="590"/>
      <c r="M245" s="590"/>
      <c r="N245" s="590"/>
      <c r="O245" s="590"/>
      <c r="P245" s="590"/>
      <c r="Q245" s="590"/>
      <c r="R245" s="590"/>
      <c r="S245" s="590"/>
      <c r="T245" s="590"/>
      <c r="U245" s="590"/>
      <c r="V245" s="590"/>
      <c r="W245" s="590"/>
      <c r="X245" s="590"/>
      <c r="Y245" s="590"/>
      <c r="Z245" s="590"/>
    </row>
    <row r="246" spans="1:26" ht="15.75" customHeight="1">
      <c r="A246" s="590"/>
      <c r="B246" s="590"/>
      <c r="C246" s="590"/>
      <c r="D246" s="590"/>
      <c r="E246" s="590"/>
      <c r="F246" s="590"/>
      <c r="G246" s="590"/>
      <c r="H246" s="590"/>
      <c r="I246" s="590"/>
      <c r="J246" s="590"/>
      <c r="K246" s="590"/>
      <c r="L246" s="590"/>
      <c r="M246" s="590"/>
      <c r="N246" s="590"/>
      <c r="O246" s="590"/>
      <c r="P246" s="590"/>
      <c r="Q246" s="590"/>
      <c r="R246" s="590"/>
      <c r="S246" s="590"/>
      <c r="T246" s="590"/>
      <c r="U246" s="590"/>
      <c r="V246" s="590"/>
      <c r="W246" s="590"/>
      <c r="X246" s="590"/>
      <c r="Y246" s="590"/>
      <c r="Z246" s="590"/>
    </row>
    <row r="247" spans="1:26" ht="15.75" customHeight="1">
      <c r="A247" s="590"/>
      <c r="B247" s="590"/>
      <c r="C247" s="590"/>
      <c r="D247" s="590"/>
      <c r="E247" s="590"/>
      <c r="F247" s="590"/>
      <c r="G247" s="590"/>
      <c r="H247" s="590"/>
      <c r="I247" s="590"/>
      <c r="J247" s="590"/>
      <c r="K247" s="590"/>
      <c r="L247" s="590"/>
      <c r="M247" s="590"/>
      <c r="N247" s="590"/>
      <c r="O247" s="590"/>
      <c r="P247" s="590"/>
      <c r="Q247" s="590"/>
      <c r="R247" s="590"/>
      <c r="S247" s="590"/>
      <c r="T247" s="590"/>
      <c r="U247" s="590"/>
      <c r="V247" s="590"/>
      <c r="W247" s="590"/>
      <c r="X247" s="590"/>
      <c r="Y247" s="590"/>
      <c r="Z247" s="590"/>
    </row>
    <row r="248" spans="1:26" ht="15.75" customHeight="1">
      <c r="A248" s="590"/>
      <c r="B248" s="590"/>
      <c r="C248" s="590"/>
      <c r="D248" s="590"/>
      <c r="E248" s="590"/>
      <c r="F248" s="590"/>
      <c r="G248" s="590"/>
      <c r="H248" s="590"/>
      <c r="I248" s="590"/>
      <c r="J248" s="590"/>
      <c r="K248" s="590"/>
      <c r="L248" s="590"/>
      <c r="M248" s="590"/>
      <c r="N248" s="590"/>
      <c r="O248" s="590"/>
      <c r="P248" s="590"/>
      <c r="Q248" s="590"/>
      <c r="R248" s="590"/>
      <c r="S248" s="590"/>
      <c r="T248" s="590"/>
      <c r="U248" s="590"/>
      <c r="V248" s="590"/>
      <c r="W248" s="590"/>
      <c r="X248" s="590"/>
      <c r="Y248" s="590"/>
      <c r="Z248" s="590"/>
    </row>
    <row r="249" spans="1:26" ht="15.75" customHeight="1">
      <c r="A249" s="590"/>
      <c r="B249" s="590"/>
      <c r="C249" s="590"/>
      <c r="D249" s="590"/>
      <c r="E249" s="590"/>
      <c r="F249" s="590"/>
      <c r="G249" s="590"/>
      <c r="H249" s="590"/>
      <c r="I249" s="590"/>
      <c r="J249" s="590"/>
      <c r="K249" s="590"/>
      <c r="L249" s="590"/>
      <c r="M249" s="590"/>
      <c r="N249" s="590"/>
      <c r="O249" s="590"/>
      <c r="P249" s="590"/>
      <c r="Q249" s="590"/>
      <c r="R249" s="590"/>
      <c r="S249" s="590"/>
      <c r="T249" s="590"/>
      <c r="U249" s="590"/>
      <c r="V249" s="590"/>
      <c r="W249" s="590"/>
      <c r="X249" s="590"/>
      <c r="Y249" s="590"/>
      <c r="Z249" s="590"/>
    </row>
    <row r="250" spans="1:26" ht="15.75" customHeight="1">
      <c r="A250" s="590"/>
      <c r="B250" s="590"/>
      <c r="C250" s="590"/>
      <c r="D250" s="590"/>
      <c r="E250" s="590"/>
      <c r="F250" s="590"/>
      <c r="G250" s="590"/>
      <c r="H250" s="590"/>
      <c r="I250" s="590"/>
      <c r="J250" s="590"/>
      <c r="K250" s="590"/>
      <c r="L250" s="590"/>
      <c r="M250" s="590"/>
      <c r="N250" s="590"/>
      <c r="O250" s="590"/>
      <c r="P250" s="590"/>
      <c r="Q250" s="590"/>
      <c r="R250" s="590"/>
      <c r="S250" s="590"/>
      <c r="T250" s="590"/>
      <c r="U250" s="590"/>
      <c r="V250" s="590"/>
      <c r="W250" s="590"/>
      <c r="X250" s="590"/>
      <c r="Y250" s="590"/>
      <c r="Z250" s="590"/>
    </row>
    <row r="251" spans="1:26" ht="15.75" customHeight="1">
      <c r="A251" s="590"/>
      <c r="B251" s="590"/>
      <c r="C251" s="590"/>
      <c r="D251" s="590"/>
      <c r="E251" s="590"/>
      <c r="F251" s="590"/>
      <c r="G251" s="590"/>
      <c r="H251" s="590"/>
      <c r="I251" s="590"/>
      <c r="J251" s="590"/>
      <c r="K251" s="590"/>
      <c r="L251" s="590"/>
      <c r="M251" s="590"/>
      <c r="N251" s="590"/>
      <c r="O251" s="590"/>
      <c r="P251" s="590"/>
      <c r="Q251" s="590"/>
      <c r="R251" s="590"/>
      <c r="S251" s="590"/>
      <c r="T251" s="590"/>
      <c r="U251" s="590"/>
      <c r="V251" s="590"/>
      <c r="W251" s="590"/>
      <c r="X251" s="590"/>
      <c r="Y251" s="590"/>
      <c r="Z251" s="590"/>
    </row>
    <row r="252" spans="1:26" ht="15.75" customHeight="1">
      <c r="A252" s="590"/>
      <c r="B252" s="590"/>
      <c r="C252" s="590"/>
      <c r="D252" s="590"/>
      <c r="E252" s="590"/>
      <c r="F252" s="590"/>
      <c r="G252" s="590"/>
      <c r="H252" s="590"/>
      <c r="I252" s="590"/>
      <c r="J252" s="590"/>
      <c r="K252" s="590"/>
      <c r="L252" s="590"/>
      <c r="M252" s="590"/>
      <c r="N252" s="590"/>
      <c r="O252" s="590"/>
      <c r="P252" s="590"/>
      <c r="Q252" s="590"/>
      <c r="R252" s="590"/>
      <c r="S252" s="590"/>
      <c r="T252" s="590"/>
      <c r="U252" s="590"/>
      <c r="V252" s="590"/>
      <c r="W252" s="590"/>
      <c r="X252" s="590"/>
      <c r="Y252" s="590"/>
      <c r="Z252" s="590"/>
    </row>
    <row r="253" spans="1:26" ht="15.75" customHeight="1">
      <c r="A253" s="590"/>
      <c r="B253" s="590"/>
      <c r="C253" s="590"/>
      <c r="D253" s="590"/>
      <c r="E253" s="590"/>
      <c r="F253" s="590"/>
      <c r="G253" s="590"/>
      <c r="H253" s="590"/>
      <c r="I253" s="590"/>
      <c r="J253" s="590"/>
      <c r="K253" s="590"/>
      <c r="L253" s="590"/>
      <c r="M253" s="590"/>
      <c r="N253" s="590"/>
      <c r="O253" s="590"/>
      <c r="P253" s="590"/>
      <c r="Q253" s="590"/>
      <c r="R253" s="590"/>
      <c r="S253" s="590"/>
      <c r="T253" s="590"/>
      <c r="U253" s="590"/>
      <c r="V253" s="590"/>
      <c r="W253" s="590"/>
      <c r="X253" s="590"/>
      <c r="Y253" s="590"/>
      <c r="Z253" s="590"/>
    </row>
    <row r="254" spans="1:26" ht="15.75" customHeight="1">
      <c r="A254" s="590"/>
      <c r="B254" s="590"/>
      <c r="C254" s="590"/>
      <c r="D254" s="590"/>
      <c r="E254" s="590"/>
      <c r="F254" s="590"/>
      <c r="G254" s="590"/>
      <c r="H254" s="590"/>
      <c r="I254" s="590"/>
      <c r="J254" s="590"/>
      <c r="K254" s="590"/>
      <c r="L254" s="590"/>
      <c r="M254" s="590"/>
      <c r="N254" s="590"/>
      <c r="O254" s="590"/>
      <c r="P254" s="590"/>
      <c r="Q254" s="590"/>
      <c r="R254" s="590"/>
      <c r="S254" s="590"/>
      <c r="T254" s="590"/>
      <c r="U254" s="590"/>
      <c r="V254" s="590"/>
      <c r="W254" s="590"/>
      <c r="X254" s="590"/>
      <c r="Y254" s="590"/>
      <c r="Z254" s="590"/>
    </row>
    <row r="255" spans="1:26" ht="15.75" customHeight="1">
      <c r="A255" s="590"/>
      <c r="B255" s="590"/>
      <c r="C255" s="590"/>
      <c r="D255" s="590"/>
      <c r="E255" s="590"/>
      <c r="F255" s="590"/>
      <c r="G255" s="590"/>
      <c r="H255" s="590"/>
      <c r="I255" s="590"/>
      <c r="J255" s="590"/>
      <c r="K255" s="590"/>
      <c r="L255" s="590"/>
      <c r="M255" s="590"/>
      <c r="N255" s="590"/>
      <c r="O255" s="590"/>
      <c r="P255" s="590"/>
      <c r="Q255" s="590"/>
      <c r="R255" s="590"/>
      <c r="S255" s="590"/>
      <c r="T255" s="590"/>
      <c r="U255" s="590"/>
      <c r="V255" s="590"/>
      <c r="W255" s="590"/>
      <c r="X255" s="590"/>
      <c r="Y255" s="590"/>
      <c r="Z255" s="590"/>
    </row>
    <row r="256" spans="1:26" ht="15.75" customHeight="1">
      <c r="A256" s="590"/>
      <c r="B256" s="590"/>
      <c r="C256" s="590"/>
      <c r="D256" s="590"/>
      <c r="E256" s="590"/>
      <c r="F256" s="590"/>
      <c r="G256" s="590"/>
      <c r="H256" s="590"/>
      <c r="I256" s="590"/>
      <c r="J256" s="590"/>
      <c r="K256" s="590"/>
      <c r="L256" s="590"/>
      <c r="M256" s="590"/>
      <c r="N256" s="590"/>
      <c r="O256" s="590"/>
      <c r="P256" s="590"/>
      <c r="Q256" s="590"/>
      <c r="R256" s="590"/>
      <c r="S256" s="590"/>
      <c r="T256" s="590"/>
      <c r="U256" s="590"/>
      <c r="V256" s="590"/>
      <c r="W256" s="590"/>
      <c r="X256" s="590"/>
      <c r="Y256" s="590"/>
      <c r="Z256" s="590"/>
    </row>
    <row r="257" spans="1:26" ht="15.75" customHeight="1">
      <c r="A257" s="590"/>
      <c r="B257" s="590"/>
      <c r="C257" s="590"/>
      <c r="D257" s="590"/>
      <c r="E257" s="590"/>
      <c r="F257" s="590"/>
      <c r="G257" s="590"/>
      <c r="H257" s="590"/>
      <c r="I257" s="590"/>
      <c r="J257" s="590"/>
      <c r="K257" s="590"/>
      <c r="L257" s="590"/>
      <c r="M257" s="590"/>
      <c r="N257" s="590"/>
      <c r="O257" s="590"/>
      <c r="P257" s="590"/>
      <c r="Q257" s="590"/>
      <c r="R257" s="590"/>
      <c r="S257" s="590"/>
      <c r="T257" s="590"/>
      <c r="U257" s="590"/>
      <c r="V257" s="590"/>
      <c r="W257" s="590"/>
      <c r="X257" s="590"/>
      <c r="Y257" s="590"/>
      <c r="Z257" s="590"/>
    </row>
    <row r="258" spans="1:26" ht="15.75" customHeight="1">
      <c r="A258" s="590"/>
      <c r="B258" s="590"/>
      <c r="C258" s="590"/>
      <c r="D258" s="590"/>
      <c r="E258" s="590"/>
      <c r="F258" s="590"/>
      <c r="G258" s="590"/>
      <c r="H258" s="590"/>
      <c r="I258" s="590"/>
      <c r="J258" s="590"/>
      <c r="K258" s="590"/>
      <c r="L258" s="590"/>
      <c r="M258" s="590"/>
      <c r="N258" s="590"/>
      <c r="O258" s="590"/>
      <c r="P258" s="590"/>
      <c r="Q258" s="590"/>
      <c r="R258" s="590"/>
      <c r="S258" s="590"/>
      <c r="T258" s="590"/>
      <c r="U258" s="590"/>
      <c r="V258" s="590"/>
      <c r="W258" s="590"/>
      <c r="X258" s="590"/>
      <c r="Y258" s="590"/>
      <c r="Z258" s="590"/>
    </row>
    <row r="259" spans="1:26" ht="15.75" customHeight="1">
      <c r="A259" s="590"/>
      <c r="B259" s="590"/>
      <c r="C259" s="590"/>
      <c r="D259" s="590"/>
      <c r="E259" s="590"/>
      <c r="F259" s="590"/>
      <c r="G259" s="590"/>
      <c r="H259" s="590"/>
      <c r="I259" s="590"/>
      <c r="J259" s="590"/>
      <c r="K259" s="590"/>
      <c r="L259" s="590"/>
      <c r="M259" s="590"/>
      <c r="N259" s="590"/>
      <c r="O259" s="590"/>
      <c r="P259" s="590"/>
      <c r="Q259" s="590"/>
      <c r="R259" s="590"/>
      <c r="S259" s="590"/>
      <c r="T259" s="590"/>
      <c r="U259" s="590"/>
      <c r="V259" s="590"/>
      <c r="W259" s="590"/>
      <c r="X259" s="590"/>
      <c r="Y259" s="590"/>
      <c r="Z259" s="590"/>
    </row>
    <row r="260" spans="1:26" ht="15.75" customHeight="1">
      <c r="A260" s="590"/>
      <c r="B260" s="590"/>
      <c r="C260" s="590"/>
      <c r="D260" s="590"/>
      <c r="E260" s="590"/>
      <c r="F260" s="590"/>
      <c r="G260" s="590"/>
      <c r="H260" s="590"/>
      <c r="I260" s="590"/>
      <c r="J260" s="590"/>
      <c r="K260" s="590"/>
      <c r="L260" s="590"/>
      <c r="M260" s="590"/>
      <c r="N260" s="590"/>
      <c r="O260" s="590"/>
      <c r="P260" s="590"/>
      <c r="Q260" s="590"/>
      <c r="R260" s="590"/>
      <c r="S260" s="590"/>
      <c r="T260" s="590"/>
      <c r="U260" s="590"/>
      <c r="V260" s="590"/>
      <c r="W260" s="590"/>
      <c r="X260" s="590"/>
      <c r="Y260" s="590"/>
      <c r="Z260" s="590"/>
    </row>
    <row r="261" spans="1:26" ht="15.75" customHeight="1">
      <c r="A261" s="590"/>
      <c r="B261" s="590"/>
      <c r="C261" s="590"/>
      <c r="D261" s="590"/>
      <c r="E261" s="590"/>
      <c r="F261" s="590"/>
      <c r="G261" s="590"/>
      <c r="H261" s="590"/>
      <c r="I261" s="590"/>
      <c r="J261" s="590"/>
      <c r="K261" s="590"/>
      <c r="L261" s="590"/>
      <c r="M261" s="590"/>
      <c r="N261" s="590"/>
      <c r="O261" s="590"/>
      <c r="P261" s="590"/>
      <c r="Q261" s="590"/>
      <c r="R261" s="590"/>
      <c r="S261" s="590"/>
      <c r="T261" s="590"/>
      <c r="U261" s="590"/>
      <c r="V261" s="590"/>
      <c r="W261" s="590"/>
      <c r="X261" s="590"/>
      <c r="Y261" s="590"/>
      <c r="Z261" s="590"/>
    </row>
    <row r="262" spans="1:26" ht="15.75" customHeight="1">
      <c r="A262" s="590"/>
      <c r="B262" s="590"/>
      <c r="C262" s="590"/>
      <c r="D262" s="590"/>
      <c r="E262" s="590"/>
      <c r="F262" s="590"/>
      <c r="G262" s="590"/>
      <c r="H262" s="590"/>
      <c r="I262" s="590"/>
      <c r="J262" s="590"/>
      <c r="K262" s="590"/>
      <c r="L262" s="590"/>
      <c r="M262" s="590"/>
      <c r="N262" s="590"/>
      <c r="O262" s="590"/>
      <c r="P262" s="590"/>
      <c r="Q262" s="590"/>
      <c r="R262" s="590"/>
      <c r="S262" s="590"/>
      <c r="T262" s="590"/>
      <c r="U262" s="590"/>
      <c r="V262" s="590"/>
      <c r="W262" s="590"/>
      <c r="X262" s="590"/>
      <c r="Y262" s="590"/>
      <c r="Z262" s="590"/>
    </row>
    <row r="263" spans="1:26" ht="15.75" customHeight="1">
      <c r="A263" s="590"/>
      <c r="B263" s="590"/>
      <c r="C263" s="590"/>
      <c r="D263" s="590"/>
      <c r="E263" s="590"/>
      <c r="F263" s="590"/>
      <c r="G263" s="590"/>
      <c r="H263" s="590"/>
      <c r="I263" s="590"/>
      <c r="J263" s="590"/>
      <c r="K263" s="590"/>
      <c r="L263" s="590"/>
      <c r="M263" s="590"/>
      <c r="N263" s="590"/>
      <c r="O263" s="590"/>
      <c r="P263" s="590"/>
      <c r="Q263" s="590"/>
      <c r="R263" s="590"/>
      <c r="S263" s="590"/>
      <c r="T263" s="590"/>
      <c r="U263" s="590"/>
      <c r="V263" s="590"/>
      <c r="W263" s="590"/>
      <c r="X263" s="590"/>
      <c r="Y263" s="590"/>
      <c r="Z263" s="590"/>
    </row>
    <row r="264" spans="1:26" ht="15.75" customHeight="1">
      <c r="A264" s="590"/>
      <c r="B264" s="590"/>
      <c r="C264" s="590"/>
      <c r="D264" s="590"/>
      <c r="E264" s="590"/>
      <c r="F264" s="590"/>
      <c r="G264" s="590"/>
      <c r="H264" s="590"/>
      <c r="I264" s="590"/>
      <c r="J264" s="590"/>
      <c r="K264" s="590"/>
      <c r="L264" s="590"/>
      <c r="M264" s="590"/>
      <c r="N264" s="590"/>
      <c r="O264" s="590"/>
      <c r="P264" s="590"/>
      <c r="Q264" s="590"/>
      <c r="R264" s="590"/>
      <c r="S264" s="590"/>
      <c r="T264" s="590"/>
      <c r="U264" s="590"/>
      <c r="V264" s="590"/>
      <c r="W264" s="590"/>
      <c r="X264" s="590"/>
      <c r="Y264" s="590"/>
      <c r="Z264" s="590"/>
    </row>
    <row r="265" spans="1:26" ht="15.75" customHeight="1">
      <c r="A265" s="590"/>
      <c r="B265" s="590"/>
      <c r="C265" s="590"/>
      <c r="D265" s="590"/>
      <c r="E265" s="590"/>
      <c r="F265" s="590"/>
      <c r="G265" s="590"/>
      <c r="H265" s="590"/>
      <c r="I265" s="590"/>
      <c r="J265" s="590"/>
      <c r="K265" s="590"/>
      <c r="L265" s="590"/>
      <c r="M265" s="590"/>
      <c r="N265" s="590"/>
      <c r="O265" s="590"/>
      <c r="P265" s="590"/>
      <c r="Q265" s="590"/>
      <c r="R265" s="590"/>
      <c r="S265" s="590"/>
      <c r="T265" s="590"/>
      <c r="U265" s="590"/>
      <c r="V265" s="590"/>
      <c r="W265" s="590"/>
      <c r="X265" s="590"/>
      <c r="Y265" s="590"/>
      <c r="Z265" s="590"/>
    </row>
    <row r="266" spans="1:26" ht="15.75" customHeight="1">
      <c r="A266" s="590"/>
      <c r="B266" s="590"/>
      <c r="C266" s="590"/>
      <c r="D266" s="590"/>
      <c r="E266" s="590"/>
      <c r="F266" s="590"/>
      <c r="G266" s="590"/>
      <c r="H266" s="590"/>
      <c r="I266" s="590"/>
      <c r="J266" s="590"/>
      <c r="K266" s="590"/>
      <c r="L266" s="590"/>
      <c r="M266" s="590"/>
      <c r="N266" s="590"/>
      <c r="O266" s="590"/>
      <c r="P266" s="590"/>
      <c r="Q266" s="590"/>
      <c r="R266" s="590"/>
      <c r="S266" s="590"/>
      <c r="T266" s="590"/>
      <c r="U266" s="590"/>
      <c r="V266" s="590"/>
      <c r="W266" s="590"/>
      <c r="X266" s="590"/>
      <c r="Y266" s="590"/>
      <c r="Z266" s="590"/>
    </row>
    <row r="267" spans="1:26" ht="15.75" customHeight="1">
      <c r="A267" s="590"/>
      <c r="B267" s="590"/>
      <c r="C267" s="590"/>
      <c r="D267" s="590"/>
      <c r="E267" s="590"/>
      <c r="F267" s="590"/>
      <c r="G267" s="590"/>
      <c r="H267" s="590"/>
      <c r="I267" s="590"/>
      <c r="J267" s="590"/>
      <c r="K267" s="590"/>
      <c r="L267" s="590"/>
      <c r="M267" s="590"/>
      <c r="N267" s="590"/>
      <c r="O267" s="590"/>
      <c r="P267" s="590"/>
      <c r="Q267" s="590"/>
      <c r="R267" s="590"/>
      <c r="S267" s="590"/>
      <c r="T267" s="590"/>
      <c r="U267" s="590"/>
      <c r="V267" s="590"/>
      <c r="W267" s="590"/>
      <c r="X267" s="590"/>
      <c r="Y267" s="590"/>
      <c r="Z267" s="590"/>
    </row>
    <row r="268" spans="1:26" ht="15.75" customHeight="1">
      <c r="A268" s="590"/>
      <c r="B268" s="590"/>
      <c r="C268" s="590"/>
      <c r="D268" s="590"/>
      <c r="E268" s="590"/>
      <c r="F268" s="590"/>
      <c r="G268" s="590"/>
      <c r="H268" s="590"/>
      <c r="I268" s="590"/>
      <c r="J268" s="590"/>
      <c r="K268" s="590"/>
      <c r="L268" s="590"/>
      <c r="M268" s="590"/>
      <c r="N268" s="590"/>
      <c r="O268" s="590"/>
      <c r="P268" s="590"/>
      <c r="Q268" s="590"/>
      <c r="R268" s="590"/>
      <c r="S268" s="590"/>
      <c r="T268" s="590"/>
      <c r="U268" s="590"/>
      <c r="V268" s="590"/>
      <c r="W268" s="590"/>
      <c r="X268" s="590"/>
      <c r="Y268" s="590"/>
      <c r="Z268" s="590"/>
    </row>
    <row r="269" spans="1:26" ht="15.75" customHeight="1">
      <c r="A269" s="590"/>
      <c r="B269" s="590"/>
      <c r="C269" s="590"/>
      <c r="D269" s="590"/>
      <c r="E269" s="590"/>
      <c r="F269" s="590"/>
      <c r="G269" s="590"/>
      <c r="H269" s="590"/>
      <c r="I269" s="590"/>
      <c r="J269" s="590"/>
      <c r="K269" s="590"/>
      <c r="L269" s="590"/>
      <c r="M269" s="590"/>
      <c r="N269" s="590"/>
      <c r="O269" s="590"/>
      <c r="P269" s="590"/>
      <c r="Q269" s="590"/>
      <c r="R269" s="590"/>
      <c r="S269" s="590"/>
      <c r="T269" s="590"/>
      <c r="U269" s="590"/>
      <c r="V269" s="590"/>
      <c r="W269" s="590"/>
      <c r="X269" s="590"/>
      <c r="Y269" s="590"/>
      <c r="Z269" s="590"/>
    </row>
    <row r="270" spans="1:26" ht="15.75" customHeight="1">
      <c r="A270" s="590"/>
      <c r="B270" s="590"/>
      <c r="C270" s="590"/>
      <c r="D270" s="590"/>
      <c r="E270" s="590"/>
      <c r="F270" s="590"/>
      <c r="G270" s="590"/>
      <c r="H270" s="590"/>
      <c r="I270" s="590"/>
      <c r="J270" s="590"/>
      <c r="K270" s="590"/>
      <c r="L270" s="590"/>
      <c r="M270" s="590"/>
      <c r="N270" s="590"/>
      <c r="O270" s="590"/>
      <c r="P270" s="590"/>
      <c r="Q270" s="590"/>
      <c r="R270" s="590"/>
      <c r="S270" s="590"/>
      <c r="T270" s="590"/>
      <c r="U270" s="590"/>
      <c r="V270" s="590"/>
      <c r="W270" s="590"/>
      <c r="X270" s="590"/>
      <c r="Y270" s="590"/>
      <c r="Z270" s="590"/>
    </row>
    <row r="271" spans="1:26" ht="15.75" customHeight="1">
      <c r="A271" s="590"/>
      <c r="B271" s="590"/>
      <c r="C271" s="590"/>
      <c r="D271" s="590"/>
      <c r="E271" s="590"/>
      <c r="F271" s="590"/>
      <c r="G271" s="590"/>
      <c r="H271" s="590"/>
      <c r="I271" s="590"/>
      <c r="J271" s="590"/>
      <c r="K271" s="590"/>
      <c r="L271" s="590"/>
      <c r="M271" s="590"/>
      <c r="N271" s="590"/>
      <c r="O271" s="590"/>
      <c r="P271" s="590"/>
      <c r="Q271" s="590"/>
      <c r="R271" s="590"/>
      <c r="S271" s="590"/>
      <c r="T271" s="590"/>
      <c r="U271" s="590"/>
      <c r="V271" s="590"/>
      <c r="W271" s="590"/>
      <c r="X271" s="590"/>
      <c r="Y271" s="590"/>
      <c r="Z271" s="590"/>
    </row>
    <row r="272" spans="1:26" ht="15.75" customHeight="1">
      <c r="A272" s="590"/>
      <c r="B272" s="590"/>
      <c r="C272" s="590"/>
      <c r="D272" s="590"/>
      <c r="E272" s="590"/>
      <c r="F272" s="590"/>
      <c r="G272" s="590"/>
      <c r="H272" s="590"/>
      <c r="I272" s="590"/>
      <c r="J272" s="590"/>
      <c r="K272" s="590"/>
      <c r="L272" s="590"/>
      <c r="M272" s="590"/>
      <c r="N272" s="590"/>
      <c r="O272" s="590"/>
      <c r="P272" s="590"/>
      <c r="Q272" s="590"/>
      <c r="R272" s="590"/>
      <c r="S272" s="590"/>
      <c r="T272" s="590"/>
      <c r="U272" s="590"/>
      <c r="V272" s="590"/>
      <c r="W272" s="590"/>
      <c r="X272" s="590"/>
      <c r="Y272" s="590"/>
      <c r="Z272" s="590"/>
    </row>
    <row r="273" spans="1:26" ht="15.75" customHeight="1">
      <c r="A273" s="590"/>
      <c r="B273" s="590"/>
      <c r="C273" s="590"/>
      <c r="D273" s="590"/>
      <c r="E273" s="590"/>
      <c r="F273" s="590"/>
      <c r="G273" s="590"/>
      <c r="H273" s="590"/>
      <c r="I273" s="590"/>
      <c r="J273" s="590"/>
      <c r="K273" s="590"/>
      <c r="L273" s="590"/>
      <c r="M273" s="590"/>
      <c r="N273" s="590"/>
      <c r="O273" s="590"/>
      <c r="P273" s="590"/>
      <c r="Q273" s="590"/>
      <c r="R273" s="590"/>
      <c r="S273" s="590"/>
      <c r="T273" s="590"/>
      <c r="U273" s="590"/>
      <c r="V273" s="590"/>
      <c r="W273" s="590"/>
      <c r="X273" s="590"/>
      <c r="Y273" s="590"/>
      <c r="Z273" s="590"/>
    </row>
    <row r="274" spans="1:26" ht="15.75" customHeight="1">
      <c r="A274" s="590"/>
      <c r="B274" s="590"/>
      <c r="C274" s="590"/>
      <c r="D274" s="590"/>
      <c r="E274" s="590"/>
      <c r="F274" s="590"/>
      <c r="G274" s="590"/>
      <c r="H274" s="590"/>
      <c r="I274" s="590"/>
      <c r="J274" s="590"/>
      <c r="K274" s="590"/>
      <c r="L274" s="590"/>
      <c r="M274" s="590"/>
      <c r="N274" s="590"/>
      <c r="O274" s="590"/>
      <c r="P274" s="590"/>
      <c r="Q274" s="590"/>
      <c r="R274" s="590"/>
      <c r="S274" s="590"/>
      <c r="T274" s="590"/>
      <c r="U274" s="590"/>
      <c r="V274" s="590"/>
      <c r="W274" s="590"/>
      <c r="X274" s="590"/>
      <c r="Y274" s="590"/>
      <c r="Z274" s="590"/>
    </row>
    <row r="275" spans="1:26" ht="15.75" customHeight="1">
      <c r="A275" s="590"/>
      <c r="B275" s="590"/>
      <c r="C275" s="590"/>
      <c r="D275" s="590"/>
      <c r="E275" s="590"/>
      <c r="F275" s="590"/>
      <c r="G275" s="590"/>
      <c r="H275" s="590"/>
      <c r="I275" s="590"/>
      <c r="J275" s="590"/>
      <c r="K275" s="590"/>
      <c r="L275" s="590"/>
      <c r="M275" s="590"/>
      <c r="N275" s="590"/>
      <c r="O275" s="590"/>
      <c r="P275" s="590"/>
      <c r="Q275" s="590"/>
      <c r="R275" s="590"/>
      <c r="S275" s="590"/>
      <c r="T275" s="590"/>
      <c r="U275" s="590"/>
      <c r="V275" s="590"/>
      <c r="W275" s="590"/>
      <c r="X275" s="590"/>
      <c r="Y275" s="590"/>
      <c r="Z275" s="590"/>
    </row>
    <row r="276" spans="1:26" ht="15.75" customHeight="1">
      <c r="A276" s="590"/>
      <c r="B276" s="590"/>
      <c r="C276" s="590"/>
      <c r="D276" s="590"/>
      <c r="E276" s="590"/>
      <c r="F276" s="590"/>
      <c r="G276" s="590"/>
      <c r="H276" s="590"/>
      <c r="I276" s="590"/>
      <c r="J276" s="590"/>
      <c r="K276" s="590"/>
      <c r="L276" s="590"/>
      <c r="M276" s="590"/>
      <c r="N276" s="590"/>
      <c r="O276" s="590"/>
      <c r="P276" s="590"/>
      <c r="Q276" s="590"/>
      <c r="R276" s="590"/>
      <c r="S276" s="590"/>
      <c r="T276" s="590"/>
      <c r="U276" s="590"/>
      <c r="V276" s="590"/>
      <c r="W276" s="590"/>
      <c r="X276" s="590"/>
      <c r="Y276" s="590"/>
      <c r="Z276" s="590"/>
    </row>
    <row r="277" spans="1:26" ht="15.75" customHeight="1">
      <c r="A277" s="590"/>
      <c r="B277" s="590"/>
      <c r="C277" s="590"/>
      <c r="D277" s="590"/>
      <c r="E277" s="590"/>
      <c r="F277" s="590"/>
      <c r="G277" s="590"/>
      <c r="H277" s="590"/>
      <c r="I277" s="590"/>
      <c r="J277" s="590"/>
      <c r="K277" s="590"/>
      <c r="L277" s="590"/>
      <c r="M277" s="590"/>
      <c r="N277" s="590"/>
      <c r="O277" s="590"/>
      <c r="P277" s="590"/>
      <c r="Q277" s="590"/>
      <c r="R277" s="590"/>
      <c r="S277" s="590"/>
      <c r="T277" s="590"/>
      <c r="U277" s="590"/>
      <c r="V277" s="590"/>
      <c r="W277" s="590"/>
      <c r="X277" s="590"/>
      <c r="Y277" s="590"/>
      <c r="Z277" s="590"/>
    </row>
    <row r="278" spans="1:26" ht="15.75" customHeight="1">
      <c r="A278" s="590"/>
      <c r="B278" s="590"/>
      <c r="C278" s="590"/>
      <c r="D278" s="590"/>
      <c r="E278" s="590"/>
      <c r="F278" s="590"/>
      <c r="G278" s="590"/>
      <c r="H278" s="590"/>
      <c r="I278" s="590"/>
      <c r="J278" s="590"/>
      <c r="K278" s="590"/>
      <c r="L278" s="590"/>
      <c r="M278" s="590"/>
      <c r="N278" s="590"/>
      <c r="O278" s="590"/>
      <c r="P278" s="590"/>
      <c r="Q278" s="590"/>
      <c r="R278" s="590"/>
      <c r="S278" s="590"/>
      <c r="T278" s="590"/>
      <c r="U278" s="590"/>
      <c r="V278" s="590"/>
      <c r="W278" s="590"/>
      <c r="X278" s="590"/>
      <c r="Y278" s="590"/>
      <c r="Z278" s="590"/>
    </row>
    <row r="279" spans="1:26" ht="15.75" customHeight="1">
      <c r="A279" s="590"/>
      <c r="B279" s="590"/>
      <c r="C279" s="590"/>
      <c r="D279" s="590"/>
      <c r="E279" s="590"/>
      <c r="F279" s="590"/>
      <c r="G279" s="590"/>
      <c r="H279" s="590"/>
      <c r="I279" s="590"/>
      <c r="J279" s="590"/>
      <c r="K279" s="590"/>
      <c r="L279" s="590"/>
      <c r="M279" s="590"/>
      <c r="N279" s="590"/>
      <c r="O279" s="590"/>
      <c r="P279" s="590"/>
      <c r="Q279" s="590"/>
      <c r="R279" s="590"/>
      <c r="S279" s="590"/>
      <c r="T279" s="590"/>
      <c r="U279" s="590"/>
      <c r="V279" s="590"/>
      <c r="W279" s="590"/>
      <c r="X279" s="590"/>
      <c r="Y279" s="590"/>
      <c r="Z279" s="590"/>
    </row>
    <row r="280" spans="1:26" ht="15.75" customHeight="1">
      <c r="A280" s="590"/>
      <c r="B280" s="590"/>
      <c r="C280" s="590"/>
      <c r="D280" s="590"/>
      <c r="E280" s="590"/>
      <c r="F280" s="590"/>
      <c r="G280" s="590"/>
      <c r="H280" s="590"/>
      <c r="I280" s="590"/>
      <c r="J280" s="590"/>
      <c r="K280" s="590"/>
      <c r="L280" s="590"/>
      <c r="M280" s="590"/>
      <c r="N280" s="590"/>
      <c r="O280" s="590"/>
      <c r="P280" s="590"/>
      <c r="Q280" s="590"/>
      <c r="R280" s="590"/>
      <c r="S280" s="590"/>
      <c r="T280" s="590"/>
      <c r="U280" s="590"/>
      <c r="V280" s="590"/>
      <c r="W280" s="590"/>
      <c r="X280" s="590"/>
      <c r="Y280" s="590"/>
      <c r="Z280" s="590"/>
    </row>
    <row r="281" spans="1:26" ht="15.75" customHeight="1">
      <c r="A281" s="590"/>
      <c r="B281" s="590"/>
      <c r="C281" s="590"/>
      <c r="D281" s="590"/>
      <c r="E281" s="590"/>
      <c r="F281" s="590"/>
      <c r="G281" s="590"/>
      <c r="H281" s="590"/>
      <c r="I281" s="590"/>
      <c r="J281" s="590"/>
      <c r="K281" s="590"/>
      <c r="L281" s="590"/>
      <c r="M281" s="590"/>
      <c r="N281" s="590"/>
      <c r="O281" s="590"/>
      <c r="P281" s="590"/>
      <c r="Q281" s="590"/>
      <c r="R281" s="590"/>
      <c r="S281" s="590"/>
      <c r="T281" s="590"/>
      <c r="U281" s="590"/>
      <c r="V281" s="590"/>
      <c r="W281" s="590"/>
      <c r="X281" s="590"/>
      <c r="Y281" s="590"/>
      <c r="Z281" s="590"/>
    </row>
    <row r="282" spans="1:26" ht="15.75" customHeight="1">
      <c r="A282" s="590"/>
      <c r="B282" s="590"/>
      <c r="C282" s="590"/>
      <c r="D282" s="590"/>
      <c r="E282" s="590"/>
      <c r="F282" s="590"/>
      <c r="G282" s="590"/>
      <c r="H282" s="590"/>
      <c r="I282" s="590"/>
      <c r="J282" s="590"/>
      <c r="K282" s="590"/>
      <c r="L282" s="590"/>
      <c r="M282" s="590"/>
      <c r="N282" s="590"/>
      <c r="O282" s="590"/>
      <c r="P282" s="590"/>
      <c r="Q282" s="590"/>
      <c r="R282" s="590"/>
      <c r="S282" s="590"/>
      <c r="T282" s="590"/>
      <c r="U282" s="590"/>
      <c r="V282" s="590"/>
      <c r="W282" s="590"/>
      <c r="X282" s="590"/>
      <c r="Y282" s="590"/>
      <c r="Z282" s="590"/>
    </row>
    <row r="283" spans="1:26" ht="15.75" customHeight="1">
      <c r="A283" s="590"/>
      <c r="B283" s="590"/>
      <c r="C283" s="590"/>
      <c r="D283" s="590"/>
      <c r="E283" s="590"/>
      <c r="F283" s="590"/>
      <c r="G283" s="590"/>
      <c r="H283" s="590"/>
      <c r="I283" s="590"/>
      <c r="J283" s="590"/>
      <c r="K283" s="590"/>
      <c r="L283" s="590"/>
      <c r="M283" s="590"/>
      <c r="N283" s="590"/>
      <c r="O283" s="590"/>
      <c r="P283" s="590"/>
      <c r="Q283" s="590"/>
      <c r="R283" s="590"/>
      <c r="S283" s="590"/>
      <c r="T283" s="590"/>
      <c r="U283" s="590"/>
      <c r="V283" s="590"/>
      <c r="W283" s="590"/>
      <c r="X283" s="590"/>
      <c r="Y283" s="590"/>
      <c r="Z283" s="590"/>
    </row>
    <row r="284" spans="1:26" ht="15.75" customHeight="1">
      <c r="A284" s="590"/>
      <c r="B284" s="590"/>
      <c r="C284" s="590"/>
      <c r="D284" s="590"/>
      <c r="E284" s="590"/>
      <c r="F284" s="590"/>
      <c r="G284" s="590"/>
      <c r="H284" s="590"/>
      <c r="I284" s="590"/>
      <c r="J284" s="590"/>
      <c r="K284" s="590"/>
      <c r="L284" s="590"/>
      <c r="M284" s="590"/>
      <c r="N284" s="590"/>
      <c r="O284" s="590"/>
      <c r="P284" s="590"/>
      <c r="Q284" s="590"/>
      <c r="R284" s="590"/>
      <c r="S284" s="590"/>
      <c r="T284" s="590"/>
      <c r="U284" s="590"/>
      <c r="V284" s="590"/>
      <c r="W284" s="590"/>
      <c r="X284" s="590"/>
      <c r="Y284" s="590"/>
      <c r="Z284" s="590"/>
    </row>
    <row r="285" spans="1:26" ht="15.75" customHeight="1">
      <c r="A285" s="590"/>
      <c r="B285" s="590"/>
      <c r="C285" s="590"/>
      <c r="D285" s="590"/>
      <c r="E285" s="590"/>
      <c r="F285" s="590"/>
      <c r="G285" s="590"/>
      <c r="H285" s="590"/>
      <c r="I285" s="590"/>
      <c r="J285" s="590"/>
      <c r="K285" s="590"/>
      <c r="L285" s="590"/>
      <c r="M285" s="590"/>
      <c r="N285" s="590"/>
      <c r="O285" s="590"/>
      <c r="P285" s="590"/>
      <c r="Q285" s="590"/>
      <c r="R285" s="590"/>
      <c r="S285" s="590"/>
      <c r="T285" s="590"/>
      <c r="U285" s="590"/>
      <c r="V285" s="590"/>
      <c r="W285" s="590"/>
      <c r="X285" s="590"/>
      <c r="Y285" s="590"/>
      <c r="Z285" s="590"/>
    </row>
    <row r="286" spans="1:26" ht="15.75" customHeight="1">
      <c r="A286" s="590"/>
      <c r="B286" s="590"/>
      <c r="C286" s="590"/>
      <c r="D286" s="590"/>
      <c r="E286" s="590"/>
      <c r="F286" s="590"/>
      <c r="G286" s="590"/>
      <c r="H286" s="590"/>
      <c r="I286" s="590"/>
      <c r="J286" s="590"/>
      <c r="K286" s="590"/>
      <c r="L286" s="590"/>
      <c r="M286" s="590"/>
      <c r="N286" s="590"/>
      <c r="O286" s="590"/>
      <c r="P286" s="590"/>
      <c r="Q286" s="590"/>
      <c r="R286" s="590"/>
      <c r="S286" s="590"/>
      <c r="T286" s="590"/>
      <c r="U286" s="590"/>
      <c r="V286" s="590"/>
      <c r="W286" s="590"/>
      <c r="X286" s="590"/>
      <c r="Y286" s="590"/>
      <c r="Z286" s="590"/>
    </row>
    <row r="287" spans="1:26" ht="15.75" customHeight="1">
      <c r="A287" s="590"/>
      <c r="B287" s="590"/>
      <c r="C287" s="590"/>
      <c r="D287" s="590"/>
      <c r="E287" s="590"/>
      <c r="F287" s="590"/>
      <c r="G287" s="590"/>
      <c r="H287" s="590"/>
      <c r="I287" s="590"/>
      <c r="J287" s="590"/>
      <c r="K287" s="590"/>
      <c r="L287" s="590"/>
      <c r="M287" s="590"/>
      <c r="N287" s="590"/>
      <c r="O287" s="590"/>
      <c r="P287" s="590"/>
      <c r="Q287" s="590"/>
      <c r="R287" s="590"/>
      <c r="S287" s="590"/>
      <c r="T287" s="590"/>
      <c r="U287" s="590"/>
      <c r="V287" s="590"/>
      <c r="W287" s="590"/>
      <c r="X287" s="590"/>
      <c r="Y287" s="590"/>
      <c r="Z287" s="590"/>
    </row>
    <row r="288" spans="1:26" ht="15.75" customHeight="1">
      <c r="A288" s="590"/>
      <c r="B288" s="590"/>
      <c r="C288" s="590"/>
      <c r="D288" s="590"/>
      <c r="E288" s="590"/>
      <c r="F288" s="590"/>
      <c r="G288" s="590"/>
      <c r="H288" s="590"/>
      <c r="I288" s="590"/>
      <c r="J288" s="590"/>
      <c r="K288" s="590"/>
      <c r="L288" s="590"/>
      <c r="M288" s="590"/>
      <c r="N288" s="590"/>
      <c r="O288" s="590"/>
      <c r="P288" s="590"/>
      <c r="Q288" s="590"/>
      <c r="R288" s="590"/>
      <c r="S288" s="590"/>
      <c r="T288" s="590"/>
      <c r="U288" s="590"/>
      <c r="V288" s="590"/>
      <c r="W288" s="590"/>
      <c r="X288" s="590"/>
      <c r="Y288" s="590"/>
      <c r="Z288" s="590"/>
    </row>
    <row r="289" spans="1:26" ht="15.75" customHeight="1">
      <c r="A289" s="590"/>
      <c r="B289" s="590"/>
      <c r="C289" s="590"/>
      <c r="D289" s="590"/>
      <c r="E289" s="590"/>
      <c r="F289" s="590"/>
      <c r="G289" s="590"/>
      <c r="H289" s="590"/>
      <c r="I289" s="590"/>
      <c r="J289" s="590"/>
      <c r="K289" s="590"/>
      <c r="L289" s="590"/>
      <c r="M289" s="590"/>
      <c r="N289" s="590"/>
      <c r="O289" s="590"/>
      <c r="P289" s="590"/>
      <c r="Q289" s="590"/>
      <c r="R289" s="590"/>
      <c r="S289" s="590"/>
      <c r="T289" s="590"/>
      <c r="U289" s="590"/>
      <c r="V289" s="590"/>
      <c r="W289" s="590"/>
      <c r="X289" s="590"/>
      <c r="Y289" s="590"/>
      <c r="Z289" s="590"/>
    </row>
    <row r="290" spans="1:26" ht="15.75" customHeight="1">
      <c r="A290" s="590"/>
      <c r="B290" s="590"/>
      <c r="C290" s="590"/>
      <c r="D290" s="590"/>
      <c r="E290" s="590"/>
      <c r="F290" s="590"/>
      <c r="G290" s="590"/>
      <c r="H290" s="590"/>
      <c r="I290" s="590"/>
      <c r="J290" s="590"/>
      <c r="K290" s="590"/>
      <c r="L290" s="590"/>
      <c r="M290" s="590"/>
      <c r="N290" s="590"/>
      <c r="O290" s="590"/>
      <c r="P290" s="590"/>
      <c r="Q290" s="590"/>
      <c r="R290" s="590"/>
      <c r="S290" s="590"/>
      <c r="T290" s="590"/>
      <c r="U290" s="590"/>
      <c r="V290" s="590"/>
      <c r="W290" s="590"/>
      <c r="X290" s="590"/>
      <c r="Y290" s="590"/>
      <c r="Z290" s="590"/>
    </row>
    <row r="291" spans="1:26" ht="15.75" customHeight="1">
      <c r="A291" s="590"/>
      <c r="B291" s="590"/>
      <c r="C291" s="590"/>
      <c r="D291" s="590"/>
      <c r="E291" s="590"/>
      <c r="F291" s="590"/>
      <c r="G291" s="590"/>
      <c r="H291" s="590"/>
      <c r="I291" s="590"/>
      <c r="J291" s="590"/>
      <c r="K291" s="590"/>
      <c r="L291" s="590"/>
      <c r="M291" s="590"/>
      <c r="N291" s="590"/>
      <c r="O291" s="590"/>
      <c r="P291" s="590"/>
      <c r="Q291" s="590"/>
      <c r="R291" s="590"/>
      <c r="S291" s="590"/>
      <c r="T291" s="590"/>
      <c r="U291" s="590"/>
      <c r="V291" s="590"/>
      <c r="W291" s="590"/>
      <c r="X291" s="590"/>
      <c r="Y291" s="590"/>
      <c r="Z291" s="590"/>
    </row>
    <row r="292" spans="1:26" ht="15.75" customHeight="1">
      <c r="A292" s="590"/>
      <c r="B292" s="590"/>
      <c r="C292" s="590"/>
      <c r="D292" s="590"/>
      <c r="E292" s="590"/>
      <c r="F292" s="590"/>
      <c r="G292" s="590"/>
      <c r="H292" s="590"/>
      <c r="I292" s="590"/>
      <c r="J292" s="590"/>
      <c r="K292" s="590"/>
      <c r="L292" s="590"/>
      <c r="M292" s="590"/>
      <c r="N292" s="590"/>
      <c r="O292" s="590"/>
      <c r="P292" s="590"/>
      <c r="Q292" s="590"/>
      <c r="R292" s="590"/>
      <c r="S292" s="590"/>
      <c r="T292" s="590"/>
      <c r="U292" s="590"/>
      <c r="V292" s="590"/>
      <c r="W292" s="590"/>
      <c r="X292" s="590"/>
      <c r="Y292" s="590"/>
      <c r="Z292" s="590"/>
    </row>
    <row r="293" spans="1:26" ht="15.75" customHeight="1">
      <c r="A293" s="590"/>
      <c r="B293" s="590"/>
      <c r="C293" s="590"/>
      <c r="D293" s="590"/>
      <c r="E293" s="590"/>
      <c r="F293" s="590"/>
      <c r="G293" s="590"/>
      <c r="H293" s="590"/>
      <c r="I293" s="590"/>
      <c r="J293" s="590"/>
      <c r="K293" s="590"/>
      <c r="L293" s="590"/>
      <c r="M293" s="590"/>
      <c r="N293" s="590"/>
      <c r="O293" s="590"/>
      <c r="P293" s="590"/>
      <c r="Q293" s="590"/>
      <c r="R293" s="590"/>
      <c r="S293" s="590"/>
      <c r="T293" s="590"/>
      <c r="U293" s="590"/>
      <c r="V293" s="590"/>
      <c r="W293" s="590"/>
      <c r="X293" s="590"/>
      <c r="Y293" s="590"/>
      <c r="Z293" s="590"/>
    </row>
    <row r="294" spans="1:26" ht="15.75" customHeight="1">
      <c r="A294" s="590"/>
      <c r="B294" s="590"/>
      <c r="C294" s="590"/>
      <c r="D294" s="590"/>
      <c r="E294" s="590"/>
      <c r="F294" s="590"/>
      <c r="G294" s="590"/>
      <c r="H294" s="590"/>
      <c r="I294" s="590"/>
      <c r="J294" s="590"/>
      <c r="K294" s="590"/>
      <c r="L294" s="590"/>
      <c r="M294" s="590"/>
      <c r="N294" s="590"/>
      <c r="O294" s="590"/>
      <c r="P294" s="590"/>
      <c r="Q294" s="590"/>
      <c r="R294" s="590"/>
      <c r="S294" s="590"/>
      <c r="T294" s="590"/>
      <c r="U294" s="590"/>
      <c r="V294" s="590"/>
      <c r="W294" s="590"/>
      <c r="X294" s="590"/>
      <c r="Y294" s="590"/>
      <c r="Z294" s="590"/>
    </row>
    <row r="295" spans="1:26" ht="15.75" customHeight="1">
      <c r="A295" s="590"/>
      <c r="B295" s="590"/>
      <c r="C295" s="590"/>
      <c r="D295" s="590"/>
      <c r="E295" s="590"/>
      <c r="F295" s="590"/>
      <c r="G295" s="590"/>
      <c r="H295" s="590"/>
      <c r="I295" s="590"/>
      <c r="J295" s="590"/>
      <c r="K295" s="590"/>
      <c r="L295" s="590"/>
      <c r="M295" s="590"/>
      <c r="N295" s="590"/>
      <c r="O295" s="590"/>
      <c r="P295" s="590"/>
      <c r="Q295" s="590"/>
      <c r="R295" s="590"/>
      <c r="S295" s="590"/>
      <c r="T295" s="590"/>
      <c r="U295" s="590"/>
      <c r="V295" s="590"/>
      <c r="W295" s="590"/>
      <c r="X295" s="590"/>
      <c r="Y295" s="590"/>
      <c r="Z295" s="590"/>
    </row>
    <row r="296" spans="1:26" ht="15.75" customHeight="1">
      <c r="A296" s="590"/>
      <c r="B296" s="590"/>
      <c r="C296" s="590"/>
      <c r="D296" s="590"/>
      <c r="E296" s="590"/>
      <c r="F296" s="590"/>
      <c r="G296" s="590"/>
      <c r="H296" s="590"/>
      <c r="I296" s="590"/>
      <c r="J296" s="590"/>
      <c r="K296" s="590"/>
      <c r="L296" s="590"/>
      <c r="M296" s="590"/>
      <c r="N296" s="590"/>
      <c r="O296" s="590"/>
      <c r="P296" s="590"/>
      <c r="Q296" s="590"/>
      <c r="R296" s="590"/>
      <c r="S296" s="590"/>
      <c r="T296" s="590"/>
      <c r="U296" s="590"/>
      <c r="V296" s="590"/>
      <c r="W296" s="590"/>
      <c r="X296" s="590"/>
      <c r="Y296" s="590"/>
      <c r="Z296" s="590"/>
    </row>
    <row r="297" spans="1:26" ht="15.75" customHeight="1">
      <c r="A297" s="590"/>
      <c r="B297" s="590"/>
      <c r="C297" s="590"/>
      <c r="D297" s="590"/>
      <c r="E297" s="590"/>
      <c r="F297" s="590"/>
      <c r="G297" s="590"/>
      <c r="H297" s="590"/>
      <c r="I297" s="590"/>
      <c r="J297" s="590"/>
      <c r="K297" s="590"/>
      <c r="L297" s="590"/>
      <c r="M297" s="590"/>
      <c r="N297" s="590"/>
      <c r="O297" s="590"/>
      <c r="P297" s="590"/>
      <c r="Q297" s="590"/>
      <c r="R297" s="590"/>
      <c r="S297" s="590"/>
      <c r="T297" s="590"/>
      <c r="U297" s="590"/>
      <c r="V297" s="590"/>
      <c r="W297" s="590"/>
      <c r="X297" s="590"/>
      <c r="Y297" s="590"/>
      <c r="Z297" s="590"/>
    </row>
    <row r="298" spans="1:26" ht="15.75" customHeight="1">
      <c r="A298" s="590"/>
      <c r="B298" s="590"/>
      <c r="C298" s="590"/>
      <c r="D298" s="590"/>
      <c r="E298" s="590"/>
      <c r="F298" s="590"/>
      <c r="G298" s="590"/>
      <c r="H298" s="590"/>
      <c r="I298" s="590"/>
      <c r="J298" s="590"/>
      <c r="K298" s="590"/>
      <c r="L298" s="590"/>
      <c r="M298" s="590"/>
      <c r="N298" s="590"/>
      <c r="O298" s="590"/>
      <c r="P298" s="590"/>
      <c r="Q298" s="590"/>
      <c r="R298" s="590"/>
      <c r="S298" s="590"/>
      <c r="T298" s="590"/>
      <c r="U298" s="590"/>
      <c r="V298" s="590"/>
      <c r="W298" s="590"/>
      <c r="X298" s="590"/>
      <c r="Y298" s="590"/>
      <c r="Z298" s="590"/>
    </row>
    <row r="299" spans="1:26" ht="15.75" customHeight="1">
      <c r="A299" s="590"/>
      <c r="B299" s="590"/>
      <c r="C299" s="590"/>
      <c r="D299" s="590"/>
      <c r="E299" s="590"/>
      <c r="F299" s="590"/>
      <c r="G299" s="590"/>
      <c r="H299" s="590"/>
      <c r="I299" s="590"/>
      <c r="J299" s="590"/>
      <c r="K299" s="590"/>
      <c r="L299" s="590"/>
      <c r="M299" s="590"/>
      <c r="N299" s="590"/>
      <c r="O299" s="590"/>
      <c r="P299" s="590"/>
      <c r="Q299" s="590"/>
      <c r="R299" s="590"/>
      <c r="S299" s="590"/>
      <c r="T299" s="590"/>
      <c r="U299" s="590"/>
      <c r="V299" s="590"/>
      <c r="W299" s="590"/>
      <c r="X299" s="590"/>
      <c r="Y299" s="590"/>
      <c r="Z299" s="590"/>
    </row>
    <row r="300" spans="1:26" ht="15.75" customHeight="1">
      <c r="A300" s="590"/>
      <c r="B300" s="590"/>
      <c r="C300" s="590"/>
      <c r="D300" s="590"/>
      <c r="E300" s="590"/>
      <c r="F300" s="590"/>
      <c r="G300" s="590"/>
      <c r="H300" s="590"/>
      <c r="I300" s="590"/>
      <c r="J300" s="590"/>
      <c r="K300" s="590"/>
      <c r="L300" s="590"/>
      <c r="M300" s="590"/>
      <c r="N300" s="590"/>
      <c r="O300" s="590"/>
      <c r="P300" s="590"/>
      <c r="Q300" s="590"/>
      <c r="R300" s="590"/>
      <c r="S300" s="590"/>
      <c r="T300" s="590"/>
      <c r="U300" s="590"/>
      <c r="V300" s="590"/>
      <c r="W300" s="590"/>
      <c r="X300" s="590"/>
      <c r="Y300" s="590"/>
      <c r="Z300" s="590"/>
    </row>
    <row r="301" spans="1:26" ht="15.75" customHeight="1">
      <c r="A301" s="590"/>
      <c r="B301" s="590"/>
      <c r="C301" s="590"/>
      <c r="D301" s="590"/>
      <c r="E301" s="590"/>
      <c r="F301" s="590"/>
      <c r="G301" s="590"/>
      <c r="H301" s="590"/>
      <c r="I301" s="590"/>
      <c r="J301" s="590"/>
      <c r="K301" s="590"/>
      <c r="L301" s="590"/>
      <c r="M301" s="590"/>
      <c r="N301" s="590"/>
      <c r="O301" s="590"/>
      <c r="P301" s="590"/>
      <c r="Q301" s="590"/>
      <c r="R301" s="590"/>
      <c r="S301" s="590"/>
      <c r="T301" s="590"/>
      <c r="U301" s="590"/>
      <c r="V301" s="590"/>
      <c r="W301" s="590"/>
      <c r="X301" s="590"/>
      <c r="Y301" s="590"/>
      <c r="Z301" s="590"/>
    </row>
    <row r="302" spans="1:26" ht="15.75" customHeight="1">
      <c r="A302" s="590"/>
      <c r="B302" s="590"/>
      <c r="C302" s="590"/>
      <c r="D302" s="590"/>
      <c r="E302" s="590"/>
      <c r="F302" s="590"/>
      <c r="G302" s="590"/>
      <c r="H302" s="590"/>
      <c r="I302" s="590"/>
      <c r="J302" s="590"/>
      <c r="K302" s="590"/>
      <c r="L302" s="590"/>
      <c r="M302" s="590"/>
      <c r="N302" s="590"/>
      <c r="O302" s="590"/>
      <c r="P302" s="590"/>
      <c r="Q302" s="590"/>
      <c r="R302" s="590"/>
      <c r="S302" s="590"/>
      <c r="T302" s="590"/>
      <c r="U302" s="590"/>
      <c r="V302" s="590"/>
      <c r="W302" s="590"/>
      <c r="X302" s="590"/>
      <c r="Y302" s="590"/>
      <c r="Z302" s="590"/>
    </row>
    <row r="303" spans="1:26" ht="15.75" customHeight="1">
      <c r="A303" s="590"/>
      <c r="B303" s="590"/>
      <c r="C303" s="590"/>
      <c r="D303" s="590"/>
      <c r="E303" s="590"/>
      <c r="F303" s="590"/>
      <c r="G303" s="590"/>
      <c r="H303" s="590"/>
      <c r="I303" s="590"/>
      <c r="J303" s="590"/>
      <c r="K303" s="590"/>
      <c r="L303" s="590"/>
      <c r="M303" s="590"/>
      <c r="N303" s="590"/>
      <c r="O303" s="590"/>
      <c r="P303" s="590"/>
      <c r="Q303" s="590"/>
      <c r="R303" s="590"/>
      <c r="S303" s="590"/>
      <c r="T303" s="590"/>
      <c r="U303" s="590"/>
      <c r="V303" s="590"/>
      <c r="W303" s="590"/>
      <c r="X303" s="590"/>
      <c r="Y303" s="590"/>
      <c r="Z303" s="590"/>
    </row>
    <row r="304" spans="1:26" ht="15.75" customHeight="1">
      <c r="A304" s="590"/>
      <c r="B304" s="590"/>
      <c r="C304" s="590"/>
      <c r="D304" s="590"/>
      <c r="E304" s="590"/>
      <c r="F304" s="590"/>
      <c r="G304" s="590"/>
      <c r="H304" s="590"/>
      <c r="I304" s="590"/>
      <c r="J304" s="590"/>
      <c r="K304" s="590"/>
      <c r="L304" s="590"/>
      <c r="M304" s="590"/>
      <c r="N304" s="590"/>
      <c r="O304" s="590"/>
      <c r="P304" s="590"/>
      <c r="Q304" s="590"/>
      <c r="R304" s="590"/>
      <c r="S304" s="590"/>
      <c r="T304" s="590"/>
      <c r="U304" s="590"/>
      <c r="V304" s="590"/>
      <c r="W304" s="590"/>
      <c r="X304" s="590"/>
      <c r="Y304" s="590"/>
      <c r="Z304" s="590"/>
    </row>
    <row r="305" spans="1:26" ht="15.75" customHeight="1">
      <c r="A305" s="590"/>
      <c r="B305" s="590"/>
      <c r="C305" s="590"/>
      <c r="D305" s="590"/>
      <c r="E305" s="590"/>
      <c r="F305" s="590"/>
      <c r="G305" s="590"/>
      <c r="H305" s="590"/>
      <c r="I305" s="590"/>
      <c r="J305" s="590"/>
      <c r="K305" s="590"/>
      <c r="L305" s="590"/>
      <c r="M305" s="590"/>
      <c r="N305" s="590"/>
      <c r="O305" s="590"/>
      <c r="P305" s="590"/>
      <c r="Q305" s="590"/>
      <c r="R305" s="590"/>
      <c r="S305" s="590"/>
      <c r="T305" s="590"/>
      <c r="U305" s="590"/>
      <c r="V305" s="590"/>
      <c r="W305" s="590"/>
      <c r="X305" s="590"/>
      <c r="Y305" s="590"/>
      <c r="Z305" s="590"/>
    </row>
    <row r="306" spans="1:26" ht="15.75" customHeight="1">
      <c r="A306" s="590"/>
      <c r="B306" s="590"/>
      <c r="C306" s="590"/>
      <c r="D306" s="590"/>
      <c r="E306" s="590"/>
      <c r="F306" s="590"/>
      <c r="G306" s="590"/>
      <c r="H306" s="590"/>
      <c r="I306" s="590"/>
      <c r="J306" s="590"/>
      <c r="K306" s="590"/>
      <c r="L306" s="590"/>
      <c r="M306" s="590"/>
      <c r="N306" s="590"/>
      <c r="O306" s="590"/>
      <c r="P306" s="590"/>
      <c r="Q306" s="590"/>
      <c r="R306" s="590"/>
      <c r="S306" s="590"/>
      <c r="T306" s="590"/>
      <c r="U306" s="590"/>
      <c r="V306" s="590"/>
      <c r="W306" s="590"/>
      <c r="X306" s="590"/>
      <c r="Y306" s="590"/>
      <c r="Z306" s="590"/>
    </row>
    <row r="307" spans="1:26" ht="15.75" customHeight="1">
      <c r="A307" s="590"/>
      <c r="B307" s="590"/>
      <c r="C307" s="590"/>
      <c r="D307" s="590"/>
      <c r="E307" s="590"/>
      <c r="F307" s="590"/>
      <c r="G307" s="590"/>
      <c r="H307" s="590"/>
      <c r="I307" s="590"/>
      <c r="J307" s="590"/>
      <c r="K307" s="590"/>
      <c r="L307" s="590"/>
      <c r="M307" s="590"/>
      <c r="N307" s="590"/>
      <c r="O307" s="590"/>
      <c r="P307" s="590"/>
      <c r="Q307" s="590"/>
      <c r="R307" s="590"/>
      <c r="S307" s="590"/>
      <c r="T307" s="590"/>
      <c r="U307" s="590"/>
      <c r="V307" s="590"/>
      <c r="W307" s="590"/>
      <c r="X307" s="590"/>
      <c r="Y307" s="590"/>
      <c r="Z307" s="590"/>
    </row>
    <row r="308" spans="1:26" ht="15.75" customHeight="1">
      <c r="A308" s="590"/>
      <c r="B308" s="590"/>
      <c r="C308" s="590"/>
      <c r="D308" s="590"/>
      <c r="E308" s="590"/>
      <c r="F308" s="590"/>
      <c r="G308" s="590"/>
      <c r="H308" s="590"/>
      <c r="I308" s="590"/>
      <c r="J308" s="590"/>
      <c r="K308" s="590"/>
      <c r="L308" s="590"/>
      <c r="M308" s="590"/>
      <c r="N308" s="590"/>
      <c r="O308" s="590"/>
      <c r="P308" s="590"/>
      <c r="Q308" s="590"/>
      <c r="R308" s="590"/>
      <c r="S308" s="590"/>
      <c r="T308" s="590"/>
      <c r="U308" s="590"/>
      <c r="V308" s="590"/>
      <c r="W308" s="590"/>
      <c r="X308" s="590"/>
      <c r="Y308" s="590"/>
      <c r="Z308" s="590"/>
    </row>
    <row r="309" spans="1:26" ht="15.75" customHeight="1">
      <c r="A309" s="590"/>
      <c r="B309" s="590"/>
      <c r="C309" s="590"/>
      <c r="D309" s="590"/>
      <c r="E309" s="590"/>
      <c r="F309" s="590"/>
      <c r="G309" s="590"/>
      <c r="H309" s="590"/>
      <c r="I309" s="590"/>
      <c r="J309" s="590"/>
      <c r="K309" s="590"/>
      <c r="L309" s="590"/>
      <c r="M309" s="590"/>
      <c r="N309" s="590"/>
      <c r="O309" s="590"/>
      <c r="P309" s="590"/>
      <c r="Q309" s="590"/>
      <c r="R309" s="590"/>
      <c r="S309" s="590"/>
      <c r="T309" s="590"/>
      <c r="U309" s="590"/>
      <c r="V309" s="590"/>
      <c r="W309" s="590"/>
      <c r="X309" s="590"/>
      <c r="Y309" s="590"/>
      <c r="Z309" s="590"/>
    </row>
    <row r="310" spans="1:26" ht="15.75" customHeight="1">
      <c r="A310" s="590"/>
      <c r="B310" s="590"/>
      <c r="C310" s="590"/>
      <c r="D310" s="590"/>
      <c r="E310" s="590"/>
      <c r="F310" s="590"/>
      <c r="G310" s="590"/>
      <c r="H310" s="590"/>
      <c r="I310" s="590"/>
      <c r="J310" s="590"/>
      <c r="K310" s="590"/>
      <c r="L310" s="590"/>
      <c r="M310" s="590"/>
      <c r="N310" s="590"/>
      <c r="O310" s="590"/>
      <c r="P310" s="590"/>
      <c r="Q310" s="590"/>
      <c r="R310" s="590"/>
      <c r="S310" s="590"/>
      <c r="T310" s="590"/>
      <c r="U310" s="590"/>
      <c r="V310" s="590"/>
      <c r="W310" s="590"/>
      <c r="X310" s="590"/>
      <c r="Y310" s="590"/>
      <c r="Z310" s="590"/>
    </row>
    <row r="311" spans="1:26" ht="15.75" customHeight="1">
      <c r="A311" s="590"/>
      <c r="B311" s="590"/>
      <c r="C311" s="590"/>
      <c r="D311" s="590"/>
      <c r="E311" s="590"/>
      <c r="F311" s="590"/>
      <c r="G311" s="590"/>
      <c r="H311" s="590"/>
      <c r="I311" s="590"/>
      <c r="J311" s="590"/>
      <c r="K311" s="590"/>
      <c r="L311" s="590"/>
      <c r="M311" s="590"/>
      <c r="N311" s="590"/>
      <c r="O311" s="590"/>
      <c r="P311" s="590"/>
      <c r="Q311" s="590"/>
      <c r="R311" s="590"/>
      <c r="S311" s="590"/>
      <c r="T311" s="590"/>
      <c r="U311" s="590"/>
      <c r="V311" s="590"/>
      <c r="W311" s="590"/>
      <c r="X311" s="590"/>
      <c r="Y311" s="590"/>
      <c r="Z311" s="590"/>
    </row>
    <row r="312" spans="1:26" ht="15.75" customHeight="1">
      <c r="A312" s="590"/>
      <c r="B312" s="590"/>
      <c r="C312" s="590"/>
      <c r="D312" s="590"/>
      <c r="E312" s="590"/>
      <c r="F312" s="590"/>
      <c r="G312" s="590"/>
      <c r="H312" s="590"/>
      <c r="I312" s="590"/>
      <c r="J312" s="590"/>
      <c r="K312" s="590"/>
      <c r="L312" s="590"/>
      <c r="M312" s="590"/>
      <c r="N312" s="590"/>
      <c r="O312" s="590"/>
      <c r="P312" s="590"/>
      <c r="Q312" s="590"/>
      <c r="R312" s="590"/>
      <c r="S312" s="590"/>
      <c r="T312" s="590"/>
      <c r="U312" s="590"/>
      <c r="V312" s="590"/>
      <c r="W312" s="590"/>
      <c r="X312" s="590"/>
      <c r="Y312" s="590"/>
      <c r="Z312" s="590"/>
    </row>
    <row r="313" spans="1:26" ht="15.75" customHeight="1">
      <c r="A313" s="590"/>
      <c r="B313" s="590"/>
      <c r="C313" s="590"/>
      <c r="D313" s="590"/>
      <c r="E313" s="590"/>
      <c r="F313" s="590"/>
      <c r="G313" s="590"/>
      <c r="H313" s="590"/>
      <c r="I313" s="590"/>
      <c r="J313" s="590"/>
      <c r="K313" s="590"/>
      <c r="L313" s="590"/>
      <c r="M313" s="590"/>
      <c r="N313" s="590"/>
      <c r="O313" s="590"/>
      <c r="P313" s="590"/>
      <c r="Q313" s="590"/>
      <c r="R313" s="590"/>
      <c r="S313" s="590"/>
      <c r="T313" s="590"/>
      <c r="U313" s="590"/>
      <c r="V313" s="590"/>
      <c r="W313" s="590"/>
      <c r="X313" s="590"/>
      <c r="Y313" s="590"/>
      <c r="Z313" s="590"/>
    </row>
    <row r="314" spans="1:26" ht="15.75" customHeight="1">
      <c r="A314" s="590"/>
      <c r="B314" s="590"/>
      <c r="C314" s="590"/>
      <c r="D314" s="590"/>
      <c r="E314" s="590"/>
      <c r="F314" s="590"/>
      <c r="G314" s="590"/>
      <c r="H314" s="590"/>
      <c r="I314" s="590"/>
      <c r="J314" s="590"/>
      <c r="K314" s="590"/>
      <c r="L314" s="590"/>
      <c r="M314" s="590"/>
      <c r="N314" s="590"/>
      <c r="O314" s="590"/>
      <c r="P314" s="590"/>
      <c r="Q314" s="590"/>
      <c r="R314" s="590"/>
      <c r="S314" s="590"/>
      <c r="T314" s="590"/>
      <c r="U314" s="590"/>
      <c r="V314" s="590"/>
      <c r="W314" s="590"/>
      <c r="X314" s="590"/>
      <c r="Y314" s="590"/>
      <c r="Z314" s="590"/>
    </row>
    <row r="315" spans="1:26" ht="15.75" customHeight="1">
      <c r="A315" s="590"/>
      <c r="B315" s="590"/>
      <c r="C315" s="590"/>
      <c r="D315" s="590"/>
      <c r="E315" s="590"/>
      <c r="F315" s="590"/>
      <c r="G315" s="590"/>
      <c r="H315" s="590"/>
      <c r="I315" s="590"/>
      <c r="J315" s="590"/>
      <c r="K315" s="590"/>
      <c r="L315" s="590"/>
      <c r="M315" s="590"/>
      <c r="N315" s="590"/>
      <c r="O315" s="590"/>
      <c r="P315" s="590"/>
      <c r="Q315" s="590"/>
      <c r="R315" s="590"/>
      <c r="S315" s="590"/>
      <c r="T315" s="590"/>
      <c r="U315" s="590"/>
      <c r="V315" s="590"/>
      <c r="W315" s="590"/>
      <c r="X315" s="590"/>
      <c r="Y315" s="590"/>
      <c r="Z315" s="590"/>
    </row>
    <row r="316" spans="1:26" ht="15.75" customHeight="1">
      <c r="A316" s="590"/>
      <c r="B316" s="590"/>
      <c r="C316" s="590"/>
      <c r="D316" s="590"/>
      <c r="E316" s="590"/>
      <c r="F316" s="590"/>
      <c r="G316" s="590"/>
      <c r="H316" s="590"/>
      <c r="I316" s="590"/>
      <c r="J316" s="590"/>
      <c r="K316" s="590"/>
      <c r="L316" s="590"/>
      <c r="M316" s="590"/>
      <c r="N316" s="590"/>
      <c r="O316" s="590"/>
      <c r="P316" s="590"/>
      <c r="Q316" s="590"/>
      <c r="R316" s="590"/>
      <c r="S316" s="590"/>
      <c r="T316" s="590"/>
      <c r="U316" s="590"/>
      <c r="V316" s="590"/>
      <c r="W316" s="590"/>
      <c r="X316" s="590"/>
      <c r="Y316" s="590"/>
      <c r="Z316" s="590"/>
    </row>
    <row r="317" spans="1:26" ht="15.75" customHeight="1">
      <c r="A317" s="590"/>
      <c r="B317" s="590"/>
      <c r="C317" s="590"/>
      <c r="D317" s="590"/>
      <c r="E317" s="590"/>
      <c r="F317" s="590"/>
      <c r="G317" s="590"/>
      <c r="H317" s="590"/>
      <c r="I317" s="590"/>
      <c r="J317" s="590"/>
      <c r="K317" s="590"/>
      <c r="L317" s="590"/>
      <c r="M317" s="590"/>
      <c r="N317" s="590"/>
      <c r="O317" s="590"/>
      <c r="P317" s="590"/>
      <c r="Q317" s="590"/>
      <c r="R317" s="590"/>
      <c r="S317" s="590"/>
      <c r="T317" s="590"/>
      <c r="U317" s="590"/>
      <c r="V317" s="590"/>
      <c r="W317" s="590"/>
      <c r="X317" s="590"/>
      <c r="Y317" s="590"/>
      <c r="Z317" s="590"/>
    </row>
    <row r="318" spans="1:26" ht="15.75" customHeight="1">
      <c r="A318" s="590"/>
      <c r="B318" s="590"/>
      <c r="C318" s="590"/>
      <c r="D318" s="590"/>
      <c r="E318" s="590"/>
      <c r="F318" s="590"/>
      <c r="G318" s="590"/>
      <c r="H318" s="590"/>
      <c r="I318" s="590"/>
      <c r="J318" s="590"/>
      <c r="K318" s="590"/>
      <c r="L318" s="590"/>
      <c r="M318" s="590"/>
      <c r="N318" s="590"/>
      <c r="O318" s="590"/>
      <c r="P318" s="590"/>
      <c r="Q318" s="590"/>
      <c r="R318" s="590"/>
      <c r="S318" s="590"/>
      <c r="T318" s="590"/>
      <c r="U318" s="590"/>
      <c r="V318" s="590"/>
      <c r="W318" s="590"/>
      <c r="X318" s="590"/>
      <c r="Y318" s="590"/>
      <c r="Z318" s="590"/>
    </row>
    <row r="319" spans="1:26" ht="15.75" customHeight="1">
      <c r="A319" s="590"/>
      <c r="B319" s="590"/>
      <c r="C319" s="590"/>
      <c r="D319" s="590"/>
      <c r="E319" s="590"/>
      <c r="F319" s="590"/>
      <c r="G319" s="590"/>
      <c r="H319" s="590"/>
      <c r="I319" s="590"/>
      <c r="J319" s="590"/>
      <c r="K319" s="590"/>
      <c r="L319" s="590"/>
      <c r="M319" s="590"/>
      <c r="N319" s="590"/>
      <c r="O319" s="590"/>
      <c r="P319" s="590"/>
      <c r="Q319" s="590"/>
      <c r="R319" s="590"/>
      <c r="S319" s="590"/>
      <c r="T319" s="590"/>
      <c r="U319" s="590"/>
      <c r="V319" s="590"/>
      <c r="W319" s="590"/>
      <c r="X319" s="590"/>
      <c r="Y319" s="590"/>
      <c r="Z319" s="590"/>
    </row>
    <row r="320" spans="1:26" ht="15.75" customHeight="1">
      <c r="A320" s="590"/>
      <c r="B320" s="590"/>
      <c r="C320" s="590"/>
      <c r="D320" s="590"/>
      <c r="E320" s="590"/>
      <c r="F320" s="590"/>
      <c r="G320" s="590"/>
      <c r="H320" s="590"/>
      <c r="I320" s="590"/>
      <c r="J320" s="590"/>
      <c r="K320" s="590"/>
      <c r="L320" s="590"/>
      <c r="M320" s="590"/>
      <c r="N320" s="590"/>
      <c r="O320" s="590"/>
      <c r="P320" s="590"/>
      <c r="Q320" s="590"/>
      <c r="R320" s="590"/>
      <c r="S320" s="590"/>
      <c r="T320" s="590"/>
      <c r="U320" s="590"/>
      <c r="V320" s="590"/>
      <c r="W320" s="590"/>
      <c r="X320" s="590"/>
      <c r="Y320" s="590"/>
      <c r="Z320" s="590"/>
    </row>
    <row r="321" spans="1:26" ht="15.75" customHeight="1">
      <c r="A321" s="590"/>
      <c r="B321" s="590"/>
      <c r="C321" s="590"/>
      <c r="D321" s="590"/>
      <c r="E321" s="590"/>
      <c r="F321" s="590"/>
      <c r="G321" s="590"/>
      <c r="H321" s="590"/>
      <c r="I321" s="590"/>
      <c r="J321" s="590"/>
      <c r="K321" s="590"/>
      <c r="L321" s="590"/>
      <c r="M321" s="590"/>
      <c r="N321" s="590"/>
      <c r="O321" s="590"/>
      <c r="P321" s="590"/>
      <c r="Q321" s="590"/>
      <c r="R321" s="590"/>
      <c r="S321" s="590"/>
      <c r="T321" s="590"/>
      <c r="U321" s="590"/>
      <c r="V321" s="590"/>
      <c r="W321" s="590"/>
      <c r="X321" s="590"/>
      <c r="Y321" s="590"/>
      <c r="Z321" s="590"/>
    </row>
    <row r="322" spans="1:26" ht="15.75" customHeight="1">
      <c r="A322" s="590"/>
      <c r="B322" s="590"/>
      <c r="C322" s="590"/>
      <c r="D322" s="590"/>
      <c r="E322" s="590"/>
      <c r="F322" s="590"/>
      <c r="G322" s="590"/>
      <c r="H322" s="590"/>
      <c r="I322" s="590"/>
      <c r="J322" s="590"/>
      <c r="K322" s="590"/>
      <c r="L322" s="590"/>
      <c r="M322" s="590"/>
      <c r="N322" s="590"/>
      <c r="O322" s="590"/>
      <c r="P322" s="590"/>
      <c r="Q322" s="590"/>
      <c r="R322" s="590"/>
      <c r="S322" s="590"/>
      <c r="T322" s="590"/>
      <c r="U322" s="590"/>
      <c r="V322" s="590"/>
      <c r="W322" s="590"/>
      <c r="X322" s="590"/>
      <c r="Y322" s="590"/>
      <c r="Z322" s="590"/>
    </row>
    <row r="323" spans="1:26" ht="15.75" customHeight="1">
      <c r="A323" s="590"/>
      <c r="B323" s="590"/>
      <c r="C323" s="590"/>
      <c r="D323" s="590"/>
      <c r="E323" s="590"/>
      <c r="F323" s="590"/>
      <c r="G323" s="590"/>
      <c r="H323" s="590"/>
      <c r="I323" s="590"/>
      <c r="J323" s="590"/>
      <c r="K323" s="590"/>
      <c r="L323" s="590"/>
      <c r="M323" s="590"/>
      <c r="N323" s="590"/>
      <c r="O323" s="590"/>
      <c r="P323" s="590"/>
      <c r="Q323" s="590"/>
      <c r="R323" s="590"/>
      <c r="S323" s="590"/>
      <c r="T323" s="590"/>
      <c r="U323" s="590"/>
      <c r="V323" s="590"/>
      <c r="W323" s="590"/>
      <c r="X323" s="590"/>
      <c r="Y323" s="590"/>
      <c r="Z323" s="590"/>
    </row>
    <row r="324" spans="1:26" ht="15.75" customHeight="1">
      <c r="A324" s="590"/>
      <c r="B324" s="590"/>
      <c r="C324" s="590"/>
      <c r="D324" s="590"/>
      <c r="E324" s="590"/>
      <c r="F324" s="590"/>
      <c r="G324" s="590"/>
      <c r="H324" s="590"/>
      <c r="I324" s="590"/>
      <c r="J324" s="590"/>
      <c r="K324" s="590"/>
      <c r="L324" s="590"/>
      <c r="M324" s="590"/>
      <c r="N324" s="590"/>
      <c r="O324" s="590"/>
      <c r="P324" s="590"/>
      <c r="Q324" s="590"/>
      <c r="R324" s="590"/>
      <c r="S324" s="590"/>
      <c r="T324" s="590"/>
      <c r="U324" s="590"/>
      <c r="V324" s="590"/>
      <c r="W324" s="590"/>
      <c r="X324" s="590"/>
      <c r="Y324" s="590"/>
      <c r="Z324" s="590"/>
    </row>
    <row r="325" spans="1:26" ht="15.75" customHeight="1">
      <c r="A325" s="590"/>
      <c r="B325" s="590"/>
      <c r="C325" s="590"/>
      <c r="D325" s="590"/>
      <c r="E325" s="590"/>
      <c r="F325" s="590"/>
      <c r="G325" s="590"/>
      <c r="H325" s="590"/>
      <c r="I325" s="590"/>
      <c r="J325" s="590"/>
      <c r="K325" s="590"/>
      <c r="L325" s="590"/>
      <c r="M325" s="590"/>
      <c r="N325" s="590"/>
      <c r="O325" s="590"/>
      <c r="P325" s="590"/>
      <c r="Q325" s="590"/>
      <c r="R325" s="590"/>
      <c r="S325" s="590"/>
      <c r="T325" s="590"/>
      <c r="U325" s="590"/>
      <c r="V325" s="590"/>
      <c r="W325" s="590"/>
      <c r="X325" s="590"/>
      <c r="Y325" s="590"/>
      <c r="Z325" s="590"/>
    </row>
    <row r="326" spans="1:26" ht="15.75" customHeight="1">
      <c r="A326" s="590"/>
      <c r="B326" s="590"/>
      <c r="C326" s="590"/>
      <c r="D326" s="590"/>
      <c r="E326" s="590"/>
      <c r="F326" s="590"/>
      <c r="G326" s="590"/>
      <c r="H326" s="590"/>
      <c r="I326" s="590"/>
      <c r="J326" s="590"/>
      <c r="K326" s="590"/>
      <c r="L326" s="590"/>
      <c r="M326" s="590"/>
      <c r="N326" s="590"/>
      <c r="O326" s="590"/>
      <c r="P326" s="590"/>
      <c r="Q326" s="590"/>
      <c r="R326" s="590"/>
      <c r="S326" s="590"/>
      <c r="T326" s="590"/>
      <c r="U326" s="590"/>
      <c r="V326" s="590"/>
      <c r="W326" s="590"/>
      <c r="X326" s="590"/>
      <c r="Y326" s="590"/>
      <c r="Z326" s="590"/>
    </row>
    <row r="327" spans="1:26" ht="15.75" customHeight="1">
      <c r="A327" s="590"/>
      <c r="B327" s="590"/>
      <c r="C327" s="590"/>
      <c r="D327" s="590"/>
      <c r="E327" s="590"/>
      <c r="F327" s="590"/>
      <c r="G327" s="590"/>
      <c r="H327" s="590"/>
      <c r="I327" s="590"/>
      <c r="J327" s="590"/>
      <c r="K327" s="590"/>
      <c r="L327" s="590"/>
      <c r="M327" s="590"/>
      <c r="N327" s="590"/>
      <c r="O327" s="590"/>
      <c r="P327" s="590"/>
      <c r="Q327" s="590"/>
      <c r="R327" s="590"/>
      <c r="S327" s="590"/>
      <c r="T327" s="590"/>
      <c r="U327" s="590"/>
      <c r="V327" s="590"/>
      <c r="W327" s="590"/>
      <c r="X327" s="590"/>
      <c r="Y327" s="590"/>
      <c r="Z327" s="590"/>
    </row>
    <row r="328" spans="1:26" ht="15.75" customHeight="1">
      <c r="A328" s="590"/>
      <c r="B328" s="590"/>
      <c r="C328" s="590"/>
      <c r="D328" s="590"/>
      <c r="E328" s="590"/>
      <c r="F328" s="590"/>
      <c r="G328" s="590"/>
      <c r="H328" s="590"/>
      <c r="I328" s="590"/>
      <c r="J328" s="590"/>
      <c r="K328" s="590"/>
      <c r="L328" s="590"/>
      <c r="M328" s="590"/>
      <c r="N328" s="590"/>
      <c r="O328" s="590"/>
      <c r="P328" s="590"/>
      <c r="Q328" s="590"/>
      <c r="R328" s="590"/>
      <c r="S328" s="590"/>
      <c r="T328" s="590"/>
      <c r="U328" s="590"/>
      <c r="V328" s="590"/>
      <c r="W328" s="590"/>
      <c r="X328" s="590"/>
      <c r="Y328" s="590"/>
      <c r="Z328" s="590"/>
    </row>
    <row r="329" spans="1:26" ht="15.75" customHeight="1">
      <c r="A329" s="590"/>
      <c r="B329" s="590"/>
      <c r="C329" s="590"/>
      <c r="D329" s="590"/>
      <c r="E329" s="590"/>
      <c r="F329" s="590"/>
      <c r="G329" s="590"/>
      <c r="H329" s="590"/>
      <c r="I329" s="590"/>
      <c r="J329" s="590"/>
      <c r="K329" s="590"/>
      <c r="L329" s="590"/>
      <c r="M329" s="590"/>
      <c r="N329" s="590"/>
      <c r="O329" s="590"/>
      <c r="P329" s="590"/>
      <c r="Q329" s="590"/>
      <c r="R329" s="590"/>
      <c r="S329" s="590"/>
      <c r="T329" s="590"/>
      <c r="U329" s="590"/>
      <c r="V329" s="590"/>
      <c r="W329" s="590"/>
      <c r="X329" s="590"/>
      <c r="Y329" s="590"/>
      <c r="Z329" s="590"/>
    </row>
    <row r="330" spans="1:26" ht="15.75" customHeight="1">
      <c r="A330" s="590"/>
      <c r="B330" s="590"/>
      <c r="C330" s="590"/>
      <c r="D330" s="590"/>
      <c r="E330" s="590"/>
      <c r="F330" s="590"/>
      <c r="G330" s="590"/>
      <c r="H330" s="590"/>
      <c r="I330" s="590"/>
      <c r="J330" s="590"/>
      <c r="K330" s="590"/>
      <c r="L330" s="590"/>
      <c r="M330" s="590"/>
      <c r="N330" s="590"/>
      <c r="O330" s="590"/>
      <c r="P330" s="590"/>
      <c r="Q330" s="590"/>
      <c r="R330" s="590"/>
      <c r="S330" s="590"/>
      <c r="T330" s="590"/>
      <c r="U330" s="590"/>
      <c r="V330" s="590"/>
      <c r="W330" s="590"/>
      <c r="X330" s="590"/>
      <c r="Y330" s="590"/>
      <c r="Z330" s="590"/>
    </row>
    <row r="331" spans="1:26" ht="15.75" customHeight="1">
      <c r="A331" s="590"/>
      <c r="B331" s="590"/>
      <c r="C331" s="590"/>
      <c r="D331" s="590"/>
      <c r="E331" s="590"/>
      <c r="F331" s="590"/>
      <c r="G331" s="590"/>
      <c r="H331" s="590"/>
      <c r="I331" s="590"/>
      <c r="J331" s="590"/>
      <c r="K331" s="590"/>
      <c r="L331" s="590"/>
      <c r="M331" s="590"/>
      <c r="N331" s="590"/>
      <c r="O331" s="590"/>
      <c r="P331" s="590"/>
      <c r="Q331" s="590"/>
      <c r="R331" s="590"/>
      <c r="S331" s="590"/>
      <c r="T331" s="590"/>
      <c r="U331" s="590"/>
      <c r="V331" s="590"/>
      <c r="W331" s="590"/>
      <c r="X331" s="590"/>
      <c r="Y331" s="590"/>
      <c r="Z331" s="590"/>
    </row>
    <row r="332" spans="1:26" ht="15.75" customHeight="1">
      <c r="A332" s="590"/>
      <c r="B332" s="590"/>
      <c r="C332" s="590"/>
      <c r="D332" s="590"/>
      <c r="E332" s="590"/>
      <c r="F332" s="590"/>
      <c r="G332" s="590"/>
      <c r="H332" s="590"/>
      <c r="I332" s="590"/>
      <c r="J332" s="590"/>
      <c r="K332" s="590"/>
      <c r="L332" s="590"/>
      <c r="M332" s="590"/>
      <c r="N332" s="590"/>
      <c r="O332" s="590"/>
      <c r="P332" s="590"/>
      <c r="Q332" s="590"/>
      <c r="R332" s="590"/>
      <c r="S332" s="590"/>
      <c r="T332" s="590"/>
      <c r="U332" s="590"/>
      <c r="V332" s="590"/>
      <c r="W332" s="590"/>
      <c r="X332" s="590"/>
      <c r="Y332" s="590"/>
      <c r="Z332" s="590"/>
    </row>
    <row r="333" spans="1:26" ht="15.75" customHeight="1">
      <c r="A333" s="590"/>
      <c r="B333" s="590"/>
      <c r="C333" s="590"/>
      <c r="D333" s="590"/>
      <c r="E333" s="590"/>
      <c r="F333" s="590"/>
      <c r="G333" s="590"/>
      <c r="H333" s="590"/>
      <c r="I333" s="590"/>
      <c r="J333" s="590"/>
      <c r="K333" s="590"/>
      <c r="L333" s="590"/>
      <c r="M333" s="590"/>
      <c r="N333" s="590"/>
      <c r="O333" s="590"/>
      <c r="P333" s="590"/>
      <c r="Q333" s="590"/>
      <c r="R333" s="590"/>
      <c r="S333" s="590"/>
      <c r="T333" s="590"/>
      <c r="U333" s="590"/>
      <c r="V333" s="590"/>
      <c r="W333" s="590"/>
      <c r="X333" s="590"/>
      <c r="Y333" s="590"/>
      <c r="Z333" s="590"/>
    </row>
    <row r="334" spans="1:26" ht="15.75" customHeight="1">
      <c r="A334" s="590"/>
      <c r="B334" s="590"/>
      <c r="C334" s="590"/>
      <c r="D334" s="590"/>
      <c r="E334" s="590"/>
      <c r="F334" s="590"/>
      <c r="G334" s="590"/>
      <c r="H334" s="590"/>
      <c r="I334" s="590"/>
      <c r="J334" s="590"/>
      <c r="K334" s="590"/>
      <c r="L334" s="590"/>
      <c r="M334" s="590"/>
      <c r="N334" s="590"/>
      <c r="O334" s="590"/>
      <c r="P334" s="590"/>
      <c r="Q334" s="590"/>
      <c r="R334" s="590"/>
      <c r="S334" s="590"/>
      <c r="T334" s="590"/>
      <c r="U334" s="590"/>
      <c r="V334" s="590"/>
      <c r="W334" s="590"/>
      <c r="X334" s="590"/>
      <c r="Y334" s="590"/>
      <c r="Z334" s="590"/>
    </row>
    <row r="335" spans="1:26" ht="15.75" customHeight="1">
      <c r="A335" s="590"/>
      <c r="B335" s="590"/>
      <c r="C335" s="590"/>
      <c r="D335" s="590"/>
      <c r="E335" s="590"/>
      <c r="F335" s="590"/>
      <c r="G335" s="590"/>
      <c r="H335" s="590"/>
      <c r="I335" s="590"/>
      <c r="J335" s="590"/>
      <c r="K335" s="590"/>
      <c r="L335" s="590"/>
      <c r="M335" s="590"/>
      <c r="N335" s="590"/>
      <c r="O335" s="590"/>
      <c r="P335" s="590"/>
      <c r="Q335" s="590"/>
      <c r="R335" s="590"/>
      <c r="S335" s="590"/>
      <c r="T335" s="590"/>
      <c r="U335" s="590"/>
      <c r="V335" s="590"/>
      <c r="W335" s="590"/>
      <c r="X335" s="590"/>
      <c r="Y335" s="590"/>
      <c r="Z335" s="590"/>
    </row>
    <row r="336" spans="1:26" ht="15.75" customHeight="1">
      <c r="A336" s="590"/>
      <c r="B336" s="590"/>
      <c r="C336" s="590"/>
      <c r="D336" s="590"/>
      <c r="E336" s="590"/>
      <c r="F336" s="590"/>
      <c r="G336" s="590"/>
      <c r="H336" s="590"/>
      <c r="I336" s="590"/>
      <c r="J336" s="590"/>
      <c r="K336" s="590"/>
      <c r="L336" s="590"/>
      <c r="M336" s="590"/>
      <c r="N336" s="590"/>
      <c r="O336" s="590"/>
      <c r="P336" s="590"/>
      <c r="Q336" s="590"/>
      <c r="R336" s="590"/>
      <c r="S336" s="590"/>
      <c r="T336" s="590"/>
      <c r="U336" s="590"/>
      <c r="V336" s="590"/>
      <c r="W336" s="590"/>
      <c r="X336" s="590"/>
      <c r="Y336" s="590"/>
      <c r="Z336" s="590"/>
    </row>
    <row r="337" spans="1:26" ht="15.75" customHeight="1">
      <c r="A337" s="590"/>
      <c r="B337" s="590"/>
      <c r="C337" s="590"/>
      <c r="D337" s="590"/>
      <c r="E337" s="590"/>
      <c r="F337" s="590"/>
      <c r="G337" s="590"/>
      <c r="H337" s="590"/>
      <c r="I337" s="590"/>
      <c r="J337" s="590"/>
      <c r="K337" s="590"/>
      <c r="L337" s="590"/>
      <c r="M337" s="590"/>
      <c r="N337" s="590"/>
      <c r="O337" s="590"/>
      <c r="P337" s="590"/>
      <c r="Q337" s="590"/>
      <c r="R337" s="590"/>
      <c r="S337" s="590"/>
      <c r="T337" s="590"/>
      <c r="U337" s="590"/>
      <c r="V337" s="590"/>
      <c r="W337" s="590"/>
      <c r="X337" s="590"/>
      <c r="Y337" s="590"/>
      <c r="Z337" s="590"/>
    </row>
    <row r="338" spans="1:26" ht="15.75" customHeight="1">
      <c r="A338" s="590"/>
      <c r="B338" s="590"/>
      <c r="C338" s="590"/>
      <c r="D338" s="590"/>
      <c r="E338" s="590"/>
      <c r="F338" s="590"/>
      <c r="G338" s="590"/>
      <c r="H338" s="590"/>
      <c r="I338" s="590"/>
      <c r="J338" s="590"/>
      <c r="K338" s="590"/>
      <c r="L338" s="590"/>
      <c r="M338" s="590"/>
      <c r="N338" s="590"/>
      <c r="O338" s="590"/>
      <c r="P338" s="590"/>
      <c r="Q338" s="590"/>
      <c r="R338" s="590"/>
      <c r="S338" s="590"/>
      <c r="T338" s="590"/>
      <c r="U338" s="590"/>
      <c r="V338" s="590"/>
      <c r="W338" s="590"/>
      <c r="X338" s="590"/>
      <c r="Y338" s="590"/>
      <c r="Z338" s="590"/>
    </row>
    <row r="339" spans="1:26" ht="15.75" customHeight="1">
      <c r="A339" s="590"/>
      <c r="B339" s="590"/>
      <c r="C339" s="590"/>
      <c r="D339" s="590"/>
      <c r="E339" s="590"/>
      <c r="F339" s="590"/>
      <c r="G339" s="590"/>
      <c r="H339" s="590"/>
      <c r="I339" s="590"/>
      <c r="J339" s="590"/>
      <c r="K339" s="590"/>
      <c r="L339" s="590"/>
      <c r="M339" s="590"/>
      <c r="N339" s="590"/>
      <c r="O339" s="590"/>
      <c r="P339" s="590"/>
      <c r="Q339" s="590"/>
      <c r="R339" s="590"/>
      <c r="S339" s="590"/>
      <c r="T339" s="590"/>
      <c r="U339" s="590"/>
      <c r="V339" s="590"/>
      <c r="W339" s="590"/>
      <c r="X339" s="590"/>
      <c r="Y339" s="590"/>
      <c r="Z339" s="590"/>
    </row>
    <row r="340" spans="1:26" ht="15.75" customHeight="1">
      <c r="A340" s="590"/>
      <c r="B340" s="590"/>
      <c r="C340" s="590"/>
      <c r="D340" s="590"/>
      <c r="E340" s="590"/>
      <c r="F340" s="590"/>
      <c r="G340" s="590"/>
      <c r="H340" s="590"/>
      <c r="I340" s="590"/>
      <c r="J340" s="590"/>
      <c r="K340" s="590"/>
      <c r="L340" s="590"/>
      <c r="M340" s="590"/>
      <c r="N340" s="590"/>
      <c r="O340" s="590"/>
      <c r="P340" s="590"/>
      <c r="Q340" s="590"/>
      <c r="R340" s="590"/>
      <c r="S340" s="590"/>
      <c r="T340" s="590"/>
      <c r="U340" s="590"/>
      <c r="V340" s="590"/>
      <c r="W340" s="590"/>
      <c r="X340" s="590"/>
      <c r="Y340" s="590"/>
      <c r="Z340" s="590"/>
    </row>
    <row r="341" spans="1:26" ht="15.75" customHeight="1">
      <c r="A341" s="590"/>
      <c r="B341" s="590"/>
      <c r="C341" s="590"/>
      <c r="D341" s="590"/>
      <c r="E341" s="590"/>
      <c r="F341" s="590"/>
      <c r="G341" s="590"/>
      <c r="H341" s="590"/>
      <c r="I341" s="590"/>
      <c r="J341" s="590"/>
      <c r="K341" s="590"/>
      <c r="L341" s="590"/>
      <c r="M341" s="590"/>
      <c r="N341" s="590"/>
      <c r="O341" s="590"/>
      <c r="P341" s="590"/>
      <c r="Q341" s="590"/>
      <c r="R341" s="590"/>
      <c r="S341" s="590"/>
      <c r="T341" s="590"/>
      <c r="U341" s="590"/>
      <c r="V341" s="590"/>
      <c r="W341" s="590"/>
      <c r="X341" s="590"/>
      <c r="Y341" s="590"/>
      <c r="Z341" s="590"/>
    </row>
    <row r="342" spans="1:26" ht="15.75" customHeight="1">
      <c r="A342" s="590"/>
      <c r="B342" s="590"/>
      <c r="C342" s="590"/>
      <c r="D342" s="590"/>
      <c r="E342" s="590"/>
      <c r="F342" s="590"/>
      <c r="G342" s="590"/>
      <c r="H342" s="590"/>
      <c r="I342" s="590"/>
      <c r="J342" s="590"/>
      <c r="K342" s="590"/>
      <c r="L342" s="590"/>
      <c r="M342" s="590"/>
      <c r="N342" s="590"/>
      <c r="O342" s="590"/>
      <c r="P342" s="590"/>
      <c r="Q342" s="590"/>
      <c r="R342" s="590"/>
      <c r="S342" s="590"/>
      <c r="T342" s="590"/>
      <c r="U342" s="590"/>
      <c r="V342" s="590"/>
      <c r="W342" s="590"/>
      <c r="X342" s="590"/>
      <c r="Y342" s="590"/>
      <c r="Z342" s="590"/>
    </row>
    <row r="343" spans="1:26" ht="15.75" customHeight="1">
      <c r="A343" s="590"/>
      <c r="B343" s="590"/>
      <c r="C343" s="590"/>
      <c r="D343" s="590"/>
      <c r="E343" s="590"/>
      <c r="F343" s="590"/>
      <c r="G343" s="590"/>
      <c r="H343" s="590"/>
      <c r="I343" s="590"/>
      <c r="J343" s="590"/>
      <c r="K343" s="590"/>
      <c r="L343" s="590"/>
      <c r="M343" s="590"/>
      <c r="N343" s="590"/>
      <c r="O343" s="590"/>
      <c r="P343" s="590"/>
      <c r="Q343" s="590"/>
      <c r="R343" s="590"/>
      <c r="S343" s="590"/>
      <c r="T343" s="590"/>
      <c r="U343" s="590"/>
      <c r="V343" s="590"/>
      <c r="W343" s="590"/>
      <c r="X343" s="590"/>
      <c r="Y343" s="590"/>
      <c r="Z343" s="590"/>
    </row>
    <row r="344" spans="1:26" ht="15.75" customHeight="1">
      <c r="A344" s="590"/>
      <c r="B344" s="590"/>
      <c r="C344" s="590"/>
      <c r="D344" s="590"/>
      <c r="E344" s="590"/>
      <c r="F344" s="590"/>
      <c r="G344" s="590"/>
      <c r="H344" s="590"/>
      <c r="I344" s="590"/>
      <c r="J344" s="590"/>
      <c r="K344" s="590"/>
      <c r="L344" s="590"/>
      <c r="M344" s="590"/>
      <c r="N344" s="590"/>
      <c r="O344" s="590"/>
      <c r="P344" s="590"/>
      <c r="Q344" s="590"/>
      <c r="R344" s="590"/>
      <c r="S344" s="590"/>
      <c r="T344" s="590"/>
      <c r="U344" s="590"/>
      <c r="V344" s="590"/>
      <c r="W344" s="590"/>
      <c r="X344" s="590"/>
      <c r="Y344" s="590"/>
      <c r="Z344" s="590"/>
    </row>
    <row r="345" spans="1:26" ht="15.75" customHeight="1">
      <c r="A345" s="590"/>
      <c r="B345" s="590"/>
      <c r="C345" s="590"/>
      <c r="D345" s="590"/>
      <c r="E345" s="590"/>
      <c r="F345" s="590"/>
      <c r="G345" s="590"/>
      <c r="H345" s="590"/>
      <c r="I345" s="590"/>
      <c r="J345" s="590"/>
      <c r="K345" s="590"/>
      <c r="L345" s="590"/>
      <c r="M345" s="590"/>
      <c r="N345" s="590"/>
      <c r="O345" s="590"/>
      <c r="P345" s="590"/>
      <c r="Q345" s="590"/>
      <c r="R345" s="590"/>
      <c r="S345" s="590"/>
      <c r="T345" s="590"/>
      <c r="U345" s="590"/>
      <c r="V345" s="590"/>
      <c r="W345" s="590"/>
      <c r="X345" s="590"/>
      <c r="Y345" s="590"/>
      <c r="Z345" s="590"/>
    </row>
    <row r="346" spans="1:26" ht="15.75" customHeight="1">
      <c r="A346" s="590"/>
      <c r="B346" s="590"/>
      <c r="C346" s="590"/>
      <c r="D346" s="590"/>
      <c r="E346" s="590"/>
      <c r="F346" s="590"/>
      <c r="G346" s="590"/>
      <c r="H346" s="590"/>
      <c r="I346" s="590"/>
      <c r="J346" s="590"/>
      <c r="K346" s="590"/>
      <c r="L346" s="590"/>
      <c r="M346" s="590"/>
      <c r="N346" s="590"/>
      <c r="O346" s="590"/>
      <c r="P346" s="590"/>
      <c r="Q346" s="590"/>
      <c r="R346" s="590"/>
      <c r="S346" s="590"/>
      <c r="T346" s="590"/>
      <c r="U346" s="590"/>
      <c r="V346" s="590"/>
      <c r="W346" s="590"/>
      <c r="X346" s="590"/>
      <c r="Y346" s="590"/>
      <c r="Z346" s="590"/>
    </row>
    <row r="347" spans="1:26" ht="15.75" customHeight="1">
      <c r="A347" s="590"/>
      <c r="B347" s="590"/>
      <c r="C347" s="590"/>
      <c r="D347" s="590"/>
      <c r="E347" s="590"/>
      <c r="F347" s="590"/>
      <c r="G347" s="590"/>
      <c r="H347" s="590"/>
      <c r="I347" s="590"/>
      <c r="J347" s="590"/>
      <c r="K347" s="590"/>
      <c r="L347" s="590"/>
      <c r="M347" s="590"/>
      <c r="N347" s="590"/>
      <c r="O347" s="590"/>
      <c r="P347" s="590"/>
      <c r="Q347" s="590"/>
      <c r="R347" s="590"/>
      <c r="S347" s="590"/>
      <c r="T347" s="590"/>
      <c r="U347" s="590"/>
      <c r="V347" s="590"/>
      <c r="W347" s="590"/>
      <c r="X347" s="590"/>
      <c r="Y347" s="590"/>
      <c r="Z347" s="590"/>
    </row>
    <row r="348" spans="1:26" ht="15.75" customHeight="1">
      <c r="A348" s="590"/>
      <c r="B348" s="590"/>
      <c r="C348" s="590"/>
      <c r="D348" s="590"/>
      <c r="E348" s="590"/>
      <c r="F348" s="590"/>
      <c r="G348" s="590"/>
      <c r="H348" s="590"/>
      <c r="I348" s="590"/>
      <c r="J348" s="590"/>
      <c r="K348" s="590"/>
      <c r="L348" s="590"/>
      <c r="M348" s="590"/>
      <c r="N348" s="590"/>
      <c r="O348" s="590"/>
      <c r="P348" s="590"/>
      <c r="Q348" s="590"/>
      <c r="R348" s="590"/>
      <c r="S348" s="590"/>
      <c r="T348" s="590"/>
      <c r="U348" s="590"/>
      <c r="V348" s="590"/>
      <c r="W348" s="590"/>
      <c r="X348" s="590"/>
      <c r="Y348" s="590"/>
      <c r="Z348" s="590"/>
    </row>
    <row r="349" spans="1:26" ht="15.75" customHeight="1">
      <c r="A349" s="590"/>
      <c r="B349" s="590"/>
      <c r="C349" s="590"/>
      <c r="D349" s="590"/>
      <c r="E349" s="590"/>
      <c r="F349" s="590"/>
      <c r="G349" s="590"/>
      <c r="H349" s="590"/>
      <c r="I349" s="590"/>
      <c r="J349" s="590"/>
      <c r="K349" s="590"/>
      <c r="L349" s="590"/>
      <c r="M349" s="590"/>
      <c r="N349" s="590"/>
      <c r="O349" s="590"/>
      <c r="P349" s="590"/>
      <c r="Q349" s="590"/>
      <c r="R349" s="590"/>
      <c r="S349" s="590"/>
      <c r="T349" s="590"/>
      <c r="U349" s="590"/>
      <c r="V349" s="590"/>
      <c r="W349" s="590"/>
      <c r="X349" s="590"/>
      <c r="Y349" s="590"/>
      <c r="Z349" s="590"/>
    </row>
    <row r="350" spans="1:26" ht="15.75" customHeight="1">
      <c r="A350" s="590"/>
      <c r="B350" s="590"/>
      <c r="C350" s="590"/>
      <c r="D350" s="590"/>
      <c r="E350" s="590"/>
      <c r="F350" s="590"/>
      <c r="G350" s="590"/>
      <c r="H350" s="590"/>
      <c r="I350" s="590"/>
      <c r="J350" s="590"/>
      <c r="K350" s="590"/>
      <c r="L350" s="590"/>
      <c r="M350" s="590"/>
      <c r="N350" s="590"/>
      <c r="O350" s="590"/>
      <c r="P350" s="590"/>
      <c r="Q350" s="590"/>
      <c r="R350" s="590"/>
      <c r="S350" s="590"/>
      <c r="T350" s="590"/>
      <c r="U350" s="590"/>
      <c r="V350" s="590"/>
      <c r="W350" s="590"/>
      <c r="X350" s="590"/>
      <c r="Y350" s="590"/>
      <c r="Z350" s="590"/>
    </row>
    <row r="351" spans="1:26" ht="15.75" customHeight="1">
      <c r="A351" s="590"/>
      <c r="B351" s="590"/>
      <c r="C351" s="590"/>
      <c r="D351" s="590"/>
      <c r="E351" s="590"/>
      <c r="F351" s="590"/>
      <c r="G351" s="590"/>
      <c r="H351" s="590"/>
      <c r="I351" s="590"/>
      <c r="J351" s="590"/>
      <c r="K351" s="590"/>
      <c r="L351" s="590"/>
      <c r="M351" s="590"/>
      <c r="N351" s="590"/>
      <c r="O351" s="590"/>
      <c r="P351" s="590"/>
      <c r="Q351" s="590"/>
      <c r="R351" s="590"/>
      <c r="S351" s="590"/>
      <c r="T351" s="590"/>
      <c r="U351" s="590"/>
      <c r="V351" s="590"/>
      <c r="W351" s="590"/>
      <c r="X351" s="590"/>
      <c r="Y351" s="590"/>
      <c r="Z351" s="590"/>
    </row>
    <row r="352" spans="1:26" ht="15.75" customHeight="1">
      <c r="A352" s="590"/>
      <c r="B352" s="590"/>
      <c r="C352" s="590"/>
      <c r="D352" s="590"/>
      <c r="E352" s="590"/>
      <c r="F352" s="590"/>
      <c r="G352" s="590"/>
      <c r="H352" s="590"/>
      <c r="I352" s="590"/>
      <c r="J352" s="590"/>
      <c r="K352" s="590"/>
      <c r="L352" s="590"/>
      <c r="M352" s="590"/>
      <c r="N352" s="590"/>
      <c r="O352" s="590"/>
      <c r="P352" s="590"/>
      <c r="Q352" s="590"/>
      <c r="R352" s="590"/>
      <c r="S352" s="590"/>
      <c r="T352" s="590"/>
      <c r="U352" s="590"/>
      <c r="V352" s="590"/>
      <c r="W352" s="590"/>
      <c r="X352" s="590"/>
      <c r="Y352" s="590"/>
      <c r="Z352" s="590"/>
    </row>
    <row r="353" spans="1:26" ht="15.75" customHeight="1">
      <c r="A353" s="590"/>
      <c r="B353" s="590"/>
      <c r="C353" s="590"/>
      <c r="D353" s="590"/>
      <c r="E353" s="590"/>
      <c r="F353" s="590"/>
      <c r="G353" s="590"/>
      <c r="H353" s="590"/>
      <c r="I353" s="590"/>
      <c r="J353" s="590"/>
      <c r="K353" s="590"/>
      <c r="L353" s="590"/>
      <c r="M353" s="590"/>
      <c r="N353" s="590"/>
      <c r="O353" s="590"/>
      <c r="P353" s="590"/>
      <c r="Q353" s="590"/>
      <c r="R353" s="590"/>
      <c r="S353" s="590"/>
      <c r="T353" s="590"/>
      <c r="U353" s="590"/>
      <c r="V353" s="590"/>
      <c r="W353" s="590"/>
      <c r="X353" s="590"/>
      <c r="Y353" s="590"/>
      <c r="Z353" s="590"/>
    </row>
    <row r="354" spans="1:26" ht="15.75" customHeight="1">
      <c r="A354" s="590"/>
      <c r="B354" s="590"/>
      <c r="C354" s="590"/>
      <c r="D354" s="590"/>
      <c r="E354" s="590"/>
      <c r="F354" s="590"/>
      <c r="G354" s="590"/>
      <c r="H354" s="590"/>
      <c r="I354" s="590"/>
      <c r="J354" s="590"/>
      <c r="K354" s="590"/>
      <c r="L354" s="590"/>
      <c r="M354" s="590"/>
      <c r="N354" s="590"/>
      <c r="O354" s="590"/>
      <c r="P354" s="590"/>
      <c r="Q354" s="590"/>
      <c r="R354" s="590"/>
      <c r="S354" s="590"/>
      <c r="T354" s="590"/>
      <c r="U354" s="590"/>
      <c r="V354" s="590"/>
      <c r="W354" s="590"/>
      <c r="X354" s="590"/>
      <c r="Y354" s="590"/>
      <c r="Z354" s="590"/>
    </row>
    <row r="355" spans="1:26" ht="15.75" customHeight="1">
      <c r="A355" s="590"/>
      <c r="B355" s="590"/>
      <c r="C355" s="590"/>
      <c r="D355" s="590"/>
      <c r="E355" s="590"/>
      <c r="F355" s="590"/>
      <c r="G355" s="590"/>
      <c r="H355" s="590"/>
      <c r="I355" s="590"/>
      <c r="J355" s="590"/>
      <c r="K355" s="590"/>
      <c r="L355" s="590"/>
      <c r="M355" s="590"/>
      <c r="N355" s="590"/>
      <c r="O355" s="590"/>
      <c r="P355" s="590"/>
      <c r="Q355" s="590"/>
      <c r="R355" s="590"/>
      <c r="S355" s="590"/>
      <c r="T355" s="590"/>
      <c r="U355" s="590"/>
      <c r="V355" s="590"/>
      <c r="W355" s="590"/>
      <c r="X355" s="590"/>
      <c r="Y355" s="590"/>
      <c r="Z355" s="590"/>
    </row>
    <row r="356" spans="1:26" ht="15.75" customHeight="1">
      <c r="A356" s="590"/>
      <c r="B356" s="590"/>
      <c r="C356" s="590"/>
      <c r="D356" s="590"/>
      <c r="E356" s="590"/>
      <c r="F356" s="590"/>
      <c r="G356" s="590"/>
      <c r="H356" s="590"/>
      <c r="I356" s="590"/>
      <c r="J356" s="590"/>
      <c r="K356" s="590"/>
      <c r="L356" s="590"/>
      <c r="M356" s="590"/>
      <c r="N356" s="590"/>
      <c r="O356" s="590"/>
      <c r="P356" s="590"/>
      <c r="Q356" s="590"/>
      <c r="R356" s="590"/>
      <c r="S356" s="590"/>
      <c r="T356" s="590"/>
      <c r="U356" s="590"/>
      <c r="V356" s="590"/>
      <c r="W356" s="590"/>
      <c r="X356" s="590"/>
      <c r="Y356" s="590"/>
      <c r="Z356" s="590"/>
    </row>
    <row r="357" spans="1:26" ht="15.75" customHeight="1">
      <c r="A357" s="590"/>
      <c r="B357" s="590"/>
      <c r="C357" s="590"/>
      <c r="D357" s="590"/>
      <c r="E357" s="590"/>
      <c r="F357" s="590"/>
      <c r="G357" s="590"/>
      <c r="H357" s="590"/>
      <c r="I357" s="590"/>
      <c r="J357" s="590"/>
      <c r="K357" s="590"/>
      <c r="L357" s="590"/>
      <c r="M357" s="590"/>
      <c r="N357" s="590"/>
      <c r="O357" s="590"/>
      <c r="P357" s="590"/>
      <c r="Q357" s="590"/>
      <c r="R357" s="590"/>
      <c r="S357" s="590"/>
      <c r="T357" s="590"/>
      <c r="U357" s="590"/>
      <c r="V357" s="590"/>
      <c r="W357" s="590"/>
      <c r="X357" s="590"/>
      <c r="Y357" s="590"/>
      <c r="Z357" s="590"/>
    </row>
    <row r="358" spans="1:26" ht="15.75" customHeight="1">
      <c r="A358" s="590"/>
      <c r="B358" s="590"/>
      <c r="C358" s="590"/>
      <c r="D358" s="590"/>
      <c r="E358" s="590"/>
      <c r="F358" s="590"/>
      <c r="G358" s="590"/>
      <c r="H358" s="590"/>
      <c r="I358" s="590"/>
      <c r="J358" s="590"/>
      <c r="K358" s="590"/>
      <c r="L358" s="590"/>
      <c r="M358" s="590"/>
      <c r="N358" s="590"/>
      <c r="O358" s="590"/>
      <c r="P358" s="590"/>
      <c r="Q358" s="590"/>
      <c r="R358" s="590"/>
      <c r="S358" s="590"/>
      <c r="T358" s="590"/>
      <c r="U358" s="590"/>
      <c r="V358" s="590"/>
      <c r="W358" s="590"/>
      <c r="X358" s="590"/>
      <c r="Y358" s="590"/>
      <c r="Z358" s="590"/>
    </row>
    <row r="359" spans="1:26" ht="15.75" customHeight="1">
      <c r="A359" s="590"/>
      <c r="B359" s="590"/>
      <c r="C359" s="590"/>
      <c r="D359" s="590"/>
      <c r="E359" s="590"/>
      <c r="F359" s="590"/>
      <c r="G359" s="590"/>
      <c r="H359" s="590"/>
      <c r="I359" s="590"/>
      <c r="J359" s="590"/>
      <c r="K359" s="590"/>
      <c r="L359" s="590"/>
      <c r="M359" s="590"/>
      <c r="N359" s="590"/>
      <c r="O359" s="590"/>
      <c r="P359" s="590"/>
      <c r="Q359" s="590"/>
      <c r="R359" s="590"/>
      <c r="S359" s="590"/>
      <c r="T359" s="590"/>
      <c r="U359" s="590"/>
      <c r="V359" s="590"/>
      <c r="W359" s="590"/>
      <c r="X359" s="590"/>
      <c r="Y359" s="590"/>
      <c r="Z359" s="590"/>
    </row>
    <row r="360" spans="1:26" ht="15.75" customHeight="1">
      <c r="A360" s="590"/>
      <c r="B360" s="590"/>
      <c r="C360" s="590"/>
      <c r="D360" s="590"/>
      <c r="E360" s="590"/>
      <c r="F360" s="590"/>
      <c r="G360" s="590"/>
      <c r="H360" s="590"/>
      <c r="I360" s="590"/>
      <c r="J360" s="590"/>
      <c r="K360" s="590"/>
      <c r="L360" s="590"/>
      <c r="M360" s="590"/>
      <c r="N360" s="590"/>
      <c r="O360" s="590"/>
      <c r="P360" s="590"/>
      <c r="Q360" s="590"/>
      <c r="R360" s="590"/>
      <c r="S360" s="590"/>
      <c r="T360" s="590"/>
      <c r="U360" s="590"/>
      <c r="V360" s="590"/>
      <c r="W360" s="590"/>
      <c r="X360" s="590"/>
      <c r="Y360" s="590"/>
      <c r="Z360" s="590"/>
    </row>
    <row r="361" spans="1:26" ht="15.75" customHeight="1">
      <c r="A361" s="590"/>
      <c r="B361" s="590"/>
      <c r="C361" s="590"/>
      <c r="D361" s="590"/>
      <c r="E361" s="590"/>
      <c r="F361" s="590"/>
      <c r="G361" s="590"/>
      <c r="H361" s="590"/>
      <c r="I361" s="590"/>
      <c r="J361" s="590"/>
      <c r="K361" s="590"/>
      <c r="L361" s="590"/>
      <c r="M361" s="590"/>
      <c r="N361" s="590"/>
      <c r="O361" s="590"/>
      <c r="P361" s="590"/>
      <c r="Q361" s="590"/>
      <c r="R361" s="590"/>
      <c r="S361" s="590"/>
      <c r="T361" s="590"/>
      <c r="U361" s="590"/>
      <c r="V361" s="590"/>
      <c r="W361" s="590"/>
      <c r="X361" s="590"/>
      <c r="Y361" s="590"/>
      <c r="Z361" s="590"/>
    </row>
    <row r="362" spans="1:26" ht="15.75" customHeight="1">
      <c r="A362" s="590"/>
      <c r="B362" s="590"/>
      <c r="C362" s="590"/>
      <c r="D362" s="590"/>
      <c r="E362" s="590"/>
      <c r="F362" s="590"/>
      <c r="G362" s="590"/>
      <c r="H362" s="590"/>
      <c r="I362" s="590"/>
      <c r="J362" s="590"/>
      <c r="K362" s="590"/>
      <c r="L362" s="590"/>
      <c r="M362" s="590"/>
      <c r="N362" s="590"/>
      <c r="O362" s="590"/>
      <c r="P362" s="590"/>
      <c r="Q362" s="590"/>
      <c r="R362" s="590"/>
      <c r="S362" s="590"/>
      <c r="T362" s="590"/>
      <c r="U362" s="590"/>
      <c r="V362" s="590"/>
      <c r="W362" s="590"/>
      <c r="X362" s="590"/>
      <c r="Y362" s="590"/>
      <c r="Z362" s="590"/>
    </row>
    <row r="363" spans="1:26" ht="15.75" customHeight="1">
      <c r="A363" s="590"/>
      <c r="B363" s="590"/>
      <c r="C363" s="590"/>
      <c r="D363" s="590"/>
      <c r="E363" s="590"/>
      <c r="F363" s="590"/>
      <c r="G363" s="590"/>
      <c r="H363" s="590"/>
      <c r="I363" s="590"/>
      <c r="J363" s="590"/>
      <c r="K363" s="590"/>
      <c r="L363" s="590"/>
      <c r="M363" s="590"/>
      <c r="N363" s="590"/>
      <c r="O363" s="590"/>
      <c r="P363" s="590"/>
      <c r="Q363" s="590"/>
      <c r="R363" s="590"/>
      <c r="S363" s="590"/>
      <c r="T363" s="590"/>
      <c r="U363" s="590"/>
      <c r="V363" s="590"/>
      <c r="W363" s="590"/>
      <c r="X363" s="590"/>
      <c r="Y363" s="590"/>
      <c r="Z363" s="590"/>
    </row>
    <row r="364" spans="1:26" ht="15.75" customHeight="1">
      <c r="A364" s="590"/>
      <c r="B364" s="590"/>
      <c r="C364" s="590"/>
      <c r="D364" s="590"/>
      <c r="E364" s="590"/>
      <c r="F364" s="590"/>
      <c r="G364" s="590"/>
      <c r="H364" s="590"/>
      <c r="I364" s="590"/>
      <c r="J364" s="590"/>
      <c r="K364" s="590"/>
      <c r="L364" s="590"/>
      <c r="M364" s="590"/>
      <c r="N364" s="590"/>
      <c r="O364" s="590"/>
      <c r="P364" s="590"/>
      <c r="Q364" s="590"/>
      <c r="R364" s="590"/>
      <c r="S364" s="590"/>
      <c r="T364" s="590"/>
      <c r="U364" s="590"/>
      <c r="V364" s="590"/>
      <c r="W364" s="590"/>
      <c r="X364" s="590"/>
      <c r="Y364" s="590"/>
      <c r="Z364" s="590"/>
    </row>
    <row r="365" spans="1:26" ht="15.75" customHeight="1">
      <c r="A365" s="590"/>
      <c r="B365" s="590"/>
      <c r="C365" s="590"/>
      <c r="D365" s="590"/>
      <c r="E365" s="590"/>
      <c r="F365" s="590"/>
      <c r="G365" s="590"/>
      <c r="H365" s="590"/>
      <c r="I365" s="590"/>
      <c r="J365" s="590"/>
      <c r="K365" s="590"/>
      <c r="L365" s="590"/>
      <c r="M365" s="590"/>
      <c r="N365" s="590"/>
      <c r="O365" s="590"/>
      <c r="P365" s="590"/>
      <c r="Q365" s="590"/>
      <c r="R365" s="590"/>
      <c r="S365" s="590"/>
      <c r="T365" s="590"/>
      <c r="U365" s="590"/>
      <c r="V365" s="590"/>
      <c r="W365" s="590"/>
      <c r="X365" s="590"/>
      <c r="Y365" s="590"/>
      <c r="Z365" s="590"/>
    </row>
    <row r="366" spans="1:26" ht="15.75" customHeight="1">
      <c r="A366" s="590"/>
      <c r="B366" s="590"/>
      <c r="C366" s="590"/>
      <c r="D366" s="590"/>
      <c r="E366" s="590"/>
      <c r="F366" s="590"/>
      <c r="G366" s="590"/>
      <c r="H366" s="590"/>
      <c r="I366" s="590"/>
      <c r="J366" s="590"/>
      <c r="K366" s="590"/>
      <c r="L366" s="590"/>
      <c r="M366" s="590"/>
      <c r="N366" s="590"/>
      <c r="O366" s="590"/>
      <c r="P366" s="590"/>
      <c r="Q366" s="590"/>
      <c r="R366" s="590"/>
      <c r="S366" s="590"/>
      <c r="T366" s="590"/>
      <c r="U366" s="590"/>
      <c r="V366" s="590"/>
      <c r="W366" s="590"/>
      <c r="X366" s="590"/>
      <c r="Y366" s="590"/>
      <c r="Z366" s="590"/>
    </row>
    <row r="367" spans="1:26" ht="15.75" customHeight="1">
      <c r="A367" s="590"/>
      <c r="B367" s="590"/>
      <c r="C367" s="590"/>
      <c r="D367" s="590"/>
      <c r="E367" s="590"/>
      <c r="F367" s="590"/>
      <c r="G367" s="590"/>
      <c r="H367" s="590"/>
      <c r="I367" s="590"/>
      <c r="J367" s="590"/>
      <c r="K367" s="590"/>
      <c r="L367" s="590"/>
      <c r="M367" s="590"/>
      <c r="N367" s="590"/>
      <c r="O367" s="590"/>
      <c r="P367" s="590"/>
      <c r="Q367" s="590"/>
      <c r="R367" s="590"/>
      <c r="S367" s="590"/>
      <c r="T367" s="590"/>
      <c r="U367" s="590"/>
      <c r="V367" s="590"/>
      <c r="W367" s="590"/>
      <c r="X367" s="590"/>
      <c r="Y367" s="590"/>
      <c r="Z367" s="590"/>
    </row>
    <row r="368" spans="1:26" ht="15.75" customHeight="1">
      <c r="A368" s="590"/>
      <c r="B368" s="590"/>
      <c r="C368" s="590"/>
      <c r="D368" s="590"/>
      <c r="E368" s="590"/>
      <c r="F368" s="590"/>
      <c r="G368" s="590"/>
      <c r="H368" s="590"/>
      <c r="I368" s="590"/>
      <c r="J368" s="590"/>
      <c r="K368" s="590"/>
      <c r="L368" s="590"/>
      <c r="M368" s="590"/>
      <c r="N368" s="590"/>
      <c r="O368" s="590"/>
      <c r="P368" s="590"/>
      <c r="Q368" s="590"/>
      <c r="R368" s="590"/>
      <c r="S368" s="590"/>
      <c r="T368" s="590"/>
      <c r="U368" s="590"/>
      <c r="V368" s="590"/>
      <c r="W368" s="590"/>
      <c r="X368" s="590"/>
      <c r="Y368" s="590"/>
      <c r="Z368" s="590"/>
    </row>
    <row r="369" spans="1:26" ht="15.75" customHeight="1">
      <c r="A369" s="590"/>
      <c r="B369" s="590"/>
      <c r="C369" s="590"/>
      <c r="D369" s="590"/>
      <c r="E369" s="590"/>
      <c r="F369" s="590"/>
      <c r="G369" s="590"/>
      <c r="H369" s="590"/>
      <c r="I369" s="590"/>
      <c r="J369" s="590"/>
      <c r="K369" s="590"/>
      <c r="L369" s="590"/>
      <c r="M369" s="590"/>
      <c r="N369" s="590"/>
      <c r="O369" s="590"/>
      <c r="P369" s="590"/>
      <c r="Q369" s="590"/>
      <c r="R369" s="590"/>
      <c r="S369" s="590"/>
      <c r="T369" s="590"/>
      <c r="U369" s="590"/>
      <c r="V369" s="590"/>
      <c r="W369" s="590"/>
      <c r="X369" s="590"/>
      <c r="Y369" s="590"/>
      <c r="Z369" s="590"/>
    </row>
    <row r="370" spans="1:26" ht="15.75" customHeight="1">
      <c r="A370" s="590"/>
      <c r="B370" s="590"/>
      <c r="C370" s="590"/>
      <c r="D370" s="590"/>
      <c r="E370" s="590"/>
      <c r="F370" s="590"/>
      <c r="G370" s="590"/>
      <c r="H370" s="590"/>
      <c r="I370" s="590"/>
      <c r="J370" s="590"/>
      <c r="K370" s="590"/>
      <c r="L370" s="590"/>
      <c r="M370" s="590"/>
      <c r="N370" s="590"/>
      <c r="O370" s="590"/>
      <c r="P370" s="590"/>
      <c r="Q370" s="590"/>
      <c r="R370" s="590"/>
      <c r="S370" s="590"/>
      <c r="T370" s="590"/>
      <c r="U370" s="590"/>
      <c r="V370" s="590"/>
      <c r="W370" s="590"/>
      <c r="X370" s="590"/>
      <c r="Y370" s="590"/>
      <c r="Z370" s="590"/>
    </row>
    <row r="371" spans="1:26" ht="15.75" customHeight="1">
      <c r="A371" s="590"/>
      <c r="B371" s="590"/>
      <c r="C371" s="590"/>
      <c r="D371" s="590"/>
      <c r="E371" s="590"/>
      <c r="F371" s="590"/>
      <c r="G371" s="590"/>
      <c r="H371" s="590"/>
      <c r="I371" s="590"/>
      <c r="J371" s="590"/>
      <c r="K371" s="590"/>
      <c r="L371" s="590"/>
      <c r="M371" s="590"/>
      <c r="N371" s="590"/>
      <c r="O371" s="590"/>
      <c r="P371" s="590"/>
      <c r="Q371" s="590"/>
      <c r="R371" s="590"/>
      <c r="S371" s="590"/>
      <c r="T371" s="590"/>
      <c r="U371" s="590"/>
      <c r="V371" s="590"/>
      <c r="W371" s="590"/>
      <c r="X371" s="590"/>
      <c r="Y371" s="590"/>
      <c r="Z371" s="590"/>
    </row>
    <row r="372" spans="1:26" ht="15.75" customHeight="1">
      <c r="A372" s="590"/>
      <c r="B372" s="590"/>
      <c r="C372" s="590"/>
      <c r="D372" s="590"/>
      <c r="E372" s="590"/>
      <c r="F372" s="590"/>
      <c r="G372" s="590"/>
      <c r="H372" s="590"/>
      <c r="I372" s="590"/>
      <c r="J372" s="590"/>
      <c r="K372" s="590"/>
      <c r="L372" s="590"/>
      <c r="M372" s="590"/>
      <c r="N372" s="590"/>
      <c r="O372" s="590"/>
      <c r="P372" s="590"/>
      <c r="Q372" s="590"/>
      <c r="R372" s="590"/>
      <c r="S372" s="590"/>
      <c r="T372" s="590"/>
      <c r="U372" s="590"/>
      <c r="V372" s="590"/>
      <c r="W372" s="590"/>
      <c r="X372" s="590"/>
      <c r="Y372" s="590"/>
      <c r="Z372" s="590"/>
    </row>
    <row r="373" spans="1:26" ht="15.75" customHeight="1">
      <c r="A373" s="590"/>
      <c r="B373" s="590"/>
      <c r="C373" s="590"/>
      <c r="D373" s="590"/>
      <c r="E373" s="590"/>
      <c r="F373" s="590"/>
      <c r="G373" s="590"/>
      <c r="H373" s="590"/>
      <c r="I373" s="590"/>
      <c r="J373" s="590"/>
      <c r="K373" s="590"/>
      <c r="L373" s="590"/>
      <c r="M373" s="590"/>
      <c r="N373" s="590"/>
      <c r="O373" s="590"/>
      <c r="P373" s="590"/>
      <c r="Q373" s="590"/>
      <c r="R373" s="590"/>
      <c r="S373" s="590"/>
      <c r="T373" s="590"/>
      <c r="U373" s="590"/>
      <c r="V373" s="590"/>
      <c r="W373" s="590"/>
      <c r="X373" s="590"/>
      <c r="Y373" s="590"/>
      <c r="Z373" s="590"/>
    </row>
    <row r="374" spans="1:26" ht="15.75" customHeight="1">
      <c r="A374" s="590"/>
      <c r="B374" s="590"/>
      <c r="C374" s="590"/>
      <c r="D374" s="590"/>
      <c r="E374" s="590"/>
      <c r="F374" s="590"/>
      <c r="G374" s="590"/>
      <c r="H374" s="590"/>
      <c r="I374" s="590"/>
      <c r="J374" s="590"/>
      <c r="K374" s="590"/>
      <c r="L374" s="590"/>
      <c r="M374" s="590"/>
      <c r="N374" s="590"/>
      <c r="O374" s="590"/>
      <c r="P374" s="590"/>
      <c r="Q374" s="590"/>
      <c r="R374" s="590"/>
      <c r="S374" s="590"/>
      <c r="T374" s="590"/>
      <c r="U374" s="590"/>
      <c r="V374" s="590"/>
      <c r="W374" s="590"/>
      <c r="X374" s="590"/>
      <c r="Y374" s="590"/>
      <c r="Z374" s="590"/>
    </row>
    <row r="375" spans="1:26" ht="15.75" customHeight="1">
      <c r="A375" s="590"/>
      <c r="B375" s="590"/>
      <c r="C375" s="590"/>
      <c r="D375" s="590"/>
      <c r="E375" s="590"/>
      <c r="F375" s="590"/>
      <c r="G375" s="590"/>
      <c r="H375" s="590"/>
      <c r="I375" s="590"/>
      <c r="J375" s="590"/>
      <c r="K375" s="590"/>
      <c r="L375" s="590"/>
      <c r="M375" s="590"/>
      <c r="N375" s="590"/>
      <c r="O375" s="590"/>
      <c r="P375" s="590"/>
      <c r="Q375" s="590"/>
      <c r="R375" s="590"/>
      <c r="S375" s="590"/>
      <c r="T375" s="590"/>
      <c r="U375" s="590"/>
      <c r="V375" s="590"/>
      <c r="W375" s="590"/>
      <c r="X375" s="590"/>
      <c r="Y375" s="590"/>
      <c r="Z375" s="590"/>
    </row>
    <row r="376" spans="1:26" ht="15.75" customHeight="1">
      <c r="A376" s="590"/>
      <c r="B376" s="590"/>
      <c r="C376" s="590"/>
      <c r="D376" s="590"/>
      <c r="E376" s="590"/>
      <c r="F376" s="590"/>
      <c r="G376" s="590"/>
      <c r="H376" s="590"/>
      <c r="I376" s="590"/>
      <c r="J376" s="590"/>
      <c r="K376" s="590"/>
      <c r="L376" s="590"/>
      <c r="M376" s="590"/>
      <c r="N376" s="590"/>
      <c r="O376" s="590"/>
      <c r="P376" s="590"/>
      <c r="Q376" s="590"/>
      <c r="R376" s="590"/>
      <c r="S376" s="590"/>
      <c r="T376" s="590"/>
      <c r="U376" s="590"/>
      <c r="V376" s="590"/>
      <c r="W376" s="590"/>
      <c r="X376" s="590"/>
      <c r="Y376" s="590"/>
      <c r="Z376" s="590"/>
    </row>
    <row r="377" spans="1:26" ht="15.75" customHeight="1">
      <c r="A377" s="590"/>
      <c r="B377" s="590"/>
      <c r="C377" s="590"/>
      <c r="D377" s="590"/>
      <c r="E377" s="590"/>
      <c r="F377" s="590"/>
      <c r="G377" s="590"/>
      <c r="H377" s="590"/>
      <c r="I377" s="590"/>
      <c r="J377" s="590"/>
      <c r="K377" s="590"/>
      <c r="L377" s="590"/>
      <c r="M377" s="590"/>
      <c r="N377" s="590"/>
      <c r="O377" s="590"/>
      <c r="P377" s="590"/>
      <c r="Q377" s="590"/>
      <c r="R377" s="590"/>
      <c r="S377" s="590"/>
      <c r="T377" s="590"/>
      <c r="U377" s="590"/>
      <c r="V377" s="590"/>
      <c r="W377" s="590"/>
      <c r="X377" s="590"/>
      <c r="Y377" s="590"/>
      <c r="Z377" s="590"/>
    </row>
    <row r="378" spans="1:26" ht="15.75" customHeight="1">
      <c r="A378" s="590"/>
      <c r="B378" s="590"/>
      <c r="C378" s="590"/>
      <c r="D378" s="590"/>
      <c r="E378" s="590"/>
      <c r="F378" s="590"/>
      <c r="G378" s="590"/>
      <c r="H378" s="590"/>
      <c r="I378" s="590"/>
      <c r="J378" s="590"/>
      <c r="K378" s="590"/>
      <c r="L378" s="590"/>
      <c r="M378" s="590"/>
      <c r="N378" s="590"/>
      <c r="O378" s="590"/>
      <c r="P378" s="590"/>
      <c r="Q378" s="590"/>
      <c r="R378" s="590"/>
      <c r="S378" s="590"/>
      <c r="T378" s="590"/>
      <c r="U378" s="590"/>
      <c r="V378" s="590"/>
      <c r="W378" s="590"/>
      <c r="X378" s="590"/>
      <c r="Y378" s="590"/>
      <c r="Z378" s="590"/>
    </row>
    <row r="379" spans="1:26" ht="15.75" customHeight="1">
      <c r="A379" s="590"/>
      <c r="B379" s="590"/>
      <c r="C379" s="590"/>
      <c r="D379" s="590"/>
      <c r="E379" s="590"/>
      <c r="F379" s="590"/>
      <c r="G379" s="590"/>
      <c r="H379" s="590"/>
      <c r="I379" s="590"/>
      <c r="J379" s="590"/>
      <c r="K379" s="590"/>
      <c r="L379" s="590"/>
      <c r="M379" s="590"/>
      <c r="N379" s="590"/>
      <c r="O379" s="590"/>
      <c r="P379" s="590"/>
      <c r="Q379" s="590"/>
      <c r="R379" s="590"/>
      <c r="S379" s="590"/>
      <c r="T379" s="590"/>
      <c r="U379" s="590"/>
      <c r="V379" s="590"/>
      <c r="W379" s="590"/>
      <c r="X379" s="590"/>
      <c r="Y379" s="590"/>
      <c r="Z379" s="590"/>
    </row>
    <row r="380" spans="1:26" ht="15.75" customHeight="1">
      <c r="A380" s="590"/>
      <c r="B380" s="590"/>
      <c r="C380" s="590"/>
      <c r="D380" s="590"/>
      <c r="E380" s="590"/>
      <c r="F380" s="590"/>
      <c r="G380" s="590"/>
      <c r="H380" s="590"/>
      <c r="I380" s="590"/>
      <c r="J380" s="590"/>
      <c r="K380" s="590"/>
      <c r="L380" s="590"/>
      <c r="M380" s="590"/>
      <c r="N380" s="590"/>
      <c r="O380" s="590"/>
      <c r="P380" s="590"/>
      <c r="Q380" s="590"/>
      <c r="R380" s="590"/>
      <c r="S380" s="590"/>
      <c r="T380" s="590"/>
      <c r="U380" s="590"/>
      <c r="V380" s="590"/>
      <c r="W380" s="590"/>
      <c r="X380" s="590"/>
      <c r="Y380" s="590"/>
      <c r="Z380" s="590"/>
    </row>
    <row r="381" spans="1:26" ht="15.75" customHeight="1">
      <c r="A381" s="590"/>
      <c r="B381" s="590"/>
      <c r="C381" s="590"/>
      <c r="D381" s="590"/>
      <c r="E381" s="590"/>
      <c r="F381" s="590"/>
      <c r="G381" s="590"/>
      <c r="H381" s="590"/>
      <c r="I381" s="590"/>
      <c r="J381" s="590"/>
      <c r="K381" s="590"/>
      <c r="L381" s="590"/>
      <c r="M381" s="590"/>
      <c r="N381" s="590"/>
      <c r="O381" s="590"/>
      <c r="P381" s="590"/>
      <c r="Q381" s="590"/>
      <c r="R381" s="590"/>
      <c r="S381" s="590"/>
      <c r="T381" s="590"/>
      <c r="U381" s="590"/>
      <c r="V381" s="590"/>
      <c r="W381" s="590"/>
      <c r="X381" s="590"/>
      <c r="Y381" s="590"/>
      <c r="Z381" s="590"/>
    </row>
    <row r="382" spans="1:26" ht="15.75" customHeight="1">
      <c r="A382" s="590"/>
      <c r="B382" s="590"/>
      <c r="C382" s="590"/>
      <c r="D382" s="590"/>
      <c r="E382" s="590"/>
      <c r="F382" s="590"/>
      <c r="G382" s="590"/>
      <c r="H382" s="590"/>
      <c r="I382" s="590"/>
      <c r="J382" s="590"/>
      <c r="K382" s="590"/>
      <c r="L382" s="590"/>
      <c r="M382" s="590"/>
      <c r="N382" s="590"/>
      <c r="O382" s="590"/>
      <c r="P382" s="590"/>
      <c r="Q382" s="590"/>
      <c r="R382" s="590"/>
      <c r="S382" s="590"/>
      <c r="T382" s="590"/>
      <c r="U382" s="590"/>
      <c r="V382" s="590"/>
      <c r="W382" s="590"/>
      <c r="X382" s="590"/>
      <c r="Y382" s="590"/>
      <c r="Z382" s="590"/>
    </row>
    <row r="383" spans="1:26" ht="15.75" customHeight="1">
      <c r="A383" s="590"/>
      <c r="B383" s="590"/>
      <c r="C383" s="590"/>
      <c r="D383" s="590"/>
      <c r="E383" s="590"/>
      <c r="F383" s="590"/>
      <c r="G383" s="590"/>
      <c r="H383" s="590"/>
      <c r="I383" s="590"/>
      <c r="J383" s="590"/>
      <c r="K383" s="590"/>
      <c r="L383" s="590"/>
      <c r="M383" s="590"/>
      <c r="N383" s="590"/>
      <c r="O383" s="590"/>
      <c r="P383" s="590"/>
      <c r="Q383" s="590"/>
      <c r="R383" s="590"/>
      <c r="S383" s="590"/>
      <c r="T383" s="590"/>
      <c r="U383" s="590"/>
      <c r="V383" s="590"/>
      <c r="W383" s="590"/>
      <c r="X383" s="590"/>
      <c r="Y383" s="590"/>
      <c r="Z383" s="590"/>
    </row>
    <row r="384" spans="1:26" ht="15.75" customHeight="1">
      <c r="A384" s="590"/>
      <c r="B384" s="590"/>
      <c r="C384" s="590"/>
      <c r="D384" s="590"/>
      <c r="E384" s="590"/>
      <c r="F384" s="590"/>
      <c r="G384" s="590"/>
      <c r="H384" s="590"/>
      <c r="I384" s="590"/>
      <c r="J384" s="590"/>
      <c r="K384" s="590"/>
      <c r="L384" s="590"/>
      <c r="M384" s="590"/>
      <c r="N384" s="590"/>
      <c r="O384" s="590"/>
      <c r="P384" s="590"/>
      <c r="Q384" s="590"/>
      <c r="R384" s="590"/>
      <c r="S384" s="590"/>
      <c r="T384" s="590"/>
      <c r="U384" s="590"/>
      <c r="V384" s="590"/>
      <c r="W384" s="590"/>
      <c r="X384" s="590"/>
      <c r="Y384" s="590"/>
      <c r="Z384" s="590"/>
    </row>
    <row r="385" spans="1:26" ht="15.75" customHeight="1">
      <c r="A385" s="590"/>
      <c r="B385" s="590"/>
      <c r="C385" s="590"/>
      <c r="D385" s="590"/>
      <c r="E385" s="590"/>
      <c r="F385" s="590"/>
      <c r="G385" s="590"/>
      <c r="H385" s="590"/>
      <c r="I385" s="590"/>
      <c r="J385" s="590"/>
      <c r="K385" s="590"/>
      <c r="L385" s="590"/>
      <c r="M385" s="590"/>
      <c r="N385" s="590"/>
      <c r="O385" s="590"/>
      <c r="P385" s="590"/>
      <c r="Q385" s="590"/>
      <c r="R385" s="590"/>
      <c r="S385" s="590"/>
      <c r="T385" s="590"/>
      <c r="U385" s="590"/>
      <c r="V385" s="590"/>
      <c r="W385" s="590"/>
      <c r="X385" s="590"/>
      <c r="Y385" s="590"/>
      <c r="Z385" s="590"/>
    </row>
    <row r="386" spans="1:26" ht="15.75" customHeight="1">
      <c r="A386" s="590"/>
      <c r="B386" s="590"/>
      <c r="C386" s="590"/>
      <c r="D386" s="590"/>
      <c r="E386" s="590"/>
      <c r="F386" s="590"/>
      <c r="G386" s="590"/>
      <c r="H386" s="590"/>
      <c r="I386" s="590"/>
      <c r="J386" s="590"/>
      <c r="K386" s="590"/>
      <c r="L386" s="590"/>
      <c r="M386" s="590"/>
      <c r="N386" s="590"/>
      <c r="O386" s="590"/>
      <c r="P386" s="590"/>
      <c r="Q386" s="590"/>
      <c r="R386" s="590"/>
      <c r="S386" s="590"/>
      <c r="T386" s="590"/>
      <c r="U386" s="590"/>
      <c r="V386" s="590"/>
      <c r="W386" s="590"/>
      <c r="X386" s="590"/>
      <c r="Y386" s="590"/>
      <c r="Z386" s="590"/>
    </row>
    <row r="387" spans="1:26" ht="15.75" customHeight="1">
      <c r="A387" s="590"/>
      <c r="B387" s="590"/>
      <c r="C387" s="590"/>
      <c r="D387" s="590"/>
      <c r="E387" s="590"/>
      <c r="F387" s="590"/>
      <c r="G387" s="590"/>
      <c r="H387" s="590"/>
      <c r="I387" s="590"/>
      <c r="J387" s="590"/>
      <c r="K387" s="590"/>
      <c r="L387" s="590"/>
      <c r="M387" s="590"/>
      <c r="N387" s="590"/>
      <c r="O387" s="590"/>
      <c r="P387" s="590"/>
      <c r="Q387" s="590"/>
      <c r="R387" s="590"/>
      <c r="S387" s="590"/>
      <c r="T387" s="590"/>
      <c r="U387" s="590"/>
      <c r="V387" s="590"/>
      <c r="W387" s="590"/>
      <c r="X387" s="590"/>
      <c r="Y387" s="590"/>
      <c r="Z387" s="590"/>
    </row>
    <row r="388" spans="1:26" ht="15.75" customHeight="1">
      <c r="A388" s="590"/>
      <c r="B388" s="590"/>
      <c r="C388" s="590"/>
      <c r="D388" s="590"/>
      <c r="E388" s="590"/>
      <c r="F388" s="590"/>
      <c r="G388" s="590"/>
      <c r="H388" s="590"/>
      <c r="I388" s="590"/>
      <c r="J388" s="590"/>
      <c r="K388" s="590"/>
      <c r="L388" s="590"/>
      <c r="M388" s="590"/>
      <c r="N388" s="590"/>
      <c r="O388" s="590"/>
      <c r="P388" s="590"/>
      <c r="Q388" s="590"/>
      <c r="R388" s="590"/>
      <c r="S388" s="590"/>
      <c r="T388" s="590"/>
      <c r="U388" s="590"/>
      <c r="V388" s="590"/>
      <c r="W388" s="590"/>
      <c r="X388" s="590"/>
      <c r="Y388" s="590"/>
      <c r="Z388" s="590"/>
    </row>
    <row r="389" spans="1:26" ht="15.75" customHeight="1">
      <c r="A389" s="590"/>
      <c r="B389" s="590"/>
      <c r="C389" s="590"/>
      <c r="D389" s="590"/>
      <c r="E389" s="590"/>
      <c r="F389" s="590"/>
      <c r="G389" s="590"/>
      <c r="H389" s="590"/>
      <c r="I389" s="590"/>
      <c r="J389" s="590"/>
      <c r="K389" s="590"/>
      <c r="L389" s="590"/>
      <c r="M389" s="590"/>
      <c r="N389" s="590"/>
      <c r="O389" s="590"/>
      <c r="P389" s="590"/>
      <c r="Q389" s="590"/>
      <c r="R389" s="590"/>
      <c r="S389" s="590"/>
      <c r="T389" s="590"/>
      <c r="U389" s="590"/>
      <c r="V389" s="590"/>
      <c r="W389" s="590"/>
      <c r="X389" s="590"/>
      <c r="Y389" s="590"/>
      <c r="Z389" s="590"/>
    </row>
    <row r="390" spans="1:26" ht="15.75" customHeight="1">
      <c r="A390" s="590"/>
      <c r="B390" s="590"/>
      <c r="C390" s="590"/>
      <c r="D390" s="590"/>
      <c r="E390" s="590"/>
      <c r="F390" s="590"/>
      <c r="G390" s="590"/>
      <c r="H390" s="590"/>
      <c r="I390" s="590"/>
      <c r="J390" s="590"/>
      <c r="K390" s="590"/>
      <c r="L390" s="590"/>
      <c r="M390" s="590"/>
      <c r="N390" s="590"/>
      <c r="O390" s="590"/>
      <c r="P390" s="590"/>
      <c r="Q390" s="590"/>
      <c r="R390" s="590"/>
      <c r="S390" s="590"/>
      <c r="T390" s="590"/>
      <c r="U390" s="590"/>
      <c r="V390" s="590"/>
      <c r="W390" s="590"/>
      <c r="X390" s="590"/>
      <c r="Y390" s="590"/>
      <c r="Z390" s="590"/>
    </row>
    <row r="391" spans="1:26" ht="15.75" customHeight="1">
      <c r="A391" s="590"/>
      <c r="B391" s="590"/>
      <c r="C391" s="590"/>
      <c r="D391" s="590"/>
      <c r="E391" s="590"/>
      <c r="F391" s="590"/>
      <c r="G391" s="590"/>
      <c r="H391" s="590"/>
      <c r="I391" s="590"/>
      <c r="J391" s="590"/>
      <c r="K391" s="590"/>
      <c r="L391" s="590"/>
      <c r="M391" s="590"/>
      <c r="N391" s="590"/>
      <c r="O391" s="590"/>
      <c r="P391" s="590"/>
      <c r="Q391" s="590"/>
      <c r="R391" s="590"/>
      <c r="S391" s="590"/>
      <c r="T391" s="590"/>
      <c r="U391" s="590"/>
      <c r="V391" s="590"/>
      <c r="W391" s="590"/>
      <c r="X391" s="590"/>
      <c r="Y391" s="590"/>
      <c r="Z391" s="590"/>
    </row>
    <row r="392" spans="1:26" ht="15.75" customHeight="1">
      <c r="A392" s="590"/>
      <c r="B392" s="590"/>
      <c r="C392" s="590"/>
      <c r="D392" s="590"/>
      <c r="E392" s="590"/>
      <c r="F392" s="590"/>
      <c r="G392" s="590"/>
      <c r="H392" s="590"/>
      <c r="I392" s="590"/>
      <c r="J392" s="590"/>
      <c r="K392" s="590"/>
      <c r="L392" s="590"/>
      <c r="M392" s="590"/>
      <c r="N392" s="590"/>
      <c r="O392" s="590"/>
      <c r="P392" s="590"/>
      <c r="Q392" s="590"/>
      <c r="R392" s="590"/>
      <c r="S392" s="590"/>
      <c r="T392" s="590"/>
      <c r="U392" s="590"/>
      <c r="V392" s="590"/>
      <c r="W392" s="590"/>
      <c r="X392" s="590"/>
      <c r="Y392" s="590"/>
      <c r="Z392" s="590"/>
    </row>
    <row r="393" spans="1:26" ht="15.75" customHeight="1">
      <c r="A393" s="590"/>
      <c r="B393" s="590"/>
      <c r="C393" s="590"/>
      <c r="D393" s="590"/>
      <c r="E393" s="590"/>
      <c r="F393" s="590"/>
      <c r="G393" s="590"/>
      <c r="H393" s="590"/>
      <c r="I393" s="590"/>
      <c r="J393" s="590"/>
      <c r="K393" s="590"/>
      <c r="L393" s="590"/>
      <c r="M393" s="590"/>
      <c r="N393" s="590"/>
      <c r="O393" s="590"/>
      <c r="P393" s="590"/>
      <c r="Q393" s="590"/>
      <c r="R393" s="590"/>
      <c r="S393" s="590"/>
      <c r="T393" s="590"/>
      <c r="U393" s="590"/>
      <c r="V393" s="590"/>
      <c r="W393" s="590"/>
      <c r="X393" s="590"/>
      <c r="Y393" s="590"/>
      <c r="Z393" s="590"/>
    </row>
    <row r="394" spans="1:26" ht="15.75" customHeight="1">
      <c r="A394" s="590"/>
      <c r="B394" s="590"/>
      <c r="C394" s="590"/>
      <c r="D394" s="590"/>
      <c r="E394" s="590"/>
      <c r="F394" s="590"/>
      <c r="G394" s="590"/>
      <c r="H394" s="590"/>
      <c r="I394" s="590"/>
      <c r="J394" s="590"/>
      <c r="K394" s="590"/>
      <c r="L394" s="590"/>
      <c r="M394" s="590"/>
      <c r="N394" s="590"/>
      <c r="O394" s="590"/>
      <c r="P394" s="590"/>
      <c r="Q394" s="590"/>
      <c r="R394" s="590"/>
      <c r="S394" s="590"/>
      <c r="T394" s="590"/>
      <c r="U394" s="590"/>
      <c r="V394" s="590"/>
      <c r="W394" s="590"/>
      <c r="X394" s="590"/>
      <c r="Y394" s="590"/>
      <c r="Z394" s="590"/>
    </row>
    <row r="395" spans="1:26" ht="15.75" customHeight="1">
      <c r="A395" s="590"/>
      <c r="B395" s="590"/>
      <c r="C395" s="590"/>
      <c r="D395" s="590"/>
      <c r="E395" s="590"/>
      <c r="F395" s="590"/>
      <c r="G395" s="590"/>
      <c r="H395" s="590"/>
      <c r="I395" s="590"/>
      <c r="J395" s="590"/>
      <c r="K395" s="590"/>
      <c r="L395" s="590"/>
      <c r="M395" s="590"/>
      <c r="N395" s="590"/>
      <c r="O395" s="590"/>
      <c r="P395" s="590"/>
      <c r="Q395" s="590"/>
      <c r="R395" s="590"/>
      <c r="S395" s="590"/>
      <c r="T395" s="590"/>
      <c r="U395" s="590"/>
      <c r="V395" s="590"/>
      <c r="W395" s="590"/>
      <c r="X395" s="590"/>
      <c r="Y395" s="590"/>
      <c r="Z395" s="590"/>
    </row>
    <row r="396" spans="1:26" ht="15.75" customHeight="1">
      <c r="A396" s="590"/>
      <c r="B396" s="590"/>
      <c r="C396" s="590"/>
      <c r="D396" s="590"/>
      <c r="E396" s="590"/>
      <c r="F396" s="590"/>
      <c r="G396" s="590"/>
      <c r="H396" s="590"/>
      <c r="I396" s="590"/>
      <c r="J396" s="590"/>
      <c r="K396" s="590"/>
      <c r="L396" s="590"/>
      <c r="M396" s="590"/>
      <c r="N396" s="590"/>
      <c r="O396" s="590"/>
      <c r="P396" s="590"/>
      <c r="Q396" s="590"/>
      <c r="R396" s="590"/>
      <c r="S396" s="590"/>
      <c r="T396" s="590"/>
      <c r="U396" s="590"/>
      <c r="V396" s="590"/>
      <c r="W396" s="590"/>
      <c r="X396" s="590"/>
      <c r="Y396" s="590"/>
      <c r="Z396" s="590"/>
    </row>
    <row r="397" spans="1:26" ht="15.75" customHeight="1">
      <c r="A397" s="590"/>
      <c r="B397" s="590"/>
      <c r="C397" s="590"/>
      <c r="D397" s="590"/>
      <c r="E397" s="590"/>
      <c r="F397" s="590"/>
      <c r="G397" s="590"/>
      <c r="H397" s="590"/>
      <c r="I397" s="590"/>
      <c r="J397" s="590"/>
      <c r="K397" s="590"/>
      <c r="L397" s="590"/>
      <c r="M397" s="590"/>
      <c r="N397" s="590"/>
      <c r="O397" s="590"/>
      <c r="P397" s="590"/>
      <c r="Q397" s="590"/>
      <c r="R397" s="590"/>
      <c r="S397" s="590"/>
      <c r="T397" s="590"/>
      <c r="U397" s="590"/>
      <c r="V397" s="590"/>
      <c r="W397" s="590"/>
      <c r="X397" s="590"/>
      <c r="Y397" s="590"/>
      <c r="Z397" s="590"/>
    </row>
    <row r="398" spans="1:26" ht="15.75" customHeight="1">
      <c r="A398" s="590"/>
      <c r="B398" s="590"/>
      <c r="C398" s="590"/>
      <c r="D398" s="590"/>
      <c r="E398" s="590"/>
      <c r="F398" s="590"/>
      <c r="G398" s="590"/>
      <c r="H398" s="590"/>
      <c r="I398" s="590"/>
      <c r="J398" s="590"/>
      <c r="K398" s="590"/>
      <c r="L398" s="590"/>
      <c r="M398" s="590"/>
      <c r="N398" s="590"/>
      <c r="O398" s="590"/>
      <c r="P398" s="590"/>
      <c r="Q398" s="590"/>
      <c r="R398" s="590"/>
      <c r="S398" s="590"/>
      <c r="T398" s="590"/>
      <c r="U398" s="590"/>
      <c r="V398" s="590"/>
      <c r="W398" s="590"/>
      <c r="X398" s="590"/>
      <c r="Y398" s="590"/>
      <c r="Z398" s="590"/>
    </row>
    <row r="399" spans="1:26" ht="15.75" customHeight="1">
      <c r="A399" s="590"/>
      <c r="B399" s="590"/>
      <c r="C399" s="590"/>
      <c r="D399" s="590"/>
      <c r="E399" s="590"/>
      <c r="F399" s="590"/>
      <c r="G399" s="590"/>
      <c r="H399" s="590"/>
      <c r="I399" s="590"/>
      <c r="J399" s="590"/>
      <c r="K399" s="590"/>
      <c r="L399" s="590"/>
      <c r="M399" s="590"/>
      <c r="N399" s="590"/>
      <c r="O399" s="590"/>
      <c r="P399" s="590"/>
      <c r="Q399" s="590"/>
      <c r="R399" s="590"/>
      <c r="S399" s="590"/>
      <c r="T399" s="590"/>
      <c r="U399" s="590"/>
      <c r="V399" s="590"/>
      <c r="W399" s="590"/>
      <c r="X399" s="590"/>
      <c r="Y399" s="590"/>
      <c r="Z399" s="590"/>
    </row>
    <row r="400" spans="1:26" ht="15.75" customHeight="1">
      <c r="A400" s="590"/>
      <c r="B400" s="590"/>
      <c r="C400" s="590"/>
      <c r="D400" s="590"/>
      <c r="E400" s="590"/>
      <c r="F400" s="590"/>
      <c r="G400" s="590"/>
      <c r="H400" s="590"/>
      <c r="I400" s="590"/>
      <c r="J400" s="590"/>
      <c r="K400" s="590"/>
      <c r="L400" s="590"/>
      <c r="M400" s="590"/>
      <c r="N400" s="590"/>
      <c r="O400" s="590"/>
      <c r="P400" s="590"/>
      <c r="Q400" s="590"/>
      <c r="R400" s="590"/>
      <c r="S400" s="590"/>
      <c r="T400" s="590"/>
      <c r="U400" s="590"/>
      <c r="V400" s="590"/>
      <c r="W400" s="590"/>
      <c r="X400" s="590"/>
      <c r="Y400" s="590"/>
      <c r="Z400" s="590"/>
    </row>
    <row r="401" spans="1:26" ht="15.75" customHeight="1">
      <c r="A401" s="590"/>
      <c r="B401" s="590"/>
      <c r="C401" s="590"/>
      <c r="D401" s="590"/>
      <c r="E401" s="590"/>
      <c r="F401" s="590"/>
      <c r="G401" s="590"/>
      <c r="H401" s="590"/>
      <c r="I401" s="590"/>
      <c r="J401" s="590"/>
      <c r="K401" s="590"/>
      <c r="L401" s="590"/>
      <c r="M401" s="590"/>
      <c r="N401" s="590"/>
      <c r="O401" s="590"/>
      <c r="P401" s="590"/>
      <c r="Q401" s="590"/>
      <c r="R401" s="590"/>
      <c r="S401" s="590"/>
      <c r="T401" s="590"/>
      <c r="U401" s="590"/>
      <c r="V401" s="590"/>
      <c r="W401" s="590"/>
      <c r="X401" s="590"/>
      <c r="Y401" s="590"/>
      <c r="Z401" s="590"/>
    </row>
    <row r="402" spans="1:26" ht="15.75" customHeight="1">
      <c r="A402" s="590"/>
      <c r="B402" s="590"/>
      <c r="C402" s="590"/>
      <c r="D402" s="590"/>
      <c r="E402" s="590"/>
      <c r="F402" s="590"/>
      <c r="G402" s="590"/>
      <c r="H402" s="590"/>
      <c r="I402" s="590"/>
      <c r="J402" s="590"/>
      <c r="K402" s="590"/>
      <c r="L402" s="590"/>
      <c r="M402" s="590"/>
      <c r="N402" s="590"/>
      <c r="O402" s="590"/>
      <c r="P402" s="590"/>
      <c r="Q402" s="590"/>
      <c r="R402" s="590"/>
      <c r="S402" s="590"/>
      <c r="T402" s="590"/>
      <c r="U402" s="590"/>
      <c r="V402" s="590"/>
      <c r="W402" s="590"/>
      <c r="X402" s="590"/>
      <c r="Y402" s="590"/>
      <c r="Z402" s="590"/>
    </row>
    <row r="403" spans="1:26" ht="15.75" customHeight="1">
      <c r="A403" s="590"/>
      <c r="B403" s="590"/>
      <c r="C403" s="590"/>
      <c r="D403" s="590"/>
      <c r="E403" s="590"/>
      <c r="F403" s="590"/>
      <c r="G403" s="590"/>
      <c r="H403" s="590"/>
      <c r="I403" s="590"/>
      <c r="J403" s="590"/>
      <c r="K403" s="590"/>
      <c r="L403" s="590"/>
      <c r="M403" s="590"/>
      <c r="N403" s="590"/>
      <c r="O403" s="590"/>
      <c r="P403" s="590"/>
      <c r="Q403" s="590"/>
      <c r="R403" s="590"/>
      <c r="S403" s="590"/>
      <c r="T403" s="590"/>
      <c r="U403" s="590"/>
      <c r="V403" s="590"/>
      <c r="W403" s="590"/>
      <c r="X403" s="590"/>
      <c r="Y403" s="590"/>
      <c r="Z403" s="590"/>
    </row>
    <row r="404" spans="1:26" ht="15.75" customHeight="1">
      <c r="A404" s="590"/>
      <c r="B404" s="590"/>
      <c r="C404" s="590"/>
      <c r="D404" s="590"/>
      <c r="E404" s="590"/>
      <c r="F404" s="590"/>
      <c r="G404" s="590"/>
      <c r="H404" s="590"/>
      <c r="I404" s="590"/>
      <c r="J404" s="590"/>
      <c r="K404" s="590"/>
      <c r="L404" s="590"/>
      <c r="M404" s="590"/>
      <c r="N404" s="590"/>
      <c r="O404" s="590"/>
      <c r="P404" s="590"/>
      <c r="Q404" s="590"/>
      <c r="R404" s="590"/>
      <c r="S404" s="590"/>
      <c r="T404" s="590"/>
      <c r="U404" s="590"/>
      <c r="V404" s="590"/>
      <c r="W404" s="590"/>
      <c r="X404" s="590"/>
      <c r="Y404" s="590"/>
      <c r="Z404" s="590"/>
    </row>
    <row r="405" spans="1:26" ht="15.75" customHeight="1">
      <c r="A405" s="590"/>
      <c r="B405" s="590"/>
      <c r="C405" s="590"/>
      <c r="D405" s="590"/>
      <c r="E405" s="590"/>
      <c r="F405" s="590"/>
      <c r="G405" s="590"/>
      <c r="H405" s="590"/>
      <c r="I405" s="590"/>
      <c r="J405" s="590"/>
      <c r="K405" s="590"/>
      <c r="L405" s="590"/>
      <c r="M405" s="590"/>
      <c r="N405" s="590"/>
      <c r="O405" s="590"/>
      <c r="P405" s="590"/>
      <c r="Q405" s="590"/>
      <c r="R405" s="590"/>
      <c r="S405" s="590"/>
      <c r="T405" s="590"/>
      <c r="U405" s="590"/>
      <c r="V405" s="590"/>
      <c r="W405" s="590"/>
      <c r="X405" s="590"/>
      <c r="Y405" s="590"/>
      <c r="Z405" s="590"/>
    </row>
    <row r="406" spans="1:26" ht="15.75" customHeight="1">
      <c r="A406" s="590"/>
      <c r="B406" s="590"/>
      <c r="C406" s="590"/>
      <c r="D406" s="590"/>
      <c r="E406" s="590"/>
      <c r="F406" s="590"/>
      <c r="G406" s="590"/>
      <c r="H406" s="590"/>
      <c r="I406" s="590"/>
      <c r="J406" s="590"/>
      <c r="K406" s="590"/>
      <c r="L406" s="590"/>
      <c r="M406" s="590"/>
      <c r="N406" s="590"/>
      <c r="O406" s="590"/>
      <c r="P406" s="590"/>
      <c r="Q406" s="590"/>
      <c r="R406" s="590"/>
      <c r="S406" s="590"/>
      <c r="T406" s="590"/>
      <c r="U406" s="590"/>
      <c r="V406" s="590"/>
      <c r="W406" s="590"/>
      <c r="X406" s="590"/>
      <c r="Y406" s="590"/>
      <c r="Z406" s="590"/>
    </row>
    <row r="407" spans="1:26" ht="15.75" customHeight="1">
      <c r="A407" s="590"/>
      <c r="B407" s="590"/>
      <c r="C407" s="590"/>
      <c r="D407" s="590"/>
      <c r="E407" s="590"/>
      <c r="F407" s="590"/>
      <c r="G407" s="590"/>
      <c r="H407" s="590"/>
      <c r="I407" s="590"/>
      <c r="J407" s="590"/>
      <c r="K407" s="590"/>
      <c r="L407" s="590"/>
      <c r="M407" s="590"/>
      <c r="N407" s="590"/>
      <c r="O407" s="590"/>
      <c r="P407" s="590"/>
      <c r="Q407" s="590"/>
      <c r="R407" s="590"/>
      <c r="S407" s="590"/>
      <c r="T407" s="590"/>
      <c r="U407" s="590"/>
      <c r="V407" s="590"/>
      <c r="W407" s="590"/>
      <c r="X407" s="590"/>
      <c r="Y407" s="590"/>
      <c r="Z407" s="590"/>
    </row>
    <row r="408" spans="1:26" ht="15.75" customHeight="1">
      <c r="A408" s="590"/>
      <c r="B408" s="590"/>
      <c r="C408" s="590"/>
      <c r="D408" s="590"/>
      <c r="E408" s="590"/>
      <c r="F408" s="590"/>
      <c r="G408" s="590"/>
      <c r="H408" s="590"/>
      <c r="I408" s="590"/>
      <c r="J408" s="590"/>
      <c r="K408" s="590"/>
      <c r="L408" s="590"/>
      <c r="M408" s="590"/>
      <c r="N408" s="590"/>
      <c r="O408" s="590"/>
      <c r="P408" s="590"/>
      <c r="Q408" s="590"/>
      <c r="R408" s="590"/>
      <c r="S408" s="590"/>
      <c r="T408" s="590"/>
      <c r="U408" s="590"/>
      <c r="V408" s="590"/>
      <c r="W408" s="590"/>
      <c r="X408" s="590"/>
      <c r="Y408" s="590"/>
      <c r="Z408" s="590"/>
    </row>
    <row r="409" spans="1:26" ht="15.75" customHeight="1">
      <c r="A409" s="590"/>
      <c r="B409" s="590"/>
      <c r="C409" s="590"/>
      <c r="D409" s="590"/>
      <c r="E409" s="590"/>
      <c r="F409" s="590"/>
      <c r="G409" s="590"/>
      <c r="H409" s="590"/>
      <c r="I409" s="590"/>
      <c r="J409" s="590"/>
      <c r="K409" s="590"/>
      <c r="L409" s="590"/>
      <c r="M409" s="590"/>
      <c r="N409" s="590"/>
      <c r="O409" s="590"/>
      <c r="P409" s="590"/>
      <c r="Q409" s="590"/>
      <c r="R409" s="590"/>
      <c r="S409" s="590"/>
      <c r="T409" s="590"/>
      <c r="U409" s="590"/>
      <c r="V409" s="590"/>
      <c r="W409" s="590"/>
      <c r="X409" s="590"/>
      <c r="Y409" s="590"/>
      <c r="Z409" s="590"/>
    </row>
    <row r="410" spans="1:26" ht="15.75" customHeight="1">
      <c r="A410" s="590"/>
      <c r="B410" s="590"/>
      <c r="C410" s="590"/>
      <c r="D410" s="590"/>
      <c r="E410" s="590"/>
      <c r="F410" s="590"/>
      <c r="G410" s="590"/>
      <c r="H410" s="590"/>
      <c r="I410" s="590"/>
      <c r="J410" s="590"/>
      <c r="K410" s="590"/>
      <c r="L410" s="590"/>
      <c r="M410" s="590"/>
      <c r="N410" s="590"/>
      <c r="O410" s="590"/>
      <c r="P410" s="590"/>
      <c r="Q410" s="590"/>
      <c r="R410" s="590"/>
      <c r="S410" s="590"/>
      <c r="T410" s="590"/>
      <c r="U410" s="590"/>
      <c r="V410" s="590"/>
      <c r="W410" s="590"/>
      <c r="X410" s="590"/>
      <c r="Y410" s="590"/>
      <c r="Z410" s="590"/>
    </row>
    <row r="411" spans="1:26" ht="15.75" customHeight="1">
      <c r="A411" s="590"/>
      <c r="B411" s="590"/>
      <c r="C411" s="590"/>
      <c r="D411" s="590"/>
      <c r="E411" s="590"/>
      <c r="F411" s="590"/>
      <c r="G411" s="590"/>
      <c r="H411" s="590"/>
      <c r="I411" s="590"/>
      <c r="J411" s="590"/>
      <c r="K411" s="590"/>
      <c r="L411" s="590"/>
      <c r="M411" s="590"/>
      <c r="N411" s="590"/>
      <c r="O411" s="590"/>
      <c r="P411" s="590"/>
      <c r="Q411" s="590"/>
      <c r="R411" s="590"/>
      <c r="S411" s="590"/>
      <c r="T411" s="590"/>
      <c r="U411" s="590"/>
      <c r="V411" s="590"/>
      <c r="W411" s="590"/>
      <c r="X411" s="590"/>
      <c r="Y411" s="590"/>
      <c r="Z411" s="590"/>
    </row>
    <row r="412" spans="1:26" ht="15.75" customHeight="1">
      <c r="A412" s="590"/>
      <c r="B412" s="590"/>
      <c r="C412" s="590"/>
      <c r="D412" s="590"/>
      <c r="E412" s="590"/>
      <c r="F412" s="590"/>
      <c r="G412" s="590"/>
      <c r="H412" s="590"/>
      <c r="I412" s="590"/>
      <c r="J412" s="590"/>
      <c r="K412" s="590"/>
      <c r="L412" s="590"/>
      <c r="M412" s="590"/>
      <c r="N412" s="590"/>
      <c r="O412" s="590"/>
      <c r="P412" s="590"/>
      <c r="Q412" s="590"/>
      <c r="R412" s="590"/>
      <c r="S412" s="590"/>
      <c r="T412" s="590"/>
      <c r="U412" s="590"/>
      <c r="V412" s="590"/>
      <c r="W412" s="590"/>
      <c r="X412" s="590"/>
      <c r="Y412" s="590"/>
      <c r="Z412" s="590"/>
    </row>
    <row r="413" spans="1:26" ht="15.75" customHeight="1">
      <c r="A413" s="590"/>
      <c r="B413" s="590"/>
      <c r="C413" s="590"/>
      <c r="D413" s="590"/>
      <c r="E413" s="590"/>
      <c r="F413" s="590"/>
      <c r="G413" s="590"/>
      <c r="H413" s="590"/>
      <c r="I413" s="590"/>
      <c r="J413" s="590"/>
      <c r="K413" s="590"/>
      <c r="L413" s="590"/>
      <c r="M413" s="590"/>
      <c r="N413" s="590"/>
      <c r="O413" s="590"/>
      <c r="P413" s="590"/>
      <c r="Q413" s="590"/>
      <c r="R413" s="590"/>
      <c r="S413" s="590"/>
      <c r="T413" s="590"/>
      <c r="U413" s="590"/>
      <c r="V413" s="590"/>
      <c r="W413" s="590"/>
      <c r="X413" s="590"/>
      <c r="Y413" s="590"/>
      <c r="Z413" s="590"/>
    </row>
    <row r="414" spans="1:26" ht="15.75" customHeight="1">
      <c r="A414" s="590"/>
      <c r="B414" s="590"/>
      <c r="C414" s="590"/>
      <c r="D414" s="590"/>
      <c r="E414" s="590"/>
      <c r="F414" s="590"/>
      <c r="G414" s="590"/>
      <c r="H414" s="590"/>
      <c r="I414" s="590"/>
      <c r="J414" s="590"/>
      <c r="K414" s="590"/>
      <c r="L414" s="590"/>
      <c r="M414" s="590"/>
      <c r="N414" s="590"/>
      <c r="O414" s="590"/>
      <c r="P414" s="590"/>
      <c r="Q414" s="590"/>
      <c r="R414" s="590"/>
      <c r="S414" s="590"/>
      <c r="T414" s="590"/>
      <c r="U414" s="590"/>
      <c r="V414" s="590"/>
      <c r="W414" s="590"/>
      <c r="X414" s="590"/>
      <c r="Y414" s="590"/>
      <c r="Z414" s="590"/>
    </row>
    <row r="415" spans="1:26" ht="15.75" customHeight="1">
      <c r="A415" s="590"/>
      <c r="B415" s="590"/>
      <c r="C415" s="590"/>
      <c r="D415" s="590"/>
      <c r="E415" s="590"/>
      <c r="F415" s="590"/>
      <c r="G415" s="590"/>
      <c r="H415" s="590"/>
      <c r="I415" s="590"/>
      <c r="J415" s="590"/>
      <c r="K415" s="590"/>
      <c r="L415" s="590"/>
      <c r="M415" s="590"/>
      <c r="N415" s="590"/>
      <c r="O415" s="590"/>
      <c r="P415" s="590"/>
      <c r="Q415" s="590"/>
      <c r="R415" s="590"/>
      <c r="S415" s="590"/>
      <c r="T415" s="590"/>
      <c r="U415" s="590"/>
      <c r="V415" s="590"/>
      <c r="W415" s="590"/>
      <c r="X415" s="590"/>
      <c r="Y415" s="590"/>
      <c r="Z415" s="590"/>
    </row>
    <row r="416" spans="1:26" ht="15.75" customHeight="1">
      <c r="A416" s="590"/>
      <c r="B416" s="590"/>
      <c r="C416" s="590"/>
      <c r="D416" s="590"/>
      <c r="E416" s="590"/>
      <c r="F416" s="590"/>
      <c r="G416" s="590"/>
      <c r="H416" s="590"/>
      <c r="I416" s="590"/>
      <c r="J416" s="590"/>
      <c r="K416" s="590"/>
      <c r="L416" s="590"/>
      <c r="M416" s="590"/>
      <c r="N416" s="590"/>
      <c r="O416" s="590"/>
      <c r="P416" s="590"/>
      <c r="Q416" s="590"/>
      <c r="R416" s="590"/>
      <c r="S416" s="590"/>
      <c r="T416" s="590"/>
      <c r="U416" s="590"/>
      <c r="V416" s="590"/>
      <c r="W416" s="590"/>
      <c r="X416" s="590"/>
      <c r="Y416" s="590"/>
      <c r="Z416" s="590"/>
    </row>
    <row r="417" spans="1:26" ht="15.75" customHeight="1">
      <c r="A417" s="590"/>
      <c r="B417" s="590"/>
      <c r="C417" s="590"/>
      <c r="D417" s="590"/>
      <c r="E417" s="590"/>
      <c r="F417" s="590"/>
      <c r="G417" s="590"/>
      <c r="H417" s="590"/>
      <c r="I417" s="590"/>
      <c r="J417" s="590"/>
      <c r="K417" s="590"/>
      <c r="L417" s="590"/>
      <c r="M417" s="590"/>
      <c r="N417" s="590"/>
      <c r="O417" s="590"/>
      <c r="P417" s="590"/>
      <c r="Q417" s="590"/>
      <c r="R417" s="590"/>
      <c r="S417" s="590"/>
      <c r="T417" s="590"/>
      <c r="U417" s="590"/>
      <c r="V417" s="590"/>
      <c r="W417" s="590"/>
      <c r="X417" s="590"/>
      <c r="Y417" s="590"/>
      <c r="Z417" s="590"/>
    </row>
    <row r="418" spans="1:26" ht="15.75" customHeight="1">
      <c r="A418" s="590"/>
      <c r="B418" s="590"/>
      <c r="C418" s="590"/>
      <c r="D418" s="590"/>
      <c r="E418" s="590"/>
      <c r="F418" s="590"/>
      <c r="G418" s="590"/>
      <c r="H418" s="590"/>
      <c r="I418" s="590"/>
      <c r="J418" s="590"/>
      <c r="K418" s="590"/>
      <c r="L418" s="590"/>
      <c r="M418" s="590"/>
      <c r="N418" s="590"/>
      <c r="O418" s="590"/>
      <c r="P418" s="590"/>
      <c r="Q418" s="590"/>
      <c r="R418" s="590"/>
      <c r="S418" s="590"/>
      <c r="T418" s="590"/>
      <c r="U418" s="590"/>
      <c r="V418" s="590"/>
      <c r="W418" s="590"/>
      <c r="X418" s="590"/>
      <c r="Y418" s="590"/>
      <c r="Z418" s="590"/>
    </row>
    <row r="419" spans="1:26" ht="15.75" customHeight="1">
      <c r="A419" s="590"/>
      <c r="B419" s="590"/>
      <c r="C419" s="590"/>
      <c r="D419" s="590"/>
      <c r="E419" s="590"/>
      <c r="F419" s="590"/>
      <c r="G419" s="590"/>
      <c r="H419" s="590"/>
      <c r="I419" s="590"/>
      <c r="J419" s="590"/>
      <c r="K419" s="590"/>
      <c r="L419" s="590"/>
      <c r="M419" s="590"/>
      <c r="N419" s="590"/>
      <c r="O419" s="590"/>
      <c r="P419" s="590"/>
      <c r="Q419" s="590"/>
      <c r="R419" s="590"/>
      <c r="S419" s="590"/>
      <c r="T419" s="590"/>
      <c r="U419" s="590"/>
      <c r="V419" s="590"/>
      <c r="W419" s="590"/>
      <c r="X419" s="590"/>
      <c r="Y419" s="590"/>
      <c r="Z419" s="590"/>
    </row>
    <row r="420" spans="1:26" ht="15.75" customHeight="1">
      <c r="A420" s="590"/>
      <c r="B420" s="590"/>
      <c r="C420" s="590"/>
      <c r="D420" s="590"/>
      <c r="E420" s="590"/>
      <c r="F420" s="590"/>
      <c r="G420" s="590"/>
      <c r="H420" s="590"/>
      <c r="I420" s="590"/>
      <c r="J420" s="590"/>
      <c r="K420" s="590"/>
      <c r="L420" s="590"/>
      <c r="M420" s="590"/>
      <c r="N420" s="590"/>
      <c r="O420" s="590"/>
      <c r="P420" s="590"/>
      <c r="Q420" s="590"/>
      <c r="R420" s="590"/>
      <c r="S420" s="590"/>
      <c r="T420" s="590"/>
      <c r="U420" s="590"/>
      <c r="V420" s="590"/>
      <c r="W420" s="590"/>
      <c r="X420" s="590"/>
      <c r="Y420" s="590"/>
      <c r="Z420" s="590"/>
    </row>
    <row r="421" spans="1:26" ht="15.75" customHeight="1">
      <c r="A421" s="590"/>
      <c r="B421" s="590"/>
      <c r="C421" s="590"/>
      <c r="D421" s="590"/>
      <c r="E421" s="590"/>
      <c r="F421" s="590"/>
      <c r="G421" s="590"/>
      <c r="H421" s="590"/>
      <c r="I421" s="590"/>
      <c r="J421" s="590"/>
      <c r="K421" s="590"/>
      <c r="L421" s="590"/>
      <c r="M421" s="590"/>
      <c r="N421" s="590"/>
      <c r="O421" s="590"/>
      <c r="P421" s="590"/>
      <c r="Q421" s="590"/>
      <c r="R421" s="590"/>
      <c r="S421" s="590"/>
      <c r="T421" s="590"/>
      <c r="U421" s="590"/>
      <c r="V421" s="590"/>
      <c r="W421" s="590"/>
      <c r="X421" s="590"/>
      <c r="Y421" s="590"/>
      <c r="Z421" s="590"/>
    </row>
    <row r="422" spans="1:26" ht="15.75" customHeight="1">
      <c r="A422" s="590"/>
      <c r="B422" s="590"/>
      <c r="C422" s="590"/>
      <c r="D422" s="590"/>
      <c r="E422" s="590"/>
      <c r="F422" s="590"/>
      <c r="G422" s="590"/>
      <c r="H422" s="590"/>
      <c r="I422" s="590"/>
      <c r="J422" s="590"/>
      <c r="K422" s="590"/>
      <c r="L422" s="590"/>
      <c r="M422" s="590"/>
      <c r="N422" s="590"/>
      <c r="O422" s="590"/>
      <c r="P422" s="590"/>
      <c r="Q422" s="590"/>
      <c r="R422" s="590"/>
      <c r="S422" s="590"/>
      <c r="T422" s="590"/>
      <c r="U422" s="590"/>
      <c r="V422" s="590"/>
      <c r="W422" s="590"/>
      <c r="X422" s="590"/>
      <c r="Y422" s="590"/>
      <c r="Z422" s="590"/>
    </row>
    <row r="423" spans="1:26" ht="15.75" customHeight="1">
      <c r="A423" s="590"/>
      <c r="B423" s="590"/>
      <c r="C423" s="590"/>
      <c r="D423" s="590"/>
      <c r="E423" s="590"/>
      <c r="F423" s="590"/>
      <c r="G423" s="590"/>
      <c r="H423" s="590"/>
      <c r="I423" s="590"/>
      <c r="J423" s="590"/>
      <c r="K423" s="590"/>
      <c r="L423" s="590"/>
      <c r="M423" s="590"/>
      <c r="N423" s="590"/>
      <c r="O423" s="590"/>
      <c r="P423" s="590"/>
      <c r="Q423" s="590"/>
      <c r="R423" s="590"/>
      <c r="S423" s="590"/>
      <c r="T423" s="590"/>
      <c r="U423" s="590"/>
      <c r="V423" s="590"/>
      <c r="W423" s="590"/>
      <c r="X423" s="590"/>
      <c r="Y423" s="590"/>
      <c r="Z423" s="590"/>
    </row>
    <row r="424" spans="1:26" ht="15.75" customHeight="1">
      <c r="A424" s="590"/>
      <c r="B424" s="590"/>
      <c r="C424" s="590"/>
      <c r="D424" s="590"/>
      <c r="E424" s="590"/>
      <c r="F424" s="590"/>
      <c r="G424" s="590"/>
      <c r="H424" s="590"/>
      <c r="I424" s="590"/>
      <c r="J424" s="590"/>
      <c r="K424" s="590"/>
      <c r="L424" s="590"/>
      <c r="M424" s="590"/>
      <c r="N424" s="590"/>
      <c r="O424" s="590"/>
      <c r="P424" s="590"/>
      <c r="Q424" s="590"/>
      <c r="R424" s="590"/>
      <c r="S424" s="590"/>
      <c r="T424" s="590"/>
      <c r="U424" s="590"/>
      <c r="V424" s="590"/>
      <c r="W424" s="590"/>
      <c r="X424" s="590"/>
      <c r="Y424" s="590"/>
      <c r="Z424" s="590"/>
    </row>
    <row r="425" spans="1:26" ht="15.75" customHeight="1">
      <c r="A425" s="590"/>
      <c r="B425" s="590"/>
      <c r="C425" s="590"/>
      <c r="D425" s="590"/>
      <c r="E425" s="590"/>
      <c r="F425" s="590"/>
      <c r="G425" s="590"/>
      <c r="H425" s="590"/>
      <c r="I425" s="590"/>
      <c r="J425" s="590"/>
      <c r="K425" s="590"/>
      <c r="L425" s="590"/>
      <c r="M425" s="590"/>
      <c r="N425" s="590"/>
      <c r="O425" s="590"/>
      <c r="P425" s="590"/>
      <c r="Q425" s="590"/>
      <c r="R425" s="590"/>
      <c r="S425" s="590"/>
      <c r="T425" s="590"/>
      <c r="U425" s="590"/>
      <c r="V425" s="590"/>
      <c r="W425" s="590"/>
      <c r="X425" s="590"/>
      <c r="Y425" s="590"/>
      <c r="Z425" s="590"/>
    </row>
    <row r="426" spans="1:26" ht="15.75" customHeight="1">
      <c r="A426" s="590"/>
      <c r="B426" s="590"/>
      <c r="C426" s="590"/>
      <c r="D426" s="590"/>
      <c r="E426" s="590"/>
      <c r="F426" s="590"/>
      <c r="G426" s="590"/>
      <c r="H426" s="590"/>
      <c r="I426" s="590"/>
      <c r="J426" s="590"/>
      <c r="K426" s="590"/>
      <c r="L426" s="590"/>
      <c r="M426" s="590"/>
      <c r="N426" s="590"/>
      <c r="O426" s="590"/>
      <c r="P426" s="590"/>
      <c r="Q426" s="590"/>
      <c r="R426" s="590"/>
      <c r="S426" s="590"/>
      <c r="T426" s="590"/>
      <c r="U426" s="590"/>
      <c r="V426" s="590"/>
      <c r="W426" s="590"/>
      <c r="X426" s="590"/>
      <c r="Y426" s="590"/>
      <c r="Z426" s="590"/>
    </row>
    <row r="427" spans="1:26" ht="15.75" customHeight="1">
      <c r="A427" s="590"/>
      <c r="B427" s="590"/>
      <c r="C427" s="590"/>
      <c r="D427" s="590"/>
      <c r="E427" s="590"/>
      <c r="F427" s="590"/>
      <c r="G427" s="590"/>
      <c r="H427" s="590"/>
      <c r="I427" s="590"/>
      <c r="J427" s="590"/>
      <c r="K427" s="590"/>
      <c r="L427" s="590"/>
      <c r="M427" s="590"/>
      <c r="N427" s="590"/>
      <c r="O427" s="590"/>
      <c r="P427" s="590"/>
      <c r="Q427" s="590"/>
      <c r="R427" s="590"/>
      <c r="S427" s="590"/>
      <c r="T427" s="590"/>
      <c r="U427" s="590"/>
      <c r="V427" s="590"/>
      <c r="W427" s="590"/>
      <c r="X427" s="590"/>
      <c r="Y427" s="590"/>
      <c r="Z427" s="590"/>
    </row>
    <row r="428" spans="1:26" ht="15.75" customHeight="1">
      <c r="A428" s="590"/>
      <c r="B428" s="590"/>
      <c r="C428" s="590"/>
      <c r="D428" s="590"/>
      <c r="E428" s="590"/>
      <c r="F428" s="590"/>
      <c r="G428" s="590"/>
      <c r="H428" s="590"/>
      <c r="I428" s="590"/>
      <c r="J428" s="590"/>
      <c r="K428" s="590"/>
      <c r="L428" s="590"/>
      <c r="M428" s="590"/>
      <c r="N428" s="590"/>
      <c r="O428" s="590"/>
      <c r="P428" s="590"/>
      <c r="Q428" s="590"/>
      <c r="R428" s="590"/>
      <c r="S428" s="590"/>
      <c r="T428" s="590"/>
      <c r="U428" s="590"/>
      <c r="V428" s="590"/>
      <c r="W428" s="590"/>
      <c r="X428" s="590"/>
      <c r="Y428" s="590"/>
      <c r="Z428" s="590"/>
    </row>
    <row r="429" spans="1:26" ht="15.75" customHeight="1">
      <c r="A429" s="590"/>
      <c r="B429" s="590"/>
      <c r="C429" s="590"/>
      <c r="D429" s="590"/>
      <c r="E429" s="590"/>
      <c r="F429" s="590"/>
      <c r="G429" s="590"/>
      <c r="H429" s="590"/>
      <c r="I429" s="590"/>
      <c r="J429" s="590"/>
      <c r="K429" s="590"/>
      <c r="L429" s="590"/>
      <c r="M429" s="590"/>
      <c r="N429" s="590"/>
      <c r="O429" s="590"/>
      <c r="P429" s="590"/>
      <c r="Q429" s="590"/>
      <c r="R429" s="590"/>
      <c r="S429" s="590"/>
      <c r="T429" s="590"/>
      <c r="U429" s="590"/>
      <c r="V429" s="590"/>
      <c r="W429" s="590"/>
      <c r="X429" s="590"/>
      <c r="Y429" s="590"/>
      <c r="Z429" s="590"/>
    </row>
    <row r="430" spans="1:26" ht="15.75" customHeight="1">
      <c r="A430" s="590"/>
      <c r="B430" s="590"/>
      <c r="C430" s="590"/>
      <c r="D430" s="590"/>
      <c r="E430" s="590"/>
      <c r="F430" s="590"/>
      <c r="G430" s="590"/>
      <c r="H430" s="590"/>
      <c r="I430" s="590"/>
      <c r="J430" s="590"/>
      <c r="K430" s="590"/>
      <c r="L430" s="590"/>
      <c r="M430" s="590"/>
      <c r="N430" s="590"/>
      <c r="O430" s="590"/>
      <c r="P430" s="590"/>
      <c r="Q430" s="590"/>
      <c r="R430" s="590"/>
      <c r="S430" s="590"/>
      <c r="T430" s="590"/>
      <c r="U430" s="590"/>
      <c r="V430" s="590"/>
      <c r="W430" s="590"/>
      <c r="X430" s="590"/>
      <c r="Y430" s="590"/>
      <c r="Z430" s="590"/>
    </row>
    <row r="431" spans="1:26" ht="15.75" customHeight="1">
      <c r="A431" s="590"/>
      <c r="B431" s="590"/>
      <c r="C431" s="590"/>
      <c r="D431" s="590"/>
      <c r="E431" s="590"/>
      <c r="F431" s="590"/>
      <c r="G431" s="590"/>
      <c r="H431" s="590"/>
      <c r="I431" s="590"/>
      <c r="J431" s="590"/>
      <c r="K431" s="590"/>
      <c r="L431" s="590"/>
      <c r="M431" s="590"/>
      <c r="N431" s="590"/>
      <c r="O431" s="590"/>
      <c r="P431" s="590"/>
      <c r="Q431" s="590"/>
      <c r="R431" s="590"/>
      <c r="S431" s="590"/>
      <c r="T431" s="590"/>
      <c r="U431" s="590"/>
      <c r="V431" s="590"/>
      <c r="W431" s="590"/>
      <c r="X431" s="590"/>
      <c r="Y431" s="590"/>
      <c r="Z431" s="590"/>
    </row>
    <row r="432" spans="1:26" ht="15.75" customHeight="1">
      <c r="A432" s="590"/>
      <c r="B432" s="590"/>
      <c r="C432" s="590"/>
      <c r="D432" s="590"/>
      <c r="E432" s="590"/>
      <c r="F432" s="590"/>
      <c r="G432" s="590"/>
      <c r="H432" s="590"/>
      <c r="I432" s="590"/>
      <c r="J432" s="590"/>
      <c r="K432" s="590"/>
      <c r="L432" s="590"/>
      <c r="M432" s="590"/>
      <c r="N432" s="590"/>
      <c r="O432" s="590"/>
      <c r="P432" s="590"/>
      <c r="Q432" s="590"/>
      <c r="R432" s="590"/>
      <c r="S432" s="590"/>
      <c r="T432" s="590"/>
      <c r="U432" s="590"/>
      <c r="V432" s="590"/>
      <c r="W432" s="590"/>
      <c r="X432" s="590"/>
      <c r="Y432" s="590"/>
      <c r="Z432" s="590"/>
    </row>
    <row r="433" spans="1:26" ht="15.75" customHeight="1">
      <c r="A433" s="590"/>
      <c r="B433" s="590"/>
      <c r="C433" s="590"/>
      <c r="D433" s="590"/>
      <c r="E433" s="590"/>
      <c r="F433" s="590"/>
      <c r="G433" s="590"/>
      <c r="H433" s="590"/>
      <c r="I433" s="590"/>
      <c r="J433" s="590"/>
      <c r="K433" s="590"/>
      <c r="L433" s="590"/>
      <c r="M433" s="590"/>
      <c r="N433" s="590"/>
      <c r="O433" s="590"/>
      <c r="P433" s="590"/>
      <c r="Q433" s="590"/>
      <c r="R433" s="590"/>
      <c r="S433" s="590"/>
      <c r="T433" s="590"/>
      <c r="U433" s="590"/>
      <c r="V433" s="590"/>
      <c r="W433" s="590"/>
      <c r="X433" s="590"/>
      <c r="Y433" s="590"/>
      <c r="Z433" s="590"/>
    </row>
    <row r="434" spans="1:26" ht="15.75" customHeight="1">
      <c r="A434" s="590"/>
      <c r="B434" s="590"/>
      <c r="C434" s="590"/>
      <c r="D434" s="590"/>
      <c r="E434" s="590"/>
      <c r="F434" s="590"/>
      <c r="G434" s="590"/>
      <c r="H434" s="590"/>
      <c r="I434" s="590"/>
      <c r="J434" s="590"/>
      <c r="K434" s="590"/>
      <c r="L434" s="590"/>
      <c r="M434" s="590"/>
      <c r="N434" s="590"/>
      <c r="O434" s="590"/>
      <c r="P434" s="590"/>
      <c r="Q434" s="590"/>
      <c r="R434" s="590"/>
      <c r="S434" s="590"/>
      <c r="T434" s="590"/>
      <c r="U434" s="590"/>
      <c r="V434" s="590"/>
      <c r="W434" s="590"/>
      <c r="X434" s="590"/>
      <c r="Y434" s="590"/>
      <c r="Z434" s="590"/>
    </row>
    <row r="435" spans="1:26" ht="15.75" customHeight="1">
      <c r="A435" s="590"/>
      <c r="B435" s="590"/>
      <c r="C435" s="590"/>
      <c r="D435" s="590"/>
      <c r="E435" s="590"/>
      <c r="F435" s="590"/>
      <c r="G435" s="590"/>
      <c r="H435" s="590"/>
      <c r="I435" s="590"/>
      <c r="J435" s="590"/>
      <c r="K435" s="590"/>
      <c r="L435" s="590"/>
      <c r="M435" s="590"/>
      <c r="N435" s="590"/>
      <c r="O435" s="590"/>
      <c r="P435" s="590"/>
      <c r="Q435" s="590"/>
      <c r="R435" s="590"/>
      <c r="S435" s="590"/>
      <c r="T435" s="590"/>
      <c r="U435" s="590"/>
      <c r="V435" s="590"/>
      <c r="W435" s="590"/>
      <c r="X435" s="590"/>
      <c r="Y435" s="590"/>
      <c r="Z435" s="590"/>
    </row>
    <row r="436" spans="1:26" ht="15.75" customHeight="1">
      <c r="A436" s="590"/>
      <c r="B436" s="590"/>
      <c r="C436" s="590"/>
      <c r="D436" s="590"/>
      <c r="E436" s="590"/>
      <c r="F436" s="590"/>
      <c r="G436" s="590"/>
      <c r="H436" s="590"/>
      <c r="I436" s="590"/>
      <c r="J436" s="590"/>
      <c r="K436" s="590"/>
      <c r="L436" s="590"/>
      <c r="M436" s="590"/>
      <c r="N436" s="590"/>
      <c r="O436" s="590"/>
      <c r="P436" s="590"/>
      <c r="Q436" s="590"/>
      <c r="R436" s="590"/>
      <c r="S436" s="590"/>
      <c r="T436" s="590"/>
      <c r="U436" s="590"/>
      <c r="V436" s="590"/>
      <c r="W436" s="590"/>
      <c r="X436" s="590"/>
      <c r="Y436" s="590"/>
      <c r="Z436" s="590"/>
    </row>
    <row r="437" spans="1:26" ht="15.75" customHeight="1">
      <c r="A437" s="590"/>
      <c r="B437" s="590"/>
      <c r="C437" s="590"/>
      <c r="D437" s="590"/>
      <c r="E437" s="590"/>
      <c r="F437" s="590"/>
      <c r="G437" s="590"/>
      <c r="H437" s="590"/>
      <c r="I437" s="590"/>
      <c r="J437" s="590"/>
      <c r="K437" s="590"/>
      <c r="L437" s="590"/>
      <c r="M437" s="590"/>
      <c r="N437" s="590"/>
      <c r="O437" s="590"/>
      <c r="P437" s="590"/>
      <c r="Q437" s="590"/>
      <c r="R437" s="590"/>
      <c r="S437" s="590"/>
      <c r="T437" s="590"/>
      <c r="U437" s="590"/>
      <c r="V437" s="590"/>
      <c r="W437" s="590"/>
      <c r="X437" s="590"/>
      <c r="Y437" s="590"/>
      <c r="Z437" s="590"/>
    </row>
    <row r="438" spans="1:26" ht="15.75" customHeight="1">
      <c r="A438" s="590"/>
      <c r="B438" s="590"/>
      <c r="C438" s="590"/>
      <c r="D438" s="590"/>
      <c r="E438" s="590"/>
      <c r="F438" s="590"/>
      <c r="G438" s="590"/>
      <c r="H438" s="590"/>
      <c r="I438" s="590"/>
      <c r="J438" s="590"/>
      <c r="K438" s="590"/>
      <c r="L438" s="590"/>
      <c r="M438" s="590"/>
      <c r="N438" s="590"/>
      <c r="O438" s="590"/>
      <c r="P438" s="590"/>
      <c r="Q438" s="590"/>
      <c r="R438" s="590"/>
      <c r="S438" s="590"/>
      <c r="T438" s="590"/>
      <c r="U438" s="590"/>
      <c r="V438" s="590"/>
      <c r="W438" s="590"/>
      <c r="X438" s="590"/>
      <c r="Y438" s="590"/>
      <c r="Z438" s="590"/>
    </row>
    <row r="439" spans="1:26" ht="15.75" customHeight="1">
      <c r="A439" s="590"/>
      <c r="B439" s="590"/>
      <c r="C439" s="590"/>
      <c r="D439" s="590"/>
      <c r="E439" s="590"/>
      <c r="F439" s="590"/>
      <c r="G439" s="590"/>
      <c r="H439" s="590"/>
      <c r="I439" s="590"/>
      <c r="J439" s="590"/>
      <c r="K439" s="590"/>
      <c r="L439" s="590"/>
      <c r="M439" s="590"/>
      <c r="N439" s="590"/>
      <c r="O439" s="590"/>
      <c r="P439" s="590"/>
      <c r="Q439" s="590"/>
      <c r="R439" s="590"/>
      <c r="S439" s="590"/>
      <c r="T439" s="590"/>
      <c r="U439" s="590"/>
      <c r="V439" s="590"/>
      <c r="W439" s="590"/>
      <c r="X439" s="590"/>
      <c r="Y439" s="590"/>
      <c r="Z439" s="590"/>
    </row>
    <row r="440" spans="1:26" ht="15.75" customHeight="1">
      <c r="A440" s="590"/>
      <c r="B440" s="590"/>
      <c r="C440" s="590"/>
      <c r="D440" s="590"/>
      <c r="E440" s="590"/>
      <c r="F440" s="590"/>
      <c r="G440" s="590"/>
      <c r="H440" s="590"/>
      <c r="I440" s="590"/>
      <c r="J440" s="590"/>
      <c r="K440" s="590"/>
      <c r="L440" s="590"/>
      <c r="M440" s="590"/>
      <c r="N440" s="590"/>
      <c r="O440" s="590"/>
      <c r="P440" s="590"/>
      <c r="Q440" s="590"/>
      <c r="R440" s="590"/>
      <c r="S440" s="590"/>
      <c r="T440" s="590"/>
      <c r="U440" s="590"/>
      <c r="V440" s="590"/>
      <c r="W440" s="590"/>
      <c r="X440" s="590"/>
      <c r="Y440" s="590"/>
      <c r="Z440" s="590"/>
    </row>
    <row r="441" spans="1:26" ht="15.75" customHeight="1">
      <c r="A441" s="590"/>
      <c r="B441" s="590"/>
      <c r="C441" s="590"/>
      <c r="D441" s="590"/>
      <c r="E441" s="590"/>
      <c r="F441" s="590"/>
      <c r="G441" s="590"/>
      <c r="H441" s="590"/>
      <c r="I441" s="590"/>
      <c r="J441" s="590"/>
      <c r="K441" s="590"/>
      <c r="L441" s="590"/>
      <c r="M441" s="590"/>
      <c r="N441" s="590"/>
      <c r="O441" s="590"/>
      <c r="P441" s="590"/>
      <c r="Q441" s="590"/>
      <c r="R441" s="590"/>
      <c r="S441" s="590"/>
      <c r="T441" s="590"/>
      <c r="U441" s="590"/>
      <c r="V441" s="590"/>
      <c r="W441" s="590"/>
      <c r="X441" s="590"/>
      <c r="Y441" s="590"/>
      <c r="Z441" s="590"/>
    </row>
    <row r="442" spans="1:26" ht="15.75" customHeight="1">
      <c r="A442" s="590"/>
      <c r="B442" s="590"/>
      <c r="C442" s="590"/>
      <c r="D442" s="590"/>
      <c r="E442" s="590"/>
      <c r="F442" s="590"/>
      <c r="G442" s="590"/>
      <c r="H442" s="590"/>
      <c r="I442" s="590"/>
      <c r="J442" s="590"/>
      <c r="K442" s="590"/>
      <c r="L442" s="590"/>
      <c r="M442" s="590"/>
      <c r="N442" s="590"/>
      <c r="O442" s="590"/>
      <c r="P442" s="590"/>
      <c r="Q442" s="590"/>
      <c r="R442" s="590"/>
      <c r="S442" s="590"/>
      <c r="T442" s="590"/>
      <c r="U442" s="590"/>
      <c r="V442" s="590"/>
      <c r="W442" s="590"/>
      <c r="X442" s="590"/>
      <c r="Y442" s="590"/>
      <c r="Z442" s="590"/>
    </row>
    <row r="443" spans="1:26" ht="15.75" customHeight="1">
      <c r="A443" s="590"/>
      <c r="B443" s="590"/>
      <c r="C443" s="590"/>
      <c r="D443" s="590"/>
      <c r="E443" s="590"/>
      <c r="F443" s="590"/>
      <c r="G443" s="590"/>
      <c r="H443" s="590"/>
      <c r="I443" s="590"/>
      <c r="J443" s="590"/>
      <c r="K443" s="590"/>
      <c r="L443" s="590"/>
      <c r="M443" s="590"/>
      <c r="N443" s="590"/>
      <c r="O443" s="590"/>
      <c r="P443" s="590"/>
      <c r="Q443" s="590"/>
      <c r="R443" s="590"/>
      <c r="S443" s="590"/>
      <c r="T443" s="590"/>
      <c r="U443" s="590"/>
      <c r="V443" s="590"/>
      <c r="W443" s="590"/>
      <c r="X443" s="590"/>
      <c r="Y443" s="590"/>
      <c r="Z443" s="590"/>
    </row>
    <row r="444" spans="1:26" ht="15.75" customHeight="1">
      <c r="A444" s="590"/>
      <c r="B444" s="590"/>
      <c r="C444" s="590"/>
      <c r="D444" s="590"/>
      <c r="E444" s="590"/>
      <c r="F444" s="590"/>
      <c r="G444" s="590"/>
      <c r="H444" s="590"/>
      <c r="I444" s="590"/>
      <c r="J444" s="590"/>
      <c r="K444" s="590"/>
      <c r="L444" s="590"/>
      <c r="M444" s="590"/>
      <c r="N444" s="590"/>
      <c r="O444" s="590"/>
      <c r="P444" s="590"/>
      <c r="Q444" s="590"/>
      <c r="R444" s="590"/>
      <c r="S444" s="590"/>
      <c r="T444" s="590"/>
      <c r="U444" s="590"/>
      <c r="V444" s="590"/>
      <c r="W444" s="590"/>
      <c r="X444" s="590"/>
      <c r="Y444" s="590"/>
      <c r="Z444" s="590"/>
    </row>
    <row r="445" spans="1:26" ht="15.75" customHeight="1">
      <c r="A445" s="590"/>
      <c r="B445" s="590"/>
      <c r="C445" s="590"/>
      <c r="D445" s="590"/>
      <c r="E445" s="590"/>
      <c r="F445" s="590"/>
      <c r="G445" s="590"/>
      <c r="H445" s="590"/>
      <c r="I445" s="590"/>
      <c r="J445" s="590"/>
      <c r="K445" s="590"/>
      <c r="L445" s="590"/>
      <c r="M445" s="590"/>
      <c r="N445" s="590"/>
      <c r="O445" s="590"/>
      <c r="P445" s="590"/>
      <c r="Q445" s="590"/>
      <c r="R445" s="590"/>
      <c r="S445" s="590"/>
      <c r="T445" s="590"/>
      <c r="U445" s="590"/>
      <c r="V445" s="590"/>
      <c r="W445" s="590"/>
      <c r="X445" s="590"/>
      <c r="Y445" s="590"/>
      <c r="Z445" s="590"/>
    </row>
    <row r="446" spans="1:26" ht="15.75" customHeight="1">
      <c r="A446" s="590"/>
      <c r="B446" s="590"/>
      <c r="C446" s="590"/>
      <c r="D446" s="590"/>
      <c r="E446" s="590"/>
      <c r="F446" s="590"/>
      <c r="G446" s="590"/>
      <c r="H446" s="590"/>
      <c r="I446" s="590"/>
      <c r="J446" s="590"/>
      <c r="K446" s="590"/>
      <c r="L446" s="590"/>
      <c r="M446" s="590"/>
      <c r="N446" s="590"/>
      <c r="O446" s="590"/>
      <c r="P446" s="590"/>
      <c r="Q446" s="590"/>
      <c r="R446" s="590"/>
      <c r="S446" s="590"/>
      <c r="T446" s="590"/>
      <c r="U446" s="590"/>
      <c r="V446" s="590"/>
      <c r="W446" s="590"/>
      <c r="X446" s="590"/>
      <c r="Y446" s="590"/>
      <c r="Z446" s="590"/>
    </row>
    <row r="447" spans="1:26" ht="15.75" customHeight="1">
      <c r="A447" s="590"/>
      <c r="B447" s="590"/>
      <c r="C447" s="590"/>
      <c r="D447" s="590"/>
      <c r="E447" s="590"/>
      <c r="F447" s="590"/>
      <c r="G447" s="590"/>
      <c r="H447" s="590"/>
      <c r="I447" s="590"/>
      <c r="J447" s="590"/>
      <c r="K447" s="590"/>
      <c r="L447" s="590"/>
      <c r="M447" s="590"/>
      <c r="N447" s="590"/>
      <c r="O447" s="590"/>
      <c r="P447" s="590"/>
      <c r="Q447" s="590"/>
      <c r="R447" s="590"/>
      <c r="S447" s="590"/>
      <c r="T447" s="590"/>
      <c r="U447" s="590"/>
      <c r="V447" s="590"/>
      <c r="W447" s="590"/>
      <c r="X447" s="590"/>
      <c r="Y447" s="590"/>
      <c r="Z447" s="590"/>
    </row>
    <row r="448" spans="1:26" ht="15.75" customHeight="1">
      <c r="A448" s="590"/>
      <c r="B448" s="590"/>
      <c r="C448" s="590"/>
      <c r="D448" s="590"/>
      <c r="E448" s="590"/>
      <c r="F448" s="590"/>
      <c r="G448" s="590"/>
      <c r="H448" s="590"/>
      <c r="I448" s="590"/>
      <c r="J448" s="590"/>
      <c r="K448" s="590"/>
      <c r="L448" s="590"/>
      <c r="M448" s="590"/>
      <c r="N448" s="590"/>
      <c r="O448" s="590"/>
      <c r="P448" s="590"/>
      <c r="Q448" s="590"/>
      <c r="R448" s="590"/>
      <c r="S448" s="590"/>
      <c r="T448" s="590"/>
      <c r="U448" s="590"/>
      <c r="V448" s="590"/>
      <c r="W448" s="590"/>
      <c r="X448" s="590"/>
      <c r="Y448" s="590"/>
      <c r="Z448" s="590"/>
    </row>
    <row r="449" spans="1:26" ht="15.75" customHeight="1">
      <c r="A449" s="590"/>
      <c r="B449" s="590"/>
      <c r="C449" s="590"/>
      <c r="D449" s="590"/>
      <c r="E449" s="590"/>
      <c r="F449" s="590"/>
      <c r="G449" s="590"/>
      <c r="H449" s="590"/>
      <c r="I449" s="590"/>
      <c r="J449" s="590"/>
      <c r="K449" s="590"/>
      <c r="L449" s="590"/>
      <c r="M449" s="590"/>
      <c r="N449" s="590"/>
      <c r="O449" s="590"/>
      <c r="P449" s="590"/>
      <c r="Q449" s="590"/>
      <c r="R449" s="590"/>
      <c r="S449" s="590"/>
      <c r="T449" s="590"/>
      <c r="U449" s="590"/>
      <c r="V449" s="590"/>
      <c r="W449" s="590"/>
      <c r="X449" s="590"/>
      <c r="Y449" s="590"/>
      <c r="Z449" s="590"/>
    </row>
    <row r="450" spans="1:26" ht="15.75" customHeight="1">
      <c r="A450" s="590"/>
      <c r="B450" s="590"/>
      <c r="C450" s="590"/>
      <c r="D450" s="590"/>
      <c r="E450" s="590"/>
      <c r="F450" s="590"/>
      <c r="G450" s="590"/>
      <c r="H450" s="590"/>
      <c r="I450" s="590"/>
      <c r="J450" s="590"/>
      <c r="K450" s="590"/>
      <c r="L450" s="590"/>
      <c r="M450" s="590"/>
      <c r="N450" s="590"/>
      <c r="O450" s="590"/>
      <c r="P450" s="590"/>
      <c r="Q450" s="590"/>
      <c r="R450" s="590"/>
      <c r="S450" s="590"/>
      <c r="T450" s="590"/>
      <c r="U450" s="590"/>
      <c r="V450" s="590"/>
      <c r="W450" s="590"/>
      <c r="X450" s="590"/>
      <c r="Y450" s="590"/>
      <c r="Z450" s="590"/>
    </row>
    <row r="451" spans="1:26" ht="15.75" customHeight="1">
      <c r="A451" s="590"/>
      <c r="B451" s="590"/>
      <c r="C451" s="590"/>
      <c r="D451" s="590"/>
      <c r="E451" s="590"/>
      <c r="F451" s="590"/>
      <c r="G451" s="590"/>
      <c r="H451" s="590"/>
      <c r="I451" s="590"/>
      <c r="J451" s="590"/>
      <c r="K451" s="590"/>
      <c r="L451" s="590"/>
      <c r="M451" s="590"/>
      <c r="N451" s="590"/>
      <c r="O451" s="590"/>
      <c r="P451" s="590"/>
      <c r="Q451" s="590"/>
      <c r="R451" s="590"/>
      <c r="S451" s="590"/>
      <c r="T451" s="590"/>
      <c r="U451" s="590"/>
      <c r="V451" s="590"/>
      <c r="W451" s="590"/>
      <c r="X451" s="590"/>
      <c r="Y451" s="590"/>
      <c r="Z451" s="590"/>
    </row>
    <row r="452" spans="1:26" ht="15.75" customHeight="1">
      <c r="A452" s="590"/>
      <c r="B452" s="590"/>
      <c r="C452" s="590"/>
      <c r="D452" s="590"/>
      <c r="E452" s="590"/>
      <c r="F452" s="590"/>
      <c r="G452" s="590"/>
      <c r="H452" s="590"/>
      <c r="I452" s="590"/>
      <c r="J452" s="590"/>
      <c r="K452" s="590"/>
      <c r="L452" s="590"/>
      <c r="M452" s="590"/>
      <c r="N452" s="590"/>
      <c r="O452" s="590"/>
      <c r="P452" s="590"/>
      <c r="Q452" s="590"/>
      <c r="R452" s="590"/>
      <c r="S452" s="590"/>
      <c r="T452" s="590"/>
      <c r="U452" s="590"/>
      <c r="V452" s="590"/>
      <c r="W452" s="590"/>
      <c r="X452" s="590"/>
      <c r="Y452" s="590"/>
      <c r="Z452" s="590"/>
    </row>
    <row r="453" spans="1:26" ht="15.75" customHeight="1">
      <c r="A453" s="590"/>
      <c r="B453" s="590"/>
      <c r="C453" s="590"/>
      <c r="D453" s="590"/>
      <c r="E453" s="590"/>
      <c r="F453" s="590"/>
      <c r="G453" s="590"/>
      <c r="H453" s="590"/>
      <c r="I453" s="590"/>
      <c r="J453" s="590"/>
      <c r="K453" s="590"/>
      <c r="L453" s="590"/>
      <c r="M453" s="590"/>
      <c r="N453" s="590"/>
      <c r="O453" s="590"/>
      <c r="P453" s="590"/>
      <c r="Q453" s="590"/>
      <c r="R453" s="590"/>
      <c r="S453" s="590"/>
      <c r="T453" s="590"/>
      <c r="U453" s="590"/>
      <c r="V453" s="590"/>
      <c r="W453" s="590"/>
      <c r="X453" s="590"/>
      <c r="Y453" s="590"/>
      <c r="Z453" s="590"/>
    </row>
    <row r="454" spans="1:26" ht="15.75" customHeight="1">
      <c r="A454" s="590"/>
      <c r="B454" s="590"/>
      <c r="C454" s="590"/>
      <c r="D454" s="590"/>
      <c r="E454" s="590"/>
      <c r="F454" s="590"/>
      <c r="G454" s="590"/>
      <c r="H454" s="590"/>
      <c r="I454" s="590"/>
      <c r="J454" s="590"/>
      <c r="K454" s="590"/>
      <c r="L454" s="590"/>
      <c r="M454" s="590"/>
      <c r="N454" s="590"/>
      <c r="O454" s="590"/>
      <c r="P454" s="590"/>
      <c r="Q454" s="590"/>
      <c r="R454" s="590"/>
      <c r="S454" s="590"/>
      <c r="T454" s="590"/>
      <c r="U454" s="590"/>
      <c r="V454" s="590"/>
      <c r="W454" s="590"/>
      <c r="X454" s="590"/>
      <c r="Y454" s="590"/>
      <c r="Z454" s="590"/>
    </row>
    <row r="455" spans="1:26" ht="15.75" customHeight="1">
      <c r="A455" s="590"/>
      <c r="B455" s="590"/>
      <c r="C455" s="590"/>
      <c r="D455" s="590"/>
      <c r="E455" s="590"/>
      <c r="F455" s="590"/>
      <c r="G455" s="590"/>
      <c r="H455" s="590"/>
      <c r="I455" s="590"/>
      <c r="J455" s="590"/>
      <c r="K455" s="590"/>
      <c r="L455" s="590"/>
      <c r="M455" s="590"/>
      <c r="N455" s="590"/>
      <c r="O455" s="590"/>
      <c r="P455" s="590"/>
      <c r="Q455" s="590"/>
      <c r="R455" s="590"/>
      <c r="S455" s="590"/>
      <c r="T455" s="590"/>
      <c r="U455" s="590"/>
      <c r="V455" s="590"/>
      <c r="W455" s="590"/>
      <c r="X455" s="590"/>
      <c r="Y455" s="590"/>
      <c r="Z455" s="590"/>
    </row>
    <row r="456" spans="1:26" ht="15.75" customHeight="1">
      <c r="A456" s="590"/>
      <c r="B456" s="590"/>
      <c r="C456" s="590"/>
      <c r="D456" s="590"/>
      <c r="E456" s="590"/>
      <c r="F456" s="590"/>
      <c r="G456" s="590"/>
      <c r="H456" s="590"/>
      <c r="I456" s="590"/>
      <c r="J456" s="590"/>
      <c r="K456" s="590"/>
      <c r="L456" s="590"/>
      <c r="M456" s="590"/>
      <c r="N456" s="590"/>
      <c r="O456" s="590"/>
      <c r="P456" s="590"/>
      <c r="Q456" s="590"/>
      <c r="R456" s="590"/>
      <c r="S456" s="590"/>
      <c r="T456" s="590"/>
      <c r="U456" s="590"/>
      <c r="V456" s="590"/>
      <c r="W456" s="590"/>
      <c r="X456" s="590"/>
      <c r="Y456" s="590"/>
      <c r="Z456" s="590"/>
    </row>
    <row r="457" spans="1:26" ht="15.75" customHeight="1">
      <c r="A457" s="590"/>
      <c r="B457" s="590"/>
      <c r="C457" s="590"/>
      <c r="D457" s="590"/>
      <c r="E457" s="590"/>
      <c r="F457" s="590"/>
      <c r="G457" s="590"/>
      <c r="H457" s="590"/>
      <c r="I457" s="590"/>
      <c r="J457" s="590"/>
      <c r="K457" s="590"/>
      <c r="L457" s="590"/>
      <c r="M457" s="590"/>
      <c r="N457" s="590"/>
      <c r="O457" s="590"/>
      <c r="P457" s="590"/>
      <c r="Q457" s="590"/>
      <c r="R457" s="590"/>
      <c r="S457" s="590"/>
      <c r="T457" s="590"/>
      <c r="U457" s="590"/>
      <c r="V457" s="590"/>
      <c r="W457" s="590"/>
      <c r="X457" s="590"/>
      <c r="Y457" s="590"/>
      <c r="Z457" s="590"/>
    </row>
    <row r="458" spans="1:26" ht="15.75" customHeight="1">
      <c r="A458" s="590"/>
      <c r="B458" s="590"/>
      <c r="C458" s="590"/>
      <c r="D458" s="590"/>
      <c r="E458" s="590"/>
      <c r="F458" s="590"/>
      <c r="G458" s="590"/>
      <c r="H458" s="590"/>
      <c r="I458" s="590"/>
      <c r="J458" s="590"/>
      <c r="K458" s="590"/>
      <c r="L458" s="590"/>
      <c r="M458" s="590"/>
      <c r="N458" s="590"/>
      <c r="O458" s="590"/>
      <c r="P458" s="590"/>
      <c r="Q458" s="590"/>
      <c r="R458" s="590"/>
      <c r="S458" s="590"/>
      <c r="T458" s="590"/>
      <c r="U458" s="590"/>
      <c r="V458" s="590"/>
      <c r="W458" s="590"/>
      <c r="X458" s="590"/>
      <c r="Y458" s="590"/>
      <c r="Z458" s="590"/>
    </row>
    <row r="459" spans="1:26" ht="15.75" customHeight="1">
      <c r="A459" s="590"/>
      <c r="B459" s="590"/>
      <c r="C459" s="590"/>
      <c r="D459" s="590"/>
      <c r="E459" s="590"/>
      <c r="F459" s="590"/>
      <c r="G459" s="590"/>
      <c r="H459" s="590"/>
      <c r="I459" s="590"/>
      <c r="J459" s="590"/>
      <c r="K459" s="590"/>
      <c r="L459" s="590"/>
      <c r="M459" s="590"/>
      <c r="N459" s="590"/>
      <c r="O459" s="590"/>
      <c r="P459" s="590"/>
      <c r="Q459" s="590"/>
      <c r="R459" s="590"/>
      <c r="S459" s="590"/>
      <c r="T459" s="590"/>
      <c r="U459" s="590"/>
      <c r="V459" s="590"/>
      <c r="W459" s="590"/>
      <c r="X459" s="590"/>
      <c r="Y459" s="590"/>
      <c r="Z459" s="590"/>
    </row>
    <row r="460" spans="1:26" ht="15.75" customHeight="1">
      <c r="A460" s="590"/>
      <c r="B460" s="590"/>
      <c r="C460" s="590"/>
      <c r="D460" s="590"/>
      <c r="E460" s="590"/>
      <c r="F460" s="590"/>
      <c r="G460" s="590"/>
      <c r="H460" s="590"/>
      <c r="I460" s="590"/>
      <c r="J460" s="590"/>
      <c r="K460" s="590"/>
      <c r="L460" s="590"/>
      <c r="M460" s="590"/>
      <c r="N460" s="590"/>
      <c r="O460" s="590"/>
      <c r="P460" s="590"/>
      <c r="Q460" s="590"/>
      <c r="R460" s="590"/>
      <c r="S460" s="590"/>
      <c r="T460" s="590"/>
      <c r="U460" s="590"/>
      <c r="V460" s="590"/>
      <c r="W460" s="590"/>
      <c r="X460" s="590"/>
      <c r="Y460" s="590"/>
      <c r="Z460" s="590"/>
    </row>
    <row r="461" spans="1:26" ht="15.75" customHeight="1">
      <c r="A461" s="590"/>
      <c r="B461" s="590"/>
      <c r="C461" s="590"/>
      <c r="D461" s="590"/>
      <c r="E461" s="590"/>
      <c r="F461" s="590"/>
      <c r="G461" s="590"/>
      <c r="H461" s="590"/>
      <c r="I461" s="590"/>
      <c r="J461" s="590"/>
      <c r="K461" s="590"/>
      <c r="L461" s="590"/>
      <c r="M461" s="590"/>
      <c r="N461" s="590"/>
      <c r="O461" s="590"/>
      <c r="P461" s="590"/>
      <c r="Q461" s="590"/>
      <c r="R461" s="590"/>
      <c r="S461" s="590"/>
      <c r="T461" s="590"/>
      <c r="U461" s="590"/>
      <c r="V461" s="590"/>
      <c r="W461" s="590"/>
      <c r="X461" s="590"/>
      <c r="Y461" s="590"/>
      <c r="Z461" s="590"/>
    </row>
    <row r="462" spans="1:26" ht="15.75" customHeight="1">
      <c r="A462" s="590"/>
      <c r="B462" s="590"/>
      <c r="C462" s="590"/>
      <c r="D462" s="590"/>
      <c r="E462" s="590"/>
      <c r="F462" s="590"/>
      <c r="G462" s="590"/>
      <c r="H462" s="590"/>
      <c r="I462" s="590"/>
      <c r="J462" s="590"/>
      <c r="K462" s="590"/>
      <c r="L462" s="590"/>
      <c r="M462" s="590"/>
      <c r="N462" s="590"/>
      <c r="O462" s="590"/>
      <c r="P462" s="590"/>
      <c r="Q462" s="590"/>
      <c r="R462" s="590"/>
      <c r="S462" s="590"/>
      <c r="T462" s="590"/>
      <c r="U462" s="590"/>
      <c r="V462" s="590"/>
      <c r="W462" s="590"/>
      <c r="X462" s="590"/>
      <c r="Y462" s="590"/>
      <c r="Z462" s="590"/>
    </row>
    <row r="463" spans="1:26" ht="15.75" customHeight="1">
      <c r="A463" s="590"/>
      <c r="B463" s="590"/>
      <c r="C463" s="590"/>
      <c r="D463" s="590"/>
      <c r="E463" s="590"/>
      <c r="F463" s="590"/>
      <c r="G463" s="590"/>
      <c r="H463" s="590"/>
      <c r="I463" s="590"/>
      <c r="J463" s="590"/>
      <c r="K463" s="590"/>
      <c r="L463" s="590"/>
      <c r="M463" s="590"/>
      <c r="N463" s="590"/>
      <c r="O463" s="590"/>
      <c r="P463" s="590"/>
      <c r="Q463" s="590"/>
      <c r="R463" s="590"/>
      <c r="S463" s="590"/>
      <c r="T463" s="590"/>
      <c r="U463" s="590"/>
      <c r="V463" s="590"/>
      <c r="W463" s="590"/>
      <c r="X463" s="590"/>
      <c r="Y463" s="590"/>
      <c r="Z463" s="590"/>
    </row>
    <row r="464" spans="1:26" ht="15.75" customHeight="1">
      <c r="A464" s="590"/>
      <c r="B464" s="590"/>
      <c r="C464" s="590"/>
      <c r="D464" s="590"/>
      <c r="E464" s="590"/>
      <c r="F464" s="590"/>
      <c r="G464" s="590"/>
      <c r="H464" s="590"/>
      <c r="I464" s="590"/>
      <c r="J464" s="590"/>
      <c r="K464" s="590"/>
      <c r="L464" s="590"/>
      <c r="M464" s="590"/>
      <c r="N464" s="590"/>
      <c r="O464" s="590"/>
      <c r="P464" s="590"/>
      <c r="Q464" s="590"/>
      <c r="R464" s="590"/>
      <c r="S464" s="590"/>
      <c r="T464" s="590"/>
      <c r="U464" s="590"/>
      <c r="V464" s="590"/>
      <c r="W464" s="590"/>
      <c r="X464" s="590"/>
      <c r="Y464" s="590"/>
      <c r="Z464" s="590"/>
    </row>
    <row r="465" spans="1:26" ht="15.75" customHeight="1">
      <c r="A465" s="590"/>
      <c r="B465" s="590"/>
      <c r="C465" s="590"/>
      <c r="D465" s="590"/>
      <c r="E465" s="590"/>
      <c r="F465" s="590"/>
      <c r="G465" s="590"/>
      <c r="H465" s="590"/>
      <c r="I465" s="590"/>
      <c r="J465" s="590"/>
      <c r="K465" s="590"/>
      <c r="L465" s="590"/>
      <c r="M465" s="590"/>
      <c r="N465" s="590"/>
      <c r="O465" s="590"/>
      <c r="P465" s="590"/>
      <c r="Q465" s="590"/>
      <c r="R465" s="590"/>
      <c r="S465" s="590"/>
      <c r="T465" s="590"/>
      <c r="U465" s="590"/>
      <c r="V465" s="590"/>
      <c r="W465" s="590"/>
      <c r="X465" s="590"/>
      <c r="Y465" s="590"/>
      <c r="Z465" s="590"/>
    </row>
    <row r="466" spans="1:26" ht="15.75" customHeight="1">
      <c r="A466" s="590"/>
      <c r="B466" s="590"/>
      <c r="C466" s="590"/>
      <c r="D466" s="590"/>
      <c r="E466" s="590"/>
      <c r="F466" s="590"/>
      <c r="G466" s="590"/>
      <c r="H466" s="590"/>
      <c r="I466" s="590"/>
      <c r="J466" s="590"/>
      <c r="K466" s="590"/>
      <c r="L466" s="590"/>
      <c r="M466" s="590"/>
      <c r="N466" s="590"/>
      <c r="O466" s="590"/>
      <c r="P466" s="590"/>
      <c r="Q466" s="590"/>
      <c r="R466" s="590"/>
      <c r="S466" s="590"/>
      <c r="T466" s="590"/>
      <c r="U466" s="590"/>
      <c r="V466" s="590"/>
      <c r="W466" s="590"/>
      <c r="X466" s="590"/>
      <c r="Y466" s="590"/>
      <c r="Z466" s="590"/>
    </row>
    <row r="467" spans="1:26" ht="15.75" customHeight="1">
      <c r="A467" s="590"/>
      <c r="B467" s="590"/>
      <c r="C467" s="590"/>
      <c r="D467" s="590"/>
      <c r="E467" s="590"/>
      <c r="F467" s="590"/>
      <c r="G467" s="590"/>
      <c r="H467" s="590"/>
      <c r="I467" s="590"/>
      <c r="J467" s="590"/>
      <c r="K467" s="590"/>
      <c r="L467" s="590"/>
      <c r="M467" s="590"/>
      <c r="N467" s="590"/>
      <c r="O467" s="590"/>
      <c r="P467" s="590"/>
      <c r="Q467" s="590"/>
      <c r="R467" s="590"/>
      <c r="S467" s="590"/>
      <c r="T467" s="590"/>
      <c r="U467" s="590"/>
      <c r="V467" s="590"/>
      <c r="W467" s="590"/>
      <c r="X467" s="590"/>
      <c r="Y467" s="590"/>
      <c r="Z467" s="590"/>
    </row>
    <row r="468" spans="1:26" ht="15.75" customHeight="1">
      <c r="A468" s="590"/>
      <c r="B468" s="590"/>
      <c r="C468" s="590"/>
      <c r="D468" s="590"/>
      <c r="E468" s="590"/>
      <c r="F468" s="590"/>
      <c r="G468" s="590"/>
      <c r="H468" s="590"/>
      <c r="I468" s="590"/>
      <c r="J468" s="590"/>
      <c r="K468" s="590"/>
      <c r="L468" s="590"/>
      <c r="M468" s="590"/>
      <c r="N468" s="590"/>
      <c r="O468" s="590"/>
      <c r="P468" s="590"/>
      <c r="Q468" s="590"/>
      <c r="R468" s="590"/>
      <c r="S468" s="590"/>
      <c r="T468" s="590"/>
      <c r="U468" s="590"/>
      <c r="V468" s="590"/>
      <c r="W468" s="590"/>
      <c r="X468" s="590"/>
      <c r="Y468" s="590"/>
      <c r="Z468" s="590"/>
    </row>
    <row r="469" spans="1:26" ht="15.75" customHeight="1">
      <c r="A469" s="590"/>
      <c r="B469" s="590"/>
      <c r="C469" s="590"/>
      <c r="D469" s="590"/>
      <c r="E469" s="590"/>
      <c r="F469" s="590"/>
      <c r="G469" s="590"/>
      <c r="H469" s="590"/>
      <c r="I469" s="590"/>
      <c r="J469" s="590"/>
      <c r="K469" s="590"/>
      <c r="L469" s="590"/>
      <c r="M469" s="590"/>
      <c r="N469" s="590"/>
      <c r="O469" s="590"/>
      <c r="P469" s="590"/>
      <c r="Q469" s="590"/>
      <c r="R469" s="590"/>
      <c r="S469" s="590"/>
      <c r="T469" s="590"/>
      <c r="U469" s="590"/>
      <c r="V469" s="590"/>
      <c r="W469" s="590"/>
      <c r="X469" s="590"/>
      <c r="Y469" s="590"/>
      <c r="Z469" s="590"/>
    </row>
    <row r="470" spans="1:26" ht="15.75" customHeight="1">
      <c r="A470" s="590"/>
      <c r="B470" s="590"/>
      <c r="C470" s="590"/>
      <c r="D470" s="590"/>
      <c r="E470" s="590"/>
      <c r="F470" s="590"/>
      <c r="G470" s="590"/>
      <c r="H470" s="590"/>
      <c r="I470" s="590"/>
      <c r="J470" s="590"/>
      <c r="K470" s="590"/>
      <c r="L470" s="590"/>
      <c r="M470" s="590"/>
      <c r="N470" s="590"/>
      <c r="O470" s="590"/>
      <c r="P470" s="590"/>
      <c r="Q470" s="590"/>
      <c r="R470" s="590"/>
      <c r="S470" s="590"/>
      <c r="T470" s="590"/>
      <c r="U470" s="590"/>
      <c r="V470" s="590"/>
      <c r="W470" s="590"/>
      <c r="X470" s="590"/>
      <c r="Y470" s="590"/>
      <c r="Z470" s="590"/>
    </row>
    <row r="471" spans="1:26" ht="15.75" customHeight="1">
      <c r="A471" s="590"/>
      <c r="B471" s="590"/>
      <c r="C471" s="590"/>
      <c r="D471" s="590"/>
      <c r="E471" s="590"/>
      <c r="F471" s="590"/>
      <c r="G471" s="590"/>
      <c r="H471" s="590"/>
      <c r="I471" s="590"/>
      <c r="J471" s="590"/>
      <c r="K471" s="590"/>
      <c r="L471" s="590"/>
      <c r="M471" s="590"/>
      <c r="N471" s="590"/>
      <c r="O471" s="590"/>
      <c r="P471" s="590"/>
      <c r="Q471" s="590"/>
      <c r="R471" s="590"/>
      <c r="S471" s="590"/>
      <c r="T471" s="590"/>
      <c r="U471" s="590"/>
      <c r="V471" s="590"/>
      <c r="W471" s="590"/>
      <c r="X471" s="590"/>
      <c r="Y471" s="590"/>
      <c r="Z471" s="590"/>
    </row>
    <row r="472" spans="1:26" ht="15.75" customHeight="1">
      <c r="A472" s="590"/>
      <c r="B472" s="590"/>
      <c r="C472" s="590"/>
      <c r="D472" s="590"/>
      <c r="E472" s="590"/>
      <c r="F472" s="590"/>
      <c r="G472" s="590"/>
      <c r="H472" s="590"/>
      <c r="I472" s="590"/>
      <c r="J472" s="590"/>
      <c r="K472" s="590"/>
      <c r="L472" s="590"/>
      <c r="M472" s="590"/>
      <c r="N472" s="590"/>
      <c r="O472" s="590"/>
      <c r="P472" s="590"/>
      <c r="Q472" s="590"/>
      <c r="R472" s="590"/>
      <c r="S472" s="590"/>
      <c r="T472" s="590"/>
      <c r="U472" s="590"/>
      <c r="V472" s="590"/>
      <c r="W472" s="590"/>
      <c r="X472" s="590"/>
      <c r="Y472" s="590"/>
      <c r="Z472" s="590"/>
    </row>
    <row r="473" spans="1:26" ht="15.75" customHeight="1">
      <c r="A473" s="590"/>
      <c r="B473" s="590"/>
      <c r="C473" s="590"/>
      <c r="D473" s="590"/>
      <c r="E473" s="590"/>
      <c r="F473" s="590"/>
      <c r="G473" s="590"/>
      <c r="H473" s="590"/>
      <c r="I473" s="590"/>
      <c r="J473" s="590"/>
      <c r="K473" s="590"/>
      <c r="L473" s="590"/>
      <c r="M473" s="590"/>
      <c r="N473" s="590"/>
      <c r="O473" s="590"/>
      <c r="P473" s="590"/>
      <c r="Q473" s="590"/>
      <c r="R473" s="590"/>
      <c r="S473" s="590"/>
      <c r="T473" s="590"/>
      <c r="U473" s="590"/>
      <c r="V473" s="590"/>
      <c r="W473" s="590"/>
      <c r="X473" s="590"/>
      <c r="Y473" s="590"/>
      <c r="Z473" s="590"/>
    </row>
    <row r="474" spans="1:26" ht="15.75" customHeight="1">
      <c r="A474" s="590"/>
      <c r="B474" s="590"/>
      <c r="C474" s="590"/>
      <c r="D474" s="590"/>
      <c r="E474" s="590"/>
      <c r="F474" s="590"/>
      <c r="G474" s="590"/>
      <c r="H474" s="590"/>
      <c r="I474" s="590"/>
      <c r="J474" s="590"/>
      <c r="K474" s="590"/>
      <c r="L474" s="590"/>
      <c r="M474" s="590"/>
      <c r="N474" s="590"/>
      <c r="O474" s="590"/>
      <c r="P474" s="590"/>
      <c r="Q474" s="590"/>
      <c r="R474" s="590"/>
      <c r="S474" s="590"/>
      <c r="T474" s="590"/>
      <c r="U474" s="590"/>
      <c r="V474" s="590"/>
      <c r="W474" s="590"/>
      <c r="X474" s="590"/>
      <c r="Y474" s="590"/>
      <c r="Z474" s="590"/>
    </row>
    <row r="475" spans="1:26" ht="15.75" customHeight="1">
      <c r="A475" s="590"/>
      <c r="B475" s="590"/>
      <c r="C475" s="590"/>
      <c r="D475" s="590"/>
      <c r="E475" s="590"/>
      <c r="F475" s="590"/>
      <c r="G475" s="590"/>
      <c r="H475" s="590"/>
      <c r="I475" s="590"/>
      <c r="J475" s="590"/>
      <c r="K475" s="590"/>
      <c r="L475" s="590"/>
      <c r="M475" s="590"/>
      <c r="N475" s="590"/>
      <c r="O475" s="590"/>
      <c r="P475" s="590"/>
      <c r="Q475" s="590"/>
      <c r="R475" s="590"/>
      <c r="S475" s="590"/>
      <c r="T475" s="590"/>
      <c r="U475" s="590"/>
      <c r="V475" s="590"/>
      <c r="W475" s="590"/>
      <c r="X475" s="590"/>
      <c r="Y475" s="590"/>
      <c r="Z475" s="590"/>
    </row>
    <row r="476" spans="1:26" ht="15.75" customHeight="1">
      <c r="A476" s="590"/>
      <c r="B476" s="590"/>
      <c r="C476" s="590"/>
      <c r="D476" s="590"/>
      <c r="E476" s="590"/>
      <c r="F476" s="590"/>
      <c r="G476" s="590"/>
      <c r="H476" s="590"/>
      <c r="I476" s="590"/>
      <c r="J476" s="590"/>
      <c r="K476" s="590"/>
      <c r="L476" s="590"/>
      <c r="M476" s="590"/>
      <c r="N476" s="590"/>
      <c r="O476" s="590"/>
      <c r="P476" s="590"/>
      <c r="Q476" s="590"/>
      <c r="R476" s="590"/>
      <c r="S476" s="590"/>
      <c r="T476" s="590"/>
      <c r="U476" s="590"/>
      <c r="V476" s="590"/>
      <c r="W476" s="590"/>
      <c r="X476" s="590"/>
      <c r="Y476" s="590"/>
      <c r="Z476" s="590"/>
    </row>
    <row r="477" spans="1:26" ht="15.75" customHeight="1">
      <c r="A477" s="590"/>
      <c r="B477" s="590"/>
      <c r="C477" s="590"/>
      <c r="D477" s="590"/>
      <c r="E477" s="590"/>
      <c r="F477" s="590"/>
      <c r="G477" s="590"/>
      <c r="H477" s="590"/>
      <c r="I477" s="590"/>
      <c r="J477" s="590"/>
      <c r="K477" s="590"/>
      <c r="L477" s="590"/>
      <c r="M477" s="590"/>
      <c r="N477" s="590"/>
      <c r="O477" s="590"/>
      <c r="P477" s="590"/>
      <c r="Q477" s="590"/>
      <c r="R477" s="590"/>
      <c r="S477" s="590"/>
      <c r="T477" s="590"/>
      <c r="U477" s="590"/>
      <c r="V477" s="590"/>
      <c r="W477" s="590"/>
      <c r="X477" s="590"/>
      <c r="Y477" s="590"/>
      <c r="Z477" s="590"/>
    </row>
    <row r="478" spans="1:26" ht="15.75" customHeight="1">
      <c r="A478" s="590"/>
      <c r="B478" s="590"/>
      <c r="C478" s="590"/>
      <c r="D478" s="590"/>
      <c r="E478" s="590"/>
      <c r="F478" s="590"/>
      <c r="G478" s="590"/>
      <c r="H478" s="590"/>
      <c r="I478" s="590"/>
      <c r="J478" s="590"/>
      <c r="K478" s="590"/>
      <c r="L478" s="590"/>
      <c r="M478" s="590"/>
      <c r="N478" s="590"/>
      <c r="O478" s="590"/>
      <c r="P478" s="590"/>
      <c r="Q478" s="590"/>
      <c r="R478" s="590"/>
      <c r="S478" s="590"/>
      <c r="T478" s="590"/>
      <c r="U478" s="590"/>
      <c r="V478" s="590"/>
      <c r="W478" s="590"/>
      <c r="X478" s="590"/>
      <c r="Y478" s="590"/>
      <c r="Z478" s="590"/>
    </row>
    <row r="479" spans="1:26" ht="15.75" customHeight="1">
      <c r="A479" s="590"/>
      <c r="B479" s="590"/>
      <c r="C479" s="590"/>
      <c r="D479" s="590"/>
      <c r="E479" s="590"/>
      <c r="F479" s="590"/>
      <c r="G479" s="590"/>
      <c r="H479" s="590"/>
      <c r="I479" s="590"/>
      <c r="J479" s="590"/>
      <c r="K479" s="590"/>
      <c r="L479" s="590"/>
      <c r="M479" s="590"/>
      <c r="N479" s="590"/>
      <c r="O479" s="590"/>
      <c r="P479" s="590"/>
      <c r="Q479" s="590"/>
      <c r="R479" s="590"/>
      <c r="S479" s="590"/>
      <c r="T479" s="590"/>
      <c r="U479" s="590"/>
      <c r="V479" s="590"/>
      <c r="W479" s="590"/>
      <c r="X479" s="590"/>
      <c r="Y479" s="590"/>
      <c r="Z479" s="590"/>
    </row>
    <row r="480" spans="1:26" ht="15.75" customHeight="1">
      <c r="A480" s="590"/>
      <c r="B480" s="590"/>
      <c r="C480" s="590"/>
      <c r="D480" s="590"/>
      <c r="E480" s="590"/>
      <c r="F480" s="590"/>
      <c r="G480" s="590"/>
      <c r="H480" s="590"/>
      <c r="I480" s="590"/>
      <c r="J480" s="590"/>
      <c r="K480" s="590"/>
      <c r="L480" s="590"/>
      <c r="M480" s="590"/>
      <c r="N480" s="590"/>
      <c r="O480" s="590"/>
      <c r="P480" s="590"/>
      <c r="Q480" s="590"/>
      <c r="R480" s="590"/>
      <c r="S480" s="590"/>
      <c r="T480" s="590"/>
      <c r="U480" s="590"/>
      <c r="V480" s="590"/>
      <c r="W480" s="590"/>
      <c r="X480" s="590"/>
      <c r="Y480" s="590"/>
      <c r="Z480" s="590"/>
    </row>
    <row r="481" spans="1:26" ht="15.75" customHeight="1">
      <c r="A481" s="590"/>
      <c r="B481" s="590"/>
      <c r="C481" s="590"/>
      <c r="D481" s="590"/>
      <c r="E481" s="590"/>
      <c r="F481" s="590"/>
      <c r="G481" s="590"/>
      <c r="H481" s="590"/>
      <c r="I481" s="590"/>
      <c r="J481" s="590"/>
      <c r="K481" s="590"/>
      <c r="L481" s="590"/>
      <c r="M481" s="590"/>
      <c r="N481" s="590"/>
      <c r="O481" s="590"/>
      <c r="P481" s="590"/>
      <c r="Q481" s="590"/>
      <c r="R481" s="590"/>
      <c r="S481" s="590"/>
      <c r="T481" s="590"/>
      <c r="U481" s="590"/>
      <c r="V481" s="590"/>
      <c r="W481" s="590"/>
      <c r="X481" s="590"/>
      <c r="Y481" s="590"/>
      <c r="Z481" s="590"/>
    </row>
    <row r="482" spans="1:26" ht="15.75" customHeight="1">
      <c r="A482" s="590"/>
      <c r="B482" s="590"/>
      <c r="C482" s="590"/>
      <c r="D482" s="590"/>
      <c r="E482" s="590"/>
      <c r="F482" s="590"/>
      <c r="G482" s="590"/>
      <c r="H482" s="590"/>
      <c r="I482" s="590"/>
      <c r="J482" s="590"/>
      <c r="K482" s="590"/>
      <c r="L482" s="590"/>
      <c r="M482" s="590"/>
      <c r="N482" s="590"/>
      <c r="O482" s="590"/>
      <c r="P482" s="590"/>
      <c r="Q482" s="590"/>
      <c r="R482" s="590"/>
      <c r="S482" s="590"/>
      <c r="T482" s="590"/>
      <c r="U482" s="590"/>
      <c r="V482" s="590"/>
      <c r="W482" s="590"/>
      <c r="X482" s="590"/>
      <c r="Y482" s="590"/>
      <c r="Z482" s="590"/>
    </row>
    <row r="483" spans="1:26" ht="15.75" customHeight="1">
      <c r="A483" s="590"/>
      <c r="B483" s="590"/>
      <c r="C483" s="590"/>
      <c r="D483" s="590"/>
      <c r="E483" s="590"/>
      <c r="F483" s="590"/>
      <c r="G483" s="590"/>
      <c r="H483" s="590"/>
      <c r="I483" s="590"/>
      <c r="J483" s="590"/>
      <c r="K483" s="590"/>
      <c r="L483" s="590"/>
      <c r="M483" s="590"/>
      <c r="N483" s="590"/>
      <c r="O483" s="590"/>
      <c r="P483" s="590"/>
      <c r="Q483" s="590"/>
      <c r="R483" s="590"/>
      <c r="S483" s="590"/>
      <c r="T483" s="590"/>
      <c r="U483" s="590"/>
      <c r="V483" s="590"/>
      <c r="W483" s="590"/>
      <c r="X483" s="590"/>
      <c r="Y483" s="590"/>
      <c r="Z483" s="590"/>
    </row>
    <row r="484" spans="1:26" ht="15.75" customHeight="1">
      <c r="A484" s="590"/>
      <c r="B484" s="590"/>
      <c r="C484" s="590"/>
      <c r="D484" s="590"/>
      <c r="E484" s="590"/>
      <c r="F484" s="590"/>
      <c r="G484" s="590"/>
      <c r="H484" s="590"/>
      <c r="I484" s="590"/>
      <c r="J484" s="590"/>
      <c r="K484" s="590"/>
      <c r="L484" s="590"/>
      <c r="M484" s="590"/>
      <c r="N484" s="590"/>
      <c r="O484" s="590"/>
      <c r="P484" s="590"/>
      <c r="Q484" s="590"/>
      <c r="R484" s="590"/>
      <c r="S484" s="590"/>
      <c r="T484" s="590"/>
      <c r="U484" s="590"/>
      <c r="V484" s="590"/>
      <c r="W484" s="590"/>
      <c r="X484" s="590"/>
      <c r="Y484" s="590"/>
      <c r="Z484" s="590"/>
    </row>
    <row r="485" spans="1:26" ht="15.75" customHeight="1">
      <c r="A485" s="590"/>
      <c r="B485" s="590"/>
      <c r="C485" s="590"/>
      <c r="D485" s="590"/>
      <c r="E485" s="590"/>
      <c r="F485" s="590"/>
      <c r="G485" s="590"/>
      <c r="H485" s="590"/>
      <c r="I485" s="590"/>
      <c r="J485" s="590"/>
      <c r="K485" s="590"/>
      <c r="L485" s="590"/>
      <c r="M485" s="590"/>
      <c r="N485" s="590"/>
      <c r="O485" s="590"/>
      <c r="P485" s="590"/>
      <c r="Q485" s="590"/>
      <c r="R485" s="590"/>
      <c r="S485" s="590"/>
      <c r="T485" s="590"/>
      <c r="U485" s="590"/>
      <c r="V485" s="590"/>
      <c r="W485" s="590"/>
      <c r="X485" s="590"/>
      <c r="Y485" s="590"/>
      <c r="Z485" s="590"/>
    </row>
    <row r="486" spans="1:26" ht="15.75" customHeight="1">
      <c r="A486" s="590"/>
      <c r="B486" s="590"/>
      <c r="C486" s="590"/>
      <c r="D486" s="590"/>
      <c r="E486" s="590"/>
      <c r="F486" s="590"/>
      <c r="G486" s="590"/>
      <c r="H486" s="590"/>
      <c r="I486" s="590"/>
      <c r="J486" s="590"/>
      <c r="K486" s="590"/>
      <c r="L486" s="590"/>
      <c r="M486" s="590"/>
      <c r="N486" s="590"/>
      <c r="O486" s="590"/>
      <c r="P486" s="590"/>
      <c r="Q486" s="590"/>
      <c r="R486" s="590"/>
      <c r="S486" s="590"/>
      <c r="T486" s="590"/>
      <c r="U486" s="590"/>
      <c r="V486" s="590"/>
      <c r="W486" s="590"/>
      <c r="X486" s="590"/>
      <c r="Y486" s="590"/>
      <c r="Z486" s="590"/>
    </row>
    <row r="487" spans="1:26" ht="15.75" customHeight="1">
      <c r="A487" s="590"/>
      <c r="B487" s="590"/>
      <c r="C487" s="590"/>
      <c r="D487" s="590"/>
      <c r="E487" s="590"/>
      <c r="F487" s="590"/>
      <c r="G487" s="590"/>
      <c r="H487" s="590"/>
      <c r="I487" s="590"/>
      <c r="J487" s="590"/>
      <c r="K487" s="590"/>
      <c r="L487" s="590"/>
      <c r="M487" s="590"/>
      <c r="N487" s="590"/>
      <c r="O487" s="590"/>
      <c r="P487" s="590"/>
      <c r="Q487" s="590"/>
      <c r="R487" s="590"/>
      <c r="S487" s="590"/>
      <c r="T487" s="590"/>
      <c r="U487" s="590"/>
      <c r="V487" s="590"/>
      <c r="W487" s="590"/>
      <c r="X487" s="590"/>
      <c r="Y487" s="590"/>
      <c r="Z487" s="590"/>
    </row>
    <row r="488" spans="1:26" ht="15.75" customHeight="1">
      <c r="A488" s="590"/>
      <c r="B488" s="590"/>
      <c r="C488" s="590"/>
      <c r="D488" s="590"/>
      <c r="E488" s="590"/>
      <c r="F488" s="590"/>
      <c r="G488" s="590"/>
      <c r="H488" s="590"/>
      <c r="I488" s="590"/>
      <c r="J488" s="590"/>
      <c r="K488" s="590"/>
      <c r="L488" s="590"/>
      <c r="M488" s="590"/>
      <c r="N488" s="590"/>
      <c r="O488" s="590"/>
      <c r="P488" s="590"/>
      <c r="Q488" s="590"/>
      <c r="R488" s="590"/>
      <c r="S488" s="590"/>
      <c r="T488" s="590"/>
      <c r="U488" s="590"/>
      <c r="V488" s="590"/>
      <c r="W488" s="590"/>
      <c r="X488" s="590"/>
      <c r="Y488" s="590"/>
      <c r="Z488" s="590"/>
    </row>
    <row r="489" spans="1:26" ht="15.75" customHeight="1">
      <c r="A489" s="590"/>
      <c r="B489" s="590"/>
      <c r="C489" s="590"/>
      <c r="D489" s="590"/>
      <c r="E489" s="590"/>
      <c r="F489" s="590"/>
      <c r="G489" s="590"/>
      <c r="H489" s="590"/>
      <c r="I489" s="590"/>
      <c r="J489" s="590"/>
      <c r="K489" s="590"/>
      <c r="L489" s="590"/>
      <c r="M489" s="590"/>
      <c r="N489" s="590"/>
      <c r="O489" s="590"/>
      <c r="P489" s="590"/>
      <c r="Q489" s="590"/>
      <c r="R489" s="590"/>
      <c r="S489" s="590"/>
      <c r="T489" s="590"/>
      <c r="U489" s="590"/>
      <c r="V489" s="590"/>
      <c r="W489" s="590"/>
      <c r="X489" s="590"/>
      <c r="Y489" s="590"/>
      <c r="Z489" s="590"/>
    </row>
    <row r="490" spans="1:26" ht="15.75" customHeight="1">
      <c r="A490" s="590"/>
      <c r="B490" s="590"/>
      <c r="C490" s="590"/>
      <c r="D490" s="590"/>
      <c r="E490" s="590"/>
      <c r="F490" s="590"/>
      <c r="G490" s="590"/>
      <c r="H490" s="590"/>
      <c r="I490" s="590"/>
      <c r="J490" s="590"/>
      <c r="K490" s="590"/>
      <c r="L490" s="590"/>
      <c r="M490" s="590"/>
      <c r="N490" s="590"/>
      <c r="O490" s="590"/>
      <c r="P490" s="590"/>
      <c r="Q490" s="590"/>
      <c r="R490" s="590"/>
      <c r="S490" s="590"/>
      <c r="T490" s="590"/>
      <c r="U490" s="590"/>
      <c r="V490" s="590"/>
      <c r="W490" s="590"/>
      <c r="X490" s="590"/>
      <c r="Y490" s="590"/>
      <c r="Z490" s="590"/>
    </row>
    <row r="491" spans="1:26" ht="15.75" customHeight="1">
      <c r="A491" s="590"/>
      <c r="B491" s="590"/>
      <c r="C491" s="590"/>
      <c r="D491" s="590"/>
      <c r="E491" s="590"/>
      <c r="F491" s="590"/>
      <c r="G491" s="590"/>
      <c r="H491" s="590"/>
      <c r="I491" s="590"/>
      <c r="J491" s="590"/>
      <c r="K491" s="590"/>
      <c r="L491" s="590"/>
      <c r="M491" s="590"/>
      <c r="N491" s="590"/>
      <c r="O491" s="590"/>
      <c r="P491" s="590"/>
      <c r="Q491" s="590"/>
      <c r="R491" s="590"/>
      <c r="S491" s="590"/>
      <c r="T491" s="590"/>
      <c r="U491" s="590"/>
      <c r="V491" s="590"/>
      <c r="W491" s="590"/>
      <c r="X491" s="590"/>
      <c r="Y491" s="590"/>
      <c r="Z491" s="590"/>
    </row>
    <row r="492" spans="1:26" ht="15.75" customHeight="1">
      <c r="A492" s="590"/>
      <c r="B492" s="590"/>
      <c r="C492" s="590"/>
      <c r="D492" s="590"/>
      <c r="E492" s="590"/>
      <c r="F492" s="590"/>
      <c r="G492" s="590"/>
      <c r="H492" s="590"/>
      <c r="I492" s="590"/>
      <c r="J492" s="590"/>
      <c r="K492" s="590"/>
      <c r="L492" s="590"/>
      <c r="M492" s="590"/>
      <c r="N492" s="590"/>
      <c r="O492" s="590"/>
      <c r="P492" s="590"/>
      <c r="Q492" s="590"/>
      <c r="R492" s="590"/>
      <c r="S492" s="590"/>
      <c r="T492" s="590"/>
      <c r="U492" s="590"/>
      <c r="V492" s="590"/>
      <c r="W492" s="590"/>
      <c r="X492" s="590"/>
      <c r="Y492" s="590"/>
      <c r="Z492" s="590"/>
    </row>
    <row r="493" spans="1:26" ht="15.75" customHeight="1">
      <c r="A493" s="590"/>
      <c r="B493" s="590"/>
      <c r="C493" s="590"/>
      <c r="D493" s="590"/>
      <c r="E493" s="590"/>
      <c r="F493" s="590"/>
      <c r="G493" s="590"/>
      <c r="H493" s="590"/>
      <c r="I493" s="590"/>
      <c r="J493" s="590"/>
      <c r="K493" s="590"/>
      <c r="L493" s="590"/>
      <c r="M493" s="590"/>
      <c r="N493" s="590"/>
      <c r="O493" s="590"/>
      <c r="P493" s="590"/>
      <c r="Q493" s="590"/>
      <c r="R493" s="590"/>
      <c r="S493" s="590"/>
      <c r="T493" s="590"/>
      <c r="U493" s="590"/>
      <c r="V493" s="590"/>
      <c r="W493" s="590"/>
      <c r="X493" s="590"/>
      <c r="Y493" s="590"/>
      <c r="Z493" s="590"/>
    </row>
    <row r="494" spans="1:26" ht="15.75" customHeight="1">
      <c r="A494" s="590"/>
      <c r="B494" s="590"/>
      <c r="C494" s="590"/>
      <c r="D494" s="590"/>
      <c r="E494" s="590"/>
      <c r="F494" s="590"/>
      <c r="G494" s="590"/>
      <c r="H494" s="590"/>
      <c r="I494" s="590"/>
      <c r="J494" s="590"/>
      <c r="K494" s="590"/>
      <c r="L494" s="590"/>
      <c r="M494" s="590"/>
      <c r="N494" s="590"/>
      <c r="O494" s="590"/>
      <c r="P494" s="590"/>
      <c r="Q494" s="590"/>
      <c r="R494" s="590"/>
      <c r="S494" s="590"/>
      <c r="T494" s="590"/>
      <c r="U494" s="590"/>
      <c r="V494" s="590"/>
      <c r="W494" s="590"/>
      <c r="X494" s="590"/>
      <c r="Y494" s="590"/>
      <c r="Z494" s="590"/>
    </row>
    <row r="495" spans="1:26" ht="15.75" customHeight="1">
      <c r="A495" s="590"/>
      <c r="B495" s="590"/>
      <c r="C495" s="590"/>
      <c r="D495" s="590"/>
      <c r="E495" s="590"/>
      <c r="F495" s="590"/>
      <c r="G495" s="590"/>
      <c r="H495" s="590"/>
      <c r="I495" s="590"/>
      <c r="J495" s="590"/>
      <c r="K495" s="590"/>
      <c r="L495" s="590"/>
      <c r="M495" s="590"/>
      <c r="N495" s="590"/>
      <c r="O495" s="590"/>
      <c r="P495" s="590"/>
      <c r="Q495" s="590"/>
      <c r="R495" s="590"/>
      <c r="S495" s="590"/>
      <c r="T495" s="590"/>
      <c r="U495" s="590"/>
      <c r="V495" s="590"/>
      <c r="W495" s="590"/>
      <c r="X495" s="590"/>
      <c r="Y495" s="590"/>
      <c r="Z495" s="590"/>
    </row>
    <row r="496" spans="1:26" ht="15.75" customHeight="1">
      <c r="A496" s="590"/>
      <c r="B496" s="590"/>
      <c r="C496" s="590"/>
      <c r="D496" s="590"/>
      <c r="E496" s="590"/>
      <c r="F496" s="590"/>
      <c r="G496" s="590"/>
      <c r="H496" s="590"/>
      <c r="I496" s="590"/>
      <c r="J496" s="590"/>
      <c r="K496" s="590"/>
      <c r="L496" s="590"/>
      <c r="M496" s="590"/>
      <c r="N496" s="590"/>
      <c r="O496" s="590"/>
      <c r="P496" s="590"/>
      <c r="Q496" s="590"/>
      <c r="R496" s="590"/>
      <c r="S496" s="590"/>
      <c r="T496" s="590"/>
      <c r="U496" s="590"/>
      <c r="V496" s="590"/>
      <c r="W496" s="590"/>
      <c r="X496" s="590"/>
      <c r="Y496" s="590"/>
      <c r="Z496" s="590"/>
    </row>
    <row r="497" spans="1:26" ht="15.75" customHeight="1">
      <c r="A497" s="590"/>
      <c r="B497" s="590"/>
      <c r="C497" s="590"/>
      <c r="D497" s="590"/>
      <c r="E497" s="590"/>
      <c r="F497" s="590"/>
      <c r="G497" s="590"/>
      <c r="H497" s="590"/>
      <c r="I497" s="590"/>
      <c r="J497" s="590"/>
      <c r="K497" s="590"/>
      <c r="L497" s="590"/>
      <c r="M497" s="590"/>
      <c r="N497" s="590"/>
      <c r="O497" s="590"/>
      <c r="P497" s="590"/>
      <c r="Q497" s="590"/>
      <c r="R497" s="590"/>
      <c r="S497" s="590"/>
      <c r="T497" s="590"/>
      <c r="U497" s="590"/>
      <c r="V497" s="590"/>
      <c r="W497" s="590"/>
      <c r="X497" s="590"/>
      <c r="Y497" s="590"/>
      <c r="Z497" s="590"/>
    </row>
    <row r="498" spans="1:26" ht="15.75" customHeight="1">
      <c r="A498" s="590"/>
      <c r="B498" s="590"/>
      <c r="C498" s="590"/>
      <c r="D498" s="590"/>
      <c r="E498" s="590"/>
      <c r="F498" s="590"/>
      <c r="G498" s="590"/>
      <c r="H498" s="590"/>
      <c r="I498" s="590"/>
      <c r="J498" s="590"/>
      <c r="K498" s="590"/>
      <c r="L498" s="590"/>
      <c r="M498" s="590"/>
      <c r="N498" s="590"/>
      <c r="O498" s="590"/>
      <c r="P498" s="590"/>
      <c r="Q498" s="590"/>
      <c r="R498" s="590"/>
      <c r="S498" s="590"/>
      <c r="T498" s="590"/>
      <c r="U498" s="590"/>
      <c r="V498" s="590"/>
      <c r="W498" s="590"/>
      <c r="X498" s="590"/>
      <c r="Y498" s="590"/>
      <c r="Z498" s="590"/>
    </row>
    <row r="499" spans="1:26" ht="15.75" customHeight="1">
      <c r="A499" s="590"/>
      <c r="B499" s="590"/>
      <c r="C499" s="590"/>
      <c r="D499" s="590"/>
      <c r="E499" s="590"/>
      <c r="F499" s="590"/>
      <c r="G499" s="590"/>
      <c r="H499" s="590"/>
      <c r="I499" s="590"/>
      <c r="J499" s="590"/>
      <c r="K499" s="590"/>
      <c r="L499" s="590"/>
      <c r="M499" s="590"/>
      <c r="N499" s="590"/>
      <c r="O499" s="590"/>
      <c r="P499" s="590"/>
      <c r="Q499" s="590"/>
      <c r="R499" s="590"/>
      <c r="S499" s="590"/>
      <c r="T499" s="590"/>
      <c r="U499" s="590"/>
      <c r="V499" s="590"/>
      <c r="W499" s="590"/>
      <c r="X499" s="590"/>
      <c r="Y499" s="590"/>
      <c r="Z499" s="590"/>
    </row>
    <row r="500" spans="1:26" ht="15.75" customHeight="1">
      <c r="A500" s="590"/>
      <c r="B500" s="590"/>
      <c r="C500" s="590"/>
      <c r="D500" s="590"/>
      <c r="E500" s="590"/>
      <c r="F500" s="590"/>
      <c r="G500" s="590"/>
      <c r="H500" s="590"/>
      <c r="I500" s="590"/>
      <c r="J500" s="590"/>
      <c r="K500" s="590"/>
      <c r="L500" s="590"/>
      <c r="M500" s="590"/>
      <c r="N500" s="590"/>
      <c r="O500" s="590"/>
      <c r="P500" s="590"/>
      <c r="Q500" s="590"/>
      <c r="R500" s="590"/>
      <c r="S500" s="590"/>
      <c r="T500" s="590"/>
      <c r="U500" s="590"/>
      <c r="V500" s="590"/>
      <c r="W500" s="590"/>
      <c r="X500" s="590"/>
      <c r="Y500" s="590"/>
      <c r="Z500" s="590"/>
    </row>
    <row r="501" spans="1:26" ht="15.75" customHeight="1">
      <c r="A501" s="590"/>
      <c r="B501" s="590"/>
      <c r="C501" s="590"/>
      <c r="D501" s="590"/>
      <c r="E501" s="590"/>
      <c r="F501" s="590"/>
      <c r="G501" s="590"/>
      <c r="H501" s="590"/>
      <c r="I501" s="590"/>
      <c r="J501" s="590"/>
      <c r="K501" s="590"/>
      <c r="L501" s="590"/>
      <c r="M501" s="590"/>
      <c r="N501" s="590"/>
      <c r="O501" s="590"/>
      <c r="P501" s="590"/>
      <c r="Q501" s="590"/>
      <c r="R501" s="590"/>
      <c r="S501" s="590"/>
      <c r="T501" s="590"/>
      <c r="U501" s="590"/>
      <c r="V501" s="590"/>
      <c r="W501" s="590"/>
      <c r="X501" s="590"/>
      <c r="Y501" s="590"/>
      <c r="Z501" s="590"/>
    </row>
    <row r="502" spans="1:26" ht="15.75" customHeight="1">
      <c r="A502" s="590"/>
      <c r="B502" s="590"/>
      <c r="C502" s="590"/>
      <c r="D502" s="590"/>
      <c r="E502" s="590"/>
      <c r="F502" s="590"/>
      <c r="G502" s="590"/>
      <c r="H502" s="590"/>
      <c r="I502" s="590"/>
      <c r="J502" s="590"/>
      <c r="K502" s="590"/>
      <c r="L502" s="590"/>
      <c r="M502" s="590"/>
      <c r="N502" s="590"/>
      <c r="O502" s="590"/>
      <c r="P502" s="590"/>
      <c r="Q502" s="590"/>
      <c r="R502" s="590"/>
      <c r="S502" s="590"/>
      <c r="T502" s="590"/>
      <c r="U502" s="590"/>
      <c r="V502" s="590"/>
      <c r="W502" s="590"/>
      <c r="X502" s="590"/>
      <c r="Y502" s="590"/>
      <c r="Z502" s="590"/>
    </row>
    <row r="503" spans="1:26" ht="15.75" customHeight="1">
      <c r="A503" s="590"/>
      <c r="B503" s="590"/>
      <c r="C503" s="590"/>
      <c r="D503" s="590"/>
      <c r="E503" s="590"/>
      <c r="F503" s="590"/>
      <c r="G503" s="590"/>
      <c r="H503" s="590"/>
      <c r="I503" s="590"/>
      <c r="J503" s="590"/>
      <c r="K503" s="590"/>
      <c r="L503" s="590"/>
      <c r="M503" s="590"/>
      <c r="N503" s="590"/>
      <c r="O503" s="590"/>
      <c r="P503" s="590"/>
      <c r="Q503" s="590"/>
      <c r="R503" s="590"/>
      <c r="S503" s="590"/>
      <c r="T503" s="590"/>
      <c r="U503" s="590"/>
      <c r="V503" s="590"/>
      <c r="W503" s="590"/>
      <c r="X503" s="590"/>
      <c r="Y503" s="590"/>
      <c r="Z503" s="590"/>
    </row>
    <row r="504" spans="1:26" ht="15.75" customHeight="1">
      <c r="A504" s="590"/>
      <c r="B504" s="590"/>
      <c r="C504" s="590"/>
      <c r="D504" s="590"/>
      <c r="E504" s="590"/>
      <c r="F504" s="590"/>
      <c r="G504" s="590"/>
      <c r="H504" s="590"/>
      <c r="I504" s="590"/>
      <c r="J504" s="590"/>
      <c r="K504" s="590"/>
      <c r="L504" s="590"/>
      <c r="M504" s="590"/>
      <c r="N504" s="590"/>
      <c r="O504" s="590"/>
      <c r="P504" s="590"/>
      <c r="Q504" s="590"/>
      <c r="R504" s="590"/>
      <c r="S504" s="590"/>
      <c r="T504" s="590"/>
      <c r="U504" s="590"/>
      <c r="V504" s="590"/>
      <c r="W504" s="590"/>
      <c r="X504" s="590"/>
      <c r="Y504" s="590"/>
      <c r="Z504" s="590"/>
    </row>
    <row r="505" spans="1:26" ht="15.75" customHeight="1">
      <c r="A505" s="590"/>
      <c r="B505" s="590"/>
      <c r="C505" s="590"/>
      <c r="D505" s="590"/>
      <c r="E505" s="590"/>
      <c r="F505" s="590"/>
      <c r="G505" s="590"/>
      <c r="H505" s="590"/>
      <c r="I505" s="590"/>
      <c r="J505" s="590"/>
      <c r="K505" s="590"/>
      <c r="L505" s="590"/>
      <c r="M505" s="590"/>
      <c r="N505" s="590"/>
      <c r="O505" s="590"/>
      <c r="P505" s="590"/>
      <c r="Q505" s="590"/>
      <c r="R505" s="590"/>
      <c r="S505" s="590"/>
      <c r="T505" s="590"/>
      <c r="U505" s="590"/>
      <c r="V505" s="590"/>
      <c r="W505" s="590"/>
      <c r="X505" s="590"/>
      <c r="Y505" s="590"/>
      <c r="Z505" s="590"/>
    </row>
    <row r="506" spans="1:26" ht="15.75" customHeight="1">
      <c r="A506" s="590"/>
      <c r="B506" s="590"/>
      <c r="C506" s="590"/>
      <c r="D506" s="590"/>
      <c r="E506" s="590"/>
      <c r="F506" s="590"/>
      <c r="G506" s="590"/>
      <c r="H506" s="590"/>
      <c r="I506" s="590"/>
      <c r="J506" s="590"/>
      <c r="K506" s="590"/>
      <c r="L506" s="590"/>
      <c r="M506" s="590"/>
      <c r="N506" s="590"/>
      <c r="O506" s="590"/>
      <c r="P506" s="590"/>
      <c r="Q506" s="590"/>
      <c r="R506" s="590"/>
      <c r="S506" s="590"/>
      <c r="T506" s="590"/>
      <c r="U506" s="590"/>
      <c r="V506" s="590"/>
      <c r="W506" s="590"/>
      <c r="X506" s="590"/>
      <c r="Y506" s="590"/>
      <c r="Z506" s="590"/>
    </row>
    <row r="507" spans="1:26" ht="15.75" customHeight="1">
      <c r="A507" s="590"/>
      <c r="B507" s="590"/>
      <c r="C507" s="590"/>
      <c r="D507" s="590"/>
      <c r="E507" s="590"/>
      <c r="F507" s="590"/>
      <c r="G507" s="590"/>
      <c r="H507" s="590"/>
      <c r="I507" s="590"/>
      <c r="J507" s="590"/>
      <c r="K507" s="590"/>
      <c r="L507" s="590"/>
      <c r="M507" s="590"/>
      <c r="N507" s="590"/>
      <c r="O507" s="590"/>
      <c r="P507" s="590"/>
      <c r="Q507" s="590"/>
      <c r="R507" s="590"/>
      <c r="S507" s="590"/>
      <c r="T507" s="590"/>
      <c r="U507" s="590"/>
      <c r="V507" s="590"/>
      <c r="W507" s="590"/>
      <c r="X507" s="590"/>
      <c r="Y507" s="590"/>
      <c r="Z507" s="590"/>
    </row>
    <row r="508" spans="1:26" ht="15.75" customHeight="1">
      <c r="A508" s="590"/>
      <c r="B508" s="590"/>
      <c r="C508" s="590"/>
      <c r="D508" s="590"/>
      <c r="E508" s="590"/>
      <c r="F508" s="590"/>
      <c r="G508" s="590"/>
      <c r="H508" s="590"/>
      <c r="I508" s="590"/>
      <c r="J508" s="590"/>
      <c r="K508" s="590"/>
      <c r="L508" s="590"/>
      <c r="M508" s="590"/>
      <c r="N508" s="590"/>
      <c r="O508" s="590"/>
      <c r="P508" s="590"/>
      <c r="Q508" s="590"/>
      <c r="R508" s="590"/>
      <c r="S508" s="590"/>
      <c r="T508" s="590"/>
      <c r="U508" s="590"/>
      <c r="V508" s="590"/>
      <c r="W508" s="590"/>
      <c r="X508" s="590"/>
      <c r="Y508" s="590"/>
      <c r="Z508" s="590"/>
    </row>
    <row r="509" spans="1:26" ht="15.75" customHeight="1">
      <c r="A509" s="590"/>
      <c r="B509" s="590"/>
      <c r="C509" s="590"/>
      <c r="D509" s="590"/>
      <c r="E509" s="590"/>
      <c r="F509" s="590"/>
      <c r="G509" s="590"/>
      <c r="H509" s="590"/>
      <c r="I509" s="590"/>
      <c r="J509" s="590"/>
      <c r="K509" s="590"/>
      <c r="L509" s="590"/>
      <c r="M509" s="590"/>
      <c r="N509" s="590"/>
      <c r="O509" s="590"/>
      <c r="P509" s="590"/>
      <c r="Q509" s="590"/>
      <c r="R509" s="590"/>
      <c r="S509" s="590"/>
      <c r="T509" s="590"/>
      <c r="U509" s="590"/>
      <c r="V509" s="590"/>
      <c r="W509" s="590"/>
      <c r="X509" s="590"/>
      <c r="Y509" s="590"/>
      <c r="Z509" s="590"/>
    </row>
    <row r="510" spans="1:26" ht="15.75" customHeight="1">
      <c r="A510" s="590"/>
      <c r="B510" s="590"/>
      <c r="C510" s="590"/>
      <c r="D510" s="590"/>
      <c r="E510" s="590"/>
      <c r="F510" s="590"/>
      <c r="G510" s="590"/>
      <c r="H510" s="590"/>
      <c r="I510" s="590"/>
      <c r="J510" s="590"/>
      <c r="K510" s="590"/>
      <c r="L510" s="590"/>
      <c r="M510" s="590"/>
      <c r="N510" s="590"/>
      <c r="O510" s="590"/>
      <c r="P510" s="590"/>
      <c r="Q510" s="590"/>
      <c r="R510" s="590"/>
      <c r="S510" s="590"/>
      <c r="T510" s="590"/>
      <c r="U510" s="590"/>
      <c r="V510" s="590"/>
      <c r="W510" s="590"/>
      <c r="X510" s="590"/>
      <c r="Y510" s="590"/>
      <c r="Z510" s="590"/>
    </row>
    <row r="511" spans="1:26" ht="15.75" customHeight="1">
      <c r="A511" s="590"/>
      <c r="B511" s="590"/>
      <c r="C511" s="590"/>
      <c r="D511" s="590"/>
      <c r="E511" s="590"/>
      <c r="F511" s="590"/>
      <c r="G511" s="590"/>
      <c r="H511" s="590"/>
      <c r="I511" s="590"/>
      <c r="J511" s="590"/>
      <c r="K511" s="590"/>
      <c r="L511" s="590"/>
      <c r="M511" s="590"/>
      <c r="N511" s="590"/>
      <c r="O511" s="590"/>
      <c r="P511" s="590"/>
      <c r="Q511" s="590"/>
      <c r="R511" s="590"/>
      <c r="S511" s="590"/>
      <c r="T511" s="590"/>
      <c r="U511" s="590"/>
      <c r="V511" s="590"/>
      <c r="W511" s="590"/>
      <c r="X511" s="590"/>
      <c r="Y511" s="590"/>
      <c r="Z511" s="590"/>
    </row>
    <row r="512" spans="1:26" ht="15.75" customHeight="1">
      <c r="A512" s="590"/>
      <c r="B512" s="590"/>
      <c r="C512" s="590"/>
      <c r="D512" s="590"/>
      <c r="E512" s="590"/>
      <c r="F512" s="590"/>
      <c r="G512" s="590"/>
      <c r="H512" s="590"/>
      <c r="I512" s="590"/>
      <c r="J512" s="590"/>
      <c r="K512" s="590"/>
      <c r="L512" s="590"/>
      <c r="M512" s="590"/>
      <c r="N512" s="590"/>
      <c r="O512" s="590"/>
      <c r="P512" s="590"/>
      <c r="Q512" s="590"/>
      <c r="R512" s="590"/>
      <c r="S512" s="590"/>
      <c r="T512" s="590"/>
      <c r="U512" s="590"/>
      <c r="V512" s="590"/>
      <c r="W512" s="590"/>
      <c r="X512" s="590"/>
      <c r="Y512" s="590"/>
      <c r="Z512" s="590"/>
    </row>
    <row r="513" spans="1:26" ht="15.75" customHeight="1">
      <c r="A513" s="590"/>
      <c r="B513" s="590"/>
      <c r="C513" s="590"/>
      <c r="D513" s="590"/>
      <c r="E513" s="590"/>
      <c r="F513" s="590"/>
      <c r="G513" s="590"/>
      <c r="H513" s="590"/>
      <c r="I513" s="590"/>
      <c r="J513" s="590"/>
      <c r="K513" s="590"/>
      <c r="L513" s="590"/>
      <c r="M513" s="590"/>
      <c r="N513" s="590"/>
      <c r="O513" s="590"/>
      <c r="P513" s="590"/>
      <c r="Q513" s="590"/>
      <c r="R513" s="590"/>
      <c r="S513" s="590"/>
      <c r="T513" s="590"/>
      <c r="U513" s="590"/>
      <c r="V513" s="590"/>
      <c r="W513" s="590"/>
      <c r="X513" s="590"/>
      <c r="Y513" s="590"/>
      <c r="Z513" s="590"/>
    </row>
    <row r="514" spans="1:26" ht="15.75" customHeight="1">
      <c r="A514" s="590"/>
      <c r="B514" s="590"/>
      <c r="C514" s="590"/>
      <c r="D514" s="590"/>
      <c r="E514" s="590"/>
      <c r="F514" s="590"/>
      <c r="G514" s="590"/>
      <c r="H514" s="590"/>
      <c r="I514" s="590"/>
      <c r="J514" s="590"/>
      <c r="K514" s="590"/>
      <c r="L514" s="590"/>
      <c r="M514" s="590"/>
      <c r="N514" s="590"/>
      <c r="O514" s="590"/>
      <c r="P514" s="590"/>
      <c r="Q514" s="590"/>
      <c r="R514" s="590"/>
      <c r="S514" s="590"/>
      <c r="T514" s="590"/>
      <c r="U514" s="590"/>
      <c r="V514" s="590"/>
      <c r="W514" s="590"/>
      <c r="X514" s="590"/>
      <c r="Y514" s="590"/>
      <c r="Z514" s="590"/>
    </row>
    <row r="515" spans="1:26" ht="15.75" customHeight="1">
      <c r="A515" s="590"/>
      <c r="B515" s="590"/>
      <c r="C515" s="590"/>
      <c r="D515" s="590"/>
      <c r="E515" s="590"/>
      <c r="F515" s="590"/>
      <c r="G515" s="590"/>
      <c r="H515" s="590"/>
      <c r="I515" s="590"/>
      <c r="J515" s="590"/>
      <c r="K515" s="590"/>
      <c r="L515" s="590"/>
      <c r="M515" s="590"/>
      <c r="N515" s="590"/>
      <c r="O515" s="590"/>
      <c r="P515" s="590"/>
      <c r="Q515" s="590"/>
      <c r="R515" s="590"/>
      <c r="S515" s="590"/>
      <c r="T515" s="590"/>
      <c r="U515" s="590"/>
      <c r="V515" s="590"/>
      <c r="W515" s="590"/>
      <c r="X515" s="590"/>
      <c r="Y515" s="590"/>
      <c r="Z515" s="590"/>
    </row>
    <row r="516" spans="1:26" ht="15.75" customHeight="1">
      <c r="A516" s="590"/>
      <c r="B516" s="590"/>
      <c r="C516" s="590"/>
      <c r="D516" s="590"/>
      <c r="E516" s="590"/>
      <c r="F516" s="590"/>
      <c r="G516" s="590"/>
      <c r="H516" s="590"/>
      <c r="I516" s="590"/>
      <c r="J516" s="590"/>
      <c r="K516" s="590"/>
      <c r="L516" s="590"/>
      <c r="M516" s="590"/>
      <c r="N516" s="590"/>
      <c r="O516" s="590"/>
      <c r="P516" s="590"/>
      <c r="Q516" s="590"/>
      <c r="R516" s="590"/>
      <c r="S516" s="590"/>
      <c r="T516" s="590"/>
      <c r="U516" s="590"/>
      <c r="V516" s="590"/>
      <c r="W516" s="590"/>
      <c r="X516" s="590"/>
      <c r="Y516" s="590"/>
      <c r="Z516" s="590"/>
    </row>
    <row r="517" spans="1:26" ht="15.75" customHeight="1">
      <c r="A517" s="590"/>
      <c r="B517" s="590"/>
      <c r="C517" s="590"/>
      <c r="D517" s="590"/>
      <c r="E517" s="590"/>
      <c r="F517" s="590"/>
      <c r="G517" s="590"/>
      <c r="H517" s="590"/>
      <c r="I517" s="590"/>
      <c r="J517" s="590"/>
      <c r="K517" s="590"/>
      <c r="L517" s="590"/>
      <c r="M517" s="590"/>
      <c r="N517" s="590"/>
      <c r="O517" s="590"/>
      <c r="P517" s="590"/>
      <c r="Q517" s="590"/>
      <c r="R517" s="590"/>
      <c r="S517" s="590"/>
      <c r="T517" s="590"/>
      <c r="U517" s="590"/>
      <c r="V517" s="590"/>
      <c r="W517" s="590"/>
      <c r="X517" s="590"/>
      <c r="Y517" s="590"/>
      <c r="Z517" s="590"/>
    </row>
    <row r="518" spans="1:26" ht="15.75" customHeight="1">
      <c r="A518" s="590"/>
      <c r="B518" s="590"/>
      <c r="C518" s="590"/>
      <c r="D518" s="590"/>
      <c r="E518" s="590"/>
      <c r="F518" s="590"/>
      <c r="G518" s="590"/>
      <c r="H518" s="590"/>
      <c r="I518" s="590"/>
      <c r="J518" s="590"/>
      <c r="K518" s="590"/>
      <c r="L518" s="590"/>
      <c r="M518" s="590"/>
      <c r="N518" s="590"/>
      <c r="O518" s="590"/>
      <c r="P518" s="590"/>
      <c r="Q518" s="590"/>
      <c r="R518" s="590"/>
      <c r="S518" s="590"/>
      <c r="T518" s="590"/>
      <c r="U518" s="590"/>
      <c r="V518" s="590"/>
      <c r="W518" s="590"/>
      <c r="X518" s="590"/>
      <c r="Y518" s="590"/>
      <c r="Z518" s="590"/>
    </row>
    <row r="519" spans="1:26" ht="15.75" customHeight="1">
      <c r="A519" s="590"/>
      <c r="B519" s="590"/>
      <c r="C519" s="590"/>
      <c r="D519" s="590"/>
      <c r="E519" s="590"/>
      <c r="F519" s="590"/>
      <c r="G519" s="590"/>
      <c r="H519" s="590"/>
      <c r="I519" s="590"/>
      <c r="J519" s="590"/>
      <c r="K519" s="590"/>
      <c r="L519" s="590"/>
      <c r="M519" s="590"/>
      <c r="N519" s="590"/>
      <c r="O519" s="590"/>
      <c r="P519" s="590"/>
      <c r="Q519" s="590"/>
      <c r="R519" s="590"/>
      <c r="S519" s="590"/>
      <c r="T519" s="590"/>
      <c r="U519" s="590"/>
      <c r="V519" s="590"/>
      <c r="W519" s="590"/>
      <c r="X519" s="590"/>
      <c r="Y519" s="590"/>
      <c r="Z519" s="590"/>
    </row>
    <row r="520" spans="1:26" ht="15.75" customHeight="1">
      <c r="A520" s="590"/>
      <c r="B520" s="590"/>
      <c r="C520" s="590"/>
      <c r="D520" s="590"/>
      <c r="E520" s="590"/>
      <c r="F520" s="590"/>
      <c r="G520" s="590"/>
      <c r="H520" s="590"/>
      <c r="I520" s="590"/>
      <c r="J520" s="590"/>
      <c r="K520" s="590"/>
      <c r="L520" s="590"/>
      <c r="M520" s="590"/>
      <c r="N520" s="590"/>
      <c r="O520" s="590"/>
      <c r="P520" s="590"/>
      <c r="Q520" s="590"/>
      <c r="R520" s="590"/>
      <c r="S520" s="590"/>
      <c r="T520" s="590"/>
      <c r="U520" s="590"/>
      <c r="V520" s="590"/>
      <c r="W520" s="590"/>
      <c r="X520" s="590"/>
      <c r="Y520" s="590"/>
      <c r="Z520" s="590"/>
    </row>
    <row r="521" spans="1:26" ht="15.75" customHeight="1">
      <c r="A521" s="590"/>
      <c r="B521" s="590"/>
      <c r="C521" s="590"/>
      <c r="D521" s="590"/>
      <c r="E521" s="590"/>
      <c r="F521" s="590"/>
      <c r="G521" s="590"/>
      <c r="H521" s="590"/>
      <c r="I521" s="590"/>
      <c r="J521" s="590"/>
      <c r="K521" s="590"/>
      <c r="L521" s="590"/>
      <c r="M521" s="590"/>
      <c r="N521" s="590"/>
      <c r="O521" s="590"/>
      <c r="P521" s="590"/>
      <c r="Q521" s="590"/>
      <c r="R521" s="590"/>
      <c r="S521" s="590"/>
      <c r="T521" s="590"/>
      <c r="U521" s="590"/>
      <c r="V521" s="590"/>
      <c r="W521" s="590"/>
      <c r="X521" s="590"/>
      <c r="Y521" s="590"/>
      <c r="Z521" s="590"/>
    </row>
    <row r="522" spans="1:26" ht="15.75" customHeight="1">
      <c r="A522" s="590"/>
      <c r="B522" s="590"/>
      <c r="C522" s="590"/>
      <c r="D522" s="590"/>
      <c r="E522" s="590"/>
      <c r="F522" s="590"/>
      <c r="G522" s="590"/>
      <c r="H522" s="590"/>
      <c r="I522" s="590"/>
      <c r="J522" s="590"/>
      <c r="K522" s="590"/>
      <c r="L522" s="590"/>
      <c r="M522" s="590"/>
      <c r="N522" s="590"/>
      <c r="O522" s="590"/>
      <c r="P522" s="590"/>
      <c r="Q522" s="590"/>
      <c r="R522" s="590"/>
      <c r="S522" s="590"/>
      <c r="T522" s="590"/>
      <c r="U522" s="590"/>
      <c r="V522" s="590"/>
      <c r="W522" s="590"/>
      <c r="X522" s="590"/>
      <c r="Y522" s="590"/>
      <c r="Z522" s="590"/>
    </row>
    <row r="523" spans="1:26" ht="15.75" customHeight="1">
      <c r="A523" s="590"/>
      <c r="B523" s="590"/>
      <c r="C523" s="590"/>
      <c r="D523" s="590"/>
      <c r="E523" s="590"/>
      <c r="F523" s="590"/>
      <c r="G523" s="590"/>
      <c r="H523" s="590"/>
      <c r="I523" s="590"/>
      <c r="J523" s="590"/>
      <c r="K523" s="590"/>
      <c r="L523" s="590"/>
      <c r="M523" s="590"/>
      <c r="N523" s="590"/>
      <c r="O523" s="590"/>
      <c r="P523" s="590"/>
      <c r="Q523" s="590"/>
      <c r="R523" s="590"/>
      <c r="S523" s="590"/>
      <c r="T523" s="590"/>
      <c r="U523" s="590"/>
      <c r="V523" s="590"/>
      <c r="W523" s="590"/>
      <c r="X523" s="590"/>
      <c r="Y523" s="590"/>
      <c r="Z523" s="590"/>
    </row>
    <row r="524" spans="1:26" ht="15.75" customHeight="1">
      <c r="A524" s="590"/>
      <c r="B524" s="590"/>
      <c r="C524" s="590"/>
      <c r="D524" s="590"/>
      <c r="E524" s="590"/>
      <c r="F524" s="590"/>
      <c r="G524" s="590"/>
      <c r="H524" s="590"/>
      <c r="I524" s="590"/>
      <c r="J524" s="590"/>
      <c r="K524" s="590"/>
      <c r="L524" s="590"/>
      <c r="M524" s="590"/>
      <c r="N524" s="590"/>
      <c r="O524" s="590"/>
      <c r="P524" s="590"/>
      <c r="Q524" s="590"/>
      <c r="R524" s="590"/>
      <c r="S524" s="590"/>
      <c r="T524" s="590"/>
      <c r="U524" s="590"/>
      <c r="V524" s="590"/>
      <c r="W524" s="590"/>
      <c r="X524" s="590"/>
      <c r="Y524" s="590"/>
      <c r="Z524" s="590"/>
    </row>
    <row r="525" spans="1:26" ht="15.75" customHeight="1">
      <c r="A525" s="590"/>
      <c r="B525" s="590"/>
      <c r="C525" s="590"/>
      <c r="D525" s="590"/>
      <c r="E525" s="590"/>
      <c r="F525" s="590"/>
      <c r="G525" s="590"/>
      <c r="H525" s="590"/>
      <c r="I525" s="590"/>
      <c r="J525" s="590"/>
      <c r="K525" s="590"/>
      <c r="L525" s="590"/>
      <c r="M525" s="590"/>
      <c r="N525" s="590"/>
      <c r="O525" s="590"/>
      <c r="P525" s="590"/>
      <c r="Q525" s="590"/>
      <c r="R525" s="590"/>
      <c r="S525" s="590"/>
      <c r="T525" s="590"/>
      <c r="U525" s="590"/>
      <c r="V525" s="590"/>
      <c r="W525" s="590"/>
      <c r="X525" s="590"/>
      <c r="Y525" s="590"/>
      <c r="Z525" s="590"/>
    </row>
    <row r="526" spans="1:26" ht="15.75" customHeight="1">
      <c r="A526" s="590"/>
      <c r="B526" s="590"/>
      <c r="C526" s="590"/>
      <c r="D526" s="590"/>
      <c r="E526" s="590"/>
      <c r="F526" s="590"/>
      <c r="G526" s="590"/>
      <c r="H526" s="590"/>
      <c r="I526" s="590"/>
      <c r="J526" s="590"/>
      <c r="K526" s="590"/>
      <c r="L526" s="590"/>
      <c r="M526" s="590"/>
      <c r="N526" s="590"/>
      <c r="O526" s="590"/>
      <c r="P526" s="590"/>
      <c r="Q526" s="590"/>
      <c r="R526" s="590"/>
      <c r="S526" s="590"/>
      <c r="T526" s="590"/>
      <c r="U526" s="590"/>
      <c r="V526" s="590"/>
      <c r="W526" s="590"/>
      <c r="X526" s="590"/>
      <c r="Y526" s="590"/>
      <c r="Z526" s="590"/>
    </row>
    <row r="527" spans="1:26" ht="15.75" customHeight="1">
      <c r="A527" s="590"/>
      <c r="B527" s="590"/>
      <c r="C527" s="590"/>
      <c r="D527" s="590"/>
      <c r="E527" s="590"/>
      <c r="F527" s="590"/>
      <c r="G527" s="590"/>
      <c r="H527" s="590"/>
      <c r="I527" s="590"/>
      <c r="J527" s="590"/>
      <c r="K527" s="590"/>
      <c r="L527" s="590"/>
      <c r="M527" s="590"/>
      <c r="N527" s="590"/>
      <c r="O527" s="590"/>
      <c r="P527" s="590"/>
      <c r="Q527" s="590"/>
      <c r="R527" s="590"/>
      <c r="S527" s="590"/>
      <c r="T527" s="590"/>
      <c r="U527" s="590"/>
      <c r="V527" s="590"/>
      <c r="W527" s="590"/>
      <c r="X527" s="590"/>
      <c r="Y527" s="590"/>
      <c r="Z527" s="590"/>
    </row>
    <row r="528" spans="1:26" ht="15.75" customHeight="1">
      <c r="A528" s="590"/>
      <c r="B528" s="590"/>
      <c r="C528" s="590"/>
      <c r="D528" s="590"/>
      <c r="E528" s="590"/>
      <c r="F528" s="590"/>
      <c r="G528" s="590"/>
      <c r="H528" s="590"/>
      <c r="I528" s="590"/>
      <c r="J528" s="590"/>
      <c r="K528" s="590"/>
      <c r="L528" s="590"/>
      <c r="M528" s="590"/>
      <c r="N528" s="590"/>
      <c r="O528" s="590"/>
      <c r="P528" s="590"/>
      <c r="Q528" s="590"/>
      <c r="R528" s="590"/>
      <c r="S528" s="590"/>
      <c r="T528" s="590"/>
      <c r="U528" s="590"/>
      <c r="V528" s="590"/>
      <c r="W528" s="590"/>
      <c r="X528" s="590"/>
      <c r="Y528" s="590"/>
      <c r="Z528" s="590"/>
    </row>
    <row r="529" spans="1:26" ht="15.75" customHeight="1">
      <c r="A529" s="590"/>
      <c r="B529" s="590"/>
      <c r="C529" s="590"/>
      <c r="D529" s="590"/>
      <c r="E529" s="590"/>
      <c r="F529" s="590"/>
      <c r="G529" s="590"/>
      <c r="H529" s="590"/>
      <c r="I529" s="590"/>
      <c r="J529" s="590"/>
      <c r="K529" s="590"/>
      <c r="L529" s="590"/>
      <c r="M529" s="590"/>
      <c r="N529" s="590"/>
      <c r="O529" s="590"/>
      <c r="P529" s="590"/>
      <c r="Q529" s="590"/>
      <c r="R529" s="590"/>
      <c r="S529" s="590"/>
      <c r="T529" s="590"/>
      <c r="U529" s="590"/>
      <c r="V529" s="590"/>
      <c r="W529" s="590"/>
      <c r="X529" s="590"/>
      <c r="Y529" s="590"/>
      <c r="Z529" s="590"/>
    </row>
    <row r="530" spans="1:26" ht="15.75" customHeight="1">
      <c r="A530" s="590"/>
      <c r="B530" s="590"/>
      <c r="C530" s="590"/>
      <c r="D530" s="590"/>
      <c r="E530" s="590"/>
      <c r="F530" s="590"/>
      <c r="G530" s="590"/>
      <c r="H530" s="590"/>
      <c r="I530" s="590"/>
      <c r="J530" s="590"/>
      <c r="K530" s="590"/>
      <c r="L530" s="590"/>
      <c r="M530" s="590"/>
      <c r="N530" s="590"/>
      <c r="O530" s="590"/>
      <c r="P530" s="590"/>
      <c r="Q530" s="590"/>
      <c r="R530" s="590"/>
      <c r="S530" s="590"/>
      <c r="T530" s="590"/>
      <c r="U530" s="590"/>
      <c r="V530" s="590"/>
      <c r="W530" s="590"/>
      <c r="X530" s="590"/>
      <c r="Y530" s="590"/>
      <c r="Z530" s="590"/>
    </row>
    <row r="531" spans="1:26" ht="15.75" customHeight="1">
      <c r="A531" s="590"/>
      <c r="B531" s="590"/>
      <c r="C531" s="590"/>
      <c r="D531" s="590"/>
      <c r="E531" s="590"/>
      <c r="F531" s="590"/>
      <c r="G531" s="590"/>
      <c r="H531" s="590"/>
      <c r="I531" s="590"/>
      <c r="J531" s="590"/>
      <c r="K531" s="590"/>
      <c r="L531" s="590"/>
      <c r="M531" s="590"/>
      <c r="N531" s="590"/>
      <c r="O531" s="590"/>
      <c r="P531" s="590"/>
      <c r="Q531" s="590"/>
      <c r="R531" s="590"/>
      <c r="S531" s="590"/>
      <c r="T531" s="590"/>
      <c r="U531" s="590"/>
      <c r="V531" s="590"/>
      <c r="W531" s="590"/>
      <c r="X531" s="590"/>
      <c r="Y531" s="590"/>
      <c r="Z531" s="590"/>
    </row>
    <row r="532" spans="1:26" ht="15.75" customHeight="1">
      <c r="A532" s="590"/>
      <c r="B532" s="590"/>
      <c r="C532" s="590"/>
      <c r="D532" s="590"/>
      <c r="E532" s="590"/>
      <c r="F532" s="590"/>
      <c r="G532" s="590"/>
      <c r="H532" s="590"/>
      <c r="I532" s="590"/>
      <c r="J532" s="590"/>
      <c r="K532" s="590"/>
      <c r="L532" s="590"/>
      <c r="M532" s="590"/>
      <c r="N532" s="590"/>
      <c r="O532" s="590"/>
      <c r="P532" s="590"/>
      <c r="Q532" s="590"/>
      <c r="R532" s="590"/>
      <c r="S532" s="590"/>
      <c r="T532" s="590"/>
      <c r="U532" s="590"/>
      <c r="V532" s="590"/>
      <c r="W532" s="590"/>
      <c r="X532" s="590"/>
      <c r="Y532" s="590"/>
      <c r="Z532" s="590"/>
    </row>
    <row r="533" spans="1:26" ht="15.75" customHeight="1">
      <c r="A533" s="590"/>
      <c r="B533" s="590"/>
      <c r="C533" s="590"/>
      <c r="D533" s="590"/>
      <c r="E533" s="590"/>
      <c r="F533" s="590"/>
      <c r="G533" s="590"/>
      <c r="H533" s="590"/>
      <c r="I533" s="590"/>
      <c r="J533" s="590"/>
      <c r="K533" s="590"/>
      <c r="L533" s="590"/>
      <c r="M533" s="590"/>
      <c r="N533" s="590"/>
      <c r="O533" s="590"/>
      <c r="P533" s="590"/>
      <c r="Q533" s="590"/>
      <c r="R533" s="590"/>
      <c r="S533" s="590"/>
      <c r="T533" s="590"/>
      <c r="U533" s="590"/>
      <c r="V533" s="590"/>
      <c r="W533" s="590"/>
      <c r="X533" s="590"/>
      <c r="Y533" s="590"/>
      <c r="Z533" s="590"/>
    </row>
    <row r="534" spans="1:26" ht="15.75" customHeight="1">
      <c r="A534" s="590"/>
      <c r="B534" s="590"/>
      <c r="C534" s="590"/>
      <c r="D534" s="590"/>
      <c r="E534" s="590"/>
      <c r="F534" s="590"/>
      <c r="G534" s="590"/>
      <c r="H534" s="590"/>
      <c r="I534" s="590"/>
      <c r="J534" s="590"/>
      <c r="K534" s="590"/>
      <c r="L534" s="590"/>
      <c r="M534" s="590"/>
      <c r="N534" s="590"/>
      <c r="O534" s="590"/>
      <c r="P534" s="590"/>
      <c r="Q534" s="590"/>
      <c r="R534" s="590"/>
      <c r="S534" s="590"/>
      <c r="T534" s="590"/>
      <c r="U534" s="590"/>
      <c r="V534" s="590"/>
      <c r="W534" s="590"/>
      <c r="X534" s="590"/>
      <c r="Y534" s="590"/>
      <c r="Z534" s="590"/>
    </row>
    <row r="535" spans="1:26" ht="15.75" customHeight="1">
      <c r="A535" s="590"/>
      <c r="B535" s="590"/>
      <c r="C535" s="590"/>
      <c r="D535" s="590"/>
      <c r="E535" s="590"/>
      <c r="F535" s="590"/>
      <c r="G535" s="590"/>
      <c r="H535" s="590"/>
      <c r="I535" s="590"/>
      <c r="J535" s="590"/>
      <c r="K535" s="590"/>
      <c r="L535" s="590"/>
      <c r="M535" s="590"/>
      <c r="N535" s="590"/>
      <c r="O535" s="590"/>
      <c r="P535" s="590"/>
      <c r="Q535" s="590"/>
      <c r="R535" s="590"/>
      <c r="S535" s="590"/>
      <c r="T535" s="590"/>
      <c r="U535" s="590"/>
      <c r="V535" s="590"/>
      <c r="W535" s="590"/>
      <c r="X535" s="590"/>
      <c r="Y535" s="590"/>
      <c r="Z535" s="590"/>
    </row>
    <row r="536" spans="1:26" ht="15.75" customHeight="1">
      <c r="A536" s="590"/>
      <c r="B536" s="590"/>
      <c r="C536" s="590"/>
      <c r="D536" s="590"/>
      <c r="E536" s="590"/>
      <c r="F536" s="590"/>
      <c r="G536" s="590"/>
      <c r="H536" s="590"/>
      <c r="I536" s="590"/>
      <c r="J536" s="590"/>
      <c r="K536" s="590"/>
      <c r="L536" s="590"/>
      <c r="M536" s="590"/>
      <c r="N536" s="590"/>
      <c r="O536" s="590"/>
      <c r="P536" s="590"/>
      <c r="Q536" s="590"/>
      <c r="R536" s="590"/>
      <c r="S536" s="590"/>
      <c r="T536" s="590"/>
      <c r="U536" s="590"/>
      <c r="V536" s="590"/>
      <c r="W536" s="590"/>
      <c r="X536" s="590"/>
      <c r="Y536" s="590"/>
      <c r="Z536" s="590"/>
    </row>
    <row r="537" spans="1:26" ht="15.75" customHeight="1">
      <c r="A537" s="590"/>
      <c r="B537" s="590"/>
      <c r="C537" s="590"/>
      <c r="D537" s="590"/>
      <c r="E537" s="590"/>
      <c r="F537" s="590"/>
      <c r="G537" s="590"/>
      <c r="H537" s="590"/>
      <c r="I537" s="590"/>
      <c r="J537" s="590"/>
      <c r="K537" s="590"/>
      <c r="L537" s="590"/>
      <c r="M537" s="590"/>
      <c r="N537" s="590"/>
      <c r="O537" s="590"/>
      <c r="P537" s="590"/>
      <c r="Q537" s="590"/>
      <c r="R537" s="590"/>
      <c r="S537" s="590"/>
      <c r="T537" s="590"/>
      <c r="U537" s="590"/>
      <c r="V537" s="590"/>
      <c r="W537" s="590"/>
      <c r="X537" s="590"/>
      <c r="Y537" s="590"/>
      <c r="Z537" s="590"/>
    </row>
    <row r="538" spans="1:26" ht="15.75" customHeight="1">
      <c r="A538" s="590"/>
      <c r="B538" s="590"/>
      <c r="C538" s="590"/>
      <c r="D538" s="590"/>
      <c r="E538" s="590"/>
      <c r="F538" s="590"/>
      <c r="G538" s="590"/>
      <c r="H538" s="590"/>
      <c r="I538" s="590"/>
      <c r="J538" s="590"/>
      <c r="K538" s="590"/>
      <c r="L538" s="590"/>
      <c r="M538" s="590"/>
      <c r="N538" s="590"/>
      <c r="O538" s="590"/>
      <c r="P538" s="590"/>
      <c r="Q538" s="590"/>
      <c r="R538" s="590"/>
      <c r="S538" s="590"/>
      <c r="T538" s="590"/>
      <c r="U538" s="590"/>
      <c r="V538" s="590"/>
      <c r="W538" s="590"/>
      <c r="X538" s="590"/>
      <c r="Y538" s="590"/>
      <c r="Z538" s="590"/>
    </row>
    <row r="539" spans="1:26" ht="15.75" customHeight="1">
      <c r="A539" s="590"/>
      <c r="B539" s="590"/>
      <c r="C539" s="590"/>
      <c r="D539" s="590"/>
      <c r="E539" s="590"/>
      <c r="F539" s="590"/>
      <c r="G539" s="590"/>
      <c r="H539" s="590"/>
      <c r="I539" s="590"/>
      <c r="J539" s="590"/>
      <c r="K539" s="590"/>
      <c r="L539" s="590"/>
      <c r="M539" s="590"/>
      <c r="N539" s="590"/>
      <c r="O539" s="590"/>
      <c r="P539" s="590"/>
      <c r="Q539" s="590"/>
      <c r="R539" s="590"/>
      <c r="S539" s="590"/>
      <c r="T539" s="590"/>
      <c r="U539" s="590"/>
      <c r="V539" s="590"/>
      <c r="W539" s="590"/>
      <c r="X539" s="590"/>
      <c r="Y539" s="590"/>
      <c r="Z539" s="590"/>
    </row>
    <row r="540" spans="1:26" ht="15.75" customHeight="1">
      <c r="A540" s="590"/>
      <c r="B540" s="590"/>
      <c r="C540" s="590"/>
      <c r="D540" s="590"/>
      <c r="E540" s="590"/>
      <c r="F540" s="590"/>
      <c r="G540" s="590"/>
      <c r="H540" s="590"/>
      <c r="I540" s="590"/>
      <c r="J540" s="590"/>
      <c r="K540" s="590"/>
      <c r="L540" s="590"/>
      <c r="M540" s="590"/>
      <c r="N540" s="590"/>
      <c r="O540" s="590"/>
      <c r="P540" s="590"/>
      <c r="Q540" s="590"/>
      <c r="R540" s="590"/>
      <c r="S540" s="590"/>
      <c r="T540" s="590"/>
      <c r="U540" s="590"/>
      <c r="V540" s="590"/>
      <c r="W540" s="590"/>
      <c r="X540" s="590"/>
      <c r="Y540" s="590"/>
      <c r="Z540" s="590"/>
    </row>
    <row r="541" spans="1:26" ht="15.75" customHeight="1">
      <c r="A541" s="590"/>
      <c r="B541" s="590"/>
      <c r="C541" s="590"/>
      <c r="D541" s="590"/>
      <c r="E541" s="590"/>
      <c r="F541" s="590"/>
      <c r="G541" s="590"/>
      <c r="H541" s="590"/>
      <c r="I541" s="590"/>
      <c r="J541" s="590"/>
      <c r="K541" s="590"/>
      <c r="L541" s="590"/>
      <c r="M541" s="590"/>
      <c r="N541" s="590"/>
      <c r="O541" s="590"/>
      <c r="P541" s="590"/>
      <c r="Q541" s="590"/>
      <c r="R541" s="590"/>
      <c r="S541" s="590"/>
      <c r="T541" s="590"/>
      <c r="U541" s="590"/>
      <c r="V541" s="590"/>
      <c r="W541" s="590"/>
      <c r="X541" s="590"/>
      <c r="Y541" s="590"/>
      <c r="Z541" s="590"/>
    </row>
    <row r="542" spans="1:26" ht="15.75" customHeight="1">
      <c r="A542" s="590"/>
      <c r="B542" s="590"/>
      <c r="C542" s="590"/>
      <c r="D542" s="590"/>
      <c r="E542" s="590"/>
      <c r="F542" s="590"/>
      <c r="G542" s="590"/>
      <c r="H542" s="590"/>
      <c r="I542" s="590"/>
      <c r="J542" s="590"/>
      <c r="K542" s="590"/>
      <c r="L542" s="590"/>
      <c r="M542" s="590"/>
      <c r="N542" s="590"/>
      <c r="O542" s="590"/>
      <c r="P542" s="590"/>
      <c r="Q542" s="590"/>
      <c r="R542" s="590"/>
      <c r="S542" s="590"/>
      <c r="T542" s="590"/>
      <c r="U542" s="590"/>
      <c r="V542" s="590"/>
      <c r="W542" s="590"/>
      <c r="X542" s="590"/>
      <c r="Y542" s="590"/>
      <c r="Z542" s="590"/>
    </row>
    <row r="543" spans="1:26" ht="15.75" customHeight="1">
      <c r="A543" s="590"/>
      <c r="B543" s="590"/>
      <c r="C543" s="590"/>
      <c r="D543" s="590"/>
      <c r="E543" s="590"/>
      <c r="F543" s="590"/>
      <c r="G543" s="590"/>
      <c r="H543" s="590"/>
      <c r="I543" s="590"/>
      <c r="J543" s="590"/>
      <c r="K543" s="590"/>
      <c r="L543" s="590"/>
      <c r="M543" s="590"/>
      <c r="N543" s="590"/>
      <c r="O543" s="590"/>
      <c r="P543" s="590"/>
      <c r="Q543" s="590"/>
      <c r="R543" s="590"/>
      <c r="S543" s="590"/>
      <c r="T543" s="590"/>
      <c r="U543" s="590"/>
      <c r="V543" s="590"/>
      <c r="W543" s="590"/>
      <c r="X543" s="590"/>
      <c r="Y543" s="590"/>
      <c r="Z543" s="590"/>
    </row>
    <row r="544" spans="1:26" ht="15.75" customHeight="1">
      <c r="A544" s="590"/>
      <c r="B544" s="590"/>
      <c r="C544" s="590"/>
      <c r="D544" s="590"/>
      <c r="E544" s="590"/>
      <c r="F544" s="590"/>
      <c r="G544" s="590"/>
      <c r="H544" s="590"/>
      <c r="I544" s="590"/>
      <c r="J544" s="590"/>
      <c r="K544" s="590"/>
      <c r="L544" s="590"/>
      <c r="M544" s="590"/>
      <c r="N544" s="590"/>
      <c r="O544" s="590"/>
      <c r="P544" s="590"/>
      <c r="Q544" s="590"/>
      <c r="R544" s="590"/>
      <c r="S544" s="590"/>
      <c r="T544" s="590"/>
      <c r="U544" s="590"/>
      <c r="V544" s="590"/>
      <c r="W544" s="590"/>
      <c r="X544" s="590"/>
      <c r="Y544" s="590"/>
      <c r="Z544" s="590"/>
    </row>
    <row r="545" spans="1:26" ht="15.75" customHeight="1">
      <c r="A545" s="590"/>
      <c r="B545" s="590"/>
      <c r="C545" s="590"/>
      <c r="D545" s="590"/>
      <c r="E545" s="590"/>
      <c r="F545" s="590"/>
      <c r="G545" s="590"/>
      <c r="H545" s="590"/>
      <c r="I545" s="590"/>
      <c r="J545" s="590"/>
      <c r="K545" s="590"/>
      <c r="L545" s="590"/>
      <c r="M545" s="590"/>
      <c r="N545" s="590"/>
      <c r="O545" s="590"/>
      <c r="P545" s="590"/>
      <c r="Q545" s="590"/>
      <c r="R545" s="590"/>
      <c r="S545" s="590"/>
      <c r="T545" s="590"/>
      <c r="U545" s="590"/>
      <c r="V545" s="590"/>
      <c r="W545" s="590"/>
      <c r="X545" s="590"/>
      <c r="Y545" s="590"/>
      <c r="Z545" s="590"/>
    </row>
    <row r="546" spans="1:26" ht="15.75" customHeight="1">
      <c r="A546" s="590"/>
      <c r="B546" s="590"/>
      <c r="C546" s="590"/>
      <c r="D546" s="590"/>
      <c r="E546" s="590"/>
      <c r="F546" s="590"/>
      <c r="G546" s="590"/>
      <c r="H546" s="590"/>
      <c r="I546" s="590"/>
      <c r="J546" s="590"/>
      <c r="K546" s="590"/>
      <c r="L546" s="590"/>
      <c r="M546" s="590"/>
      <c r="N546" s="590"/>
      <c r="O546" s="590"/>
      <c r="P546" s="590"/>
      <c r="Q546" s="590"/>
      <c r="R546" s="590"/>
      <c r="S546" s="590"/>
      <c r="T546" s="590"/>
      <c r="U546" s="590"/>
      <c r="V546" s="590"/>
      <c r="W546" s="590"/>
      <c r="X546" s="590"/>
      <c r="Y546" s="590"/>
      <c r="Z546" s="590"/>
    </row>
    <row r="547" spans="1:26" ht="15.75" customHeight="1">
      <c r="A547" s="590"/>
      <c r="B547" s="590"/>
      <c r="C547" s="590"/>
      <c r="D547" s="590"/>
      <c r="E547" s="590"/>
      <c r="F547" s="590"/>
      <c r="G547" s="590"/>
      <c r="H547" s="590"/>
      <c r="I547" s="590"/>
      <c r="J547" s="590"/>
      <c r="K547" s="590"/>
      <c r="L547" s="590"/>
      <c r="M547" s="590"/>
      <c r="N547" s="590"/>
      <c r="O547" s="590"/>
      <c r="P547" s="590"/>
      <c r="Q547" s="590"/>
      <c r="R547" s="590"/>
      <c r="S547" s="590"/>
      <c r="T547" s="590"/>
      <c r="U547" s="590"/>
      <c r="V547" s="590"/>
      <c r="W547" s="590"/>
      <c r="X547" s="590"/>
      <c r="Y547" s="590"/>
      <c r="Z547" s="590"/>
    </row>
    <row r="548" spans="1:26" ht="15.75" customHeight="1">
      <c r="A548" s="590"/>
      <c r="B548" s="590"/>
      <c r="C548" s="590"/>
      <c r="D548" s="590"/>
      <c r="E548" s="590"/>
      <c r="F548" s="590"/>
      <c r="G548" s="590"/>
      <c r="H548" s="590"/>
      <c r="I548" s="590"/>
      <c r="J548" s="590"/>
      <c r="K548" s="590"/>
      <c r="L548" s="590"/>
      <c r="M548" s="590"/>
      <c r="N548" s="590"/>
      <c r="O548" s="590"/>
      <c r="P548" s="590"/>
      <c r="Q548" s="590"/>
      <c r="R548" s="590"/>
      <c r="S548" s="590"/>
      <c r="T548" s="590"/>
      <c r="U548" s="590"/>
      <c r="V548" s="590"/>
      <c r="W548" s="590"/>
      <c r="X548" s="590"/>
      <c r="Y548" s="590"/>
      <c r="Z548" s="590"/>
    </row>
    <row r="549" spans="1:26" ht="15.75" customHeight="1">
      <c r="A549" s="590"/>
      <c r="B549" s="590"/>
      <c r="C549" s="590"/>
      <c r="D549" s="590"/>
      <c r="E549" s="590"/>
      <c r="F549" s="590"/>
      <c r="G549" s="590"/>
      <c r="H549" s="590"/>
      <c r="I549" s="590"/>
      <c r="J549" s="590"/>
      <c r="K549" s="590"/>
      <c r="L549" s="590"/>
      <c r="M549" s="590"/>
      <c r="N549" s="590"/>
      <c r="O549" s="590"/>
      <c r="P549" s="590"/>
      <c r="Q549" s="590"/>
      <c r="R549" s="590"/>
      <c r="S549" s="590"/>
      <c r="T549" s="590"/>
      <c r="U549" s="590"/>
      <c r="V549" s="590"/>
      <c r="W549" s="590"/>
      <c r="X549" s="590"/>
      <c r="Y549" s="590"/>
      <c r="Z549" s="590"/>
    </row>
    <row r="550" spans="1:26" ht="15.75" customHeight="1">
      <c r="A550" s="590"/>
      <c r="B550" s="590"/>
      <c r="C550" s="590"/>
      <c r="D550" s="590"/>
      <c r="E550" s="590"/>
      <c r="F550" s="590"/>
      <c r="G550" s="590"/>
      <c r="H550" s="590"/>
      <c r="I550" s="590"/>
      <c r="J550" s="590"/>
      <c r="K550" s="590"/>
      <c r="L550" s="590"/>
      <c r="M550" s="590"/>
      <c r="N550" s="590"/>
      <c r="O550" s="590"/>
      <c r="P550" s="590"/>
      <c r="Q550" s="590"/>
      <c r="R550" s="590"/>
      <c r="S550" s="590"/>
      <c r="T550" s="590"/>
      <c r="U550" s="590"/>
      <c r="V550" s="590"/>
      <c r="W550" s="590"/>
      <c r="X550" s="590"/>
      <c r="Y550" s="590"/>
      <c r="Z550" s="590"/>
    </row>
    <row r="551" spans="1:26" ht="15.75" customHeight="1">
      <c r="A551" s="590"/>
      <c r="B551" s="590"/>
      <c r="C551" s="590"/>
      <c r="D551" s="590"/>
      <c r="E551" s="590"/>
      <c r="F551" s="590"/>
      <c r="G551" s="590"/>
      <c r="H551" s="590"/>
      <c r="I551" s="590"/>
      <c r="J551" s="590"/>
      <c r="K551" s="590"/>
      <c r="L551" s="590"/>
      <c r="M551" s="590"/>
      <c r="N551" s="590"/>
      <c r="O551" s="590"/>
      <c r="P551" s="590"/>
      <c r="Q551" s="590"/>
      <c r="R551" s="590"/>
      <c r="S551" s="590"/>
      <c r="T551" s="590"/>
      <c r="U551" s="590"/>
      <c r="V551" s="590"/>
      <c r="W551" s="590"/>
      <c r="X551" s="590"/>
      <c r="Y551" s="590"/>
      <c r="Z551" s="590"/>
    </row>
    <row r="552" spans="1:26" ht="15.75" customHeight="1">
      <c r="A552" s="590"/>
      <c r="B552" s="590"/>
      <c r="C552" s="590"/>
      <c r="D552" s="590"/>
      <c r="E552" s="590"/>
      <c r="F552" s="590"/>
      <c r="G552" s="590"/>
      <c r="H552" s="590"/>
      <c r="I552" s="590"/>
      <c r="J552" s="590"/>
      <c r="K552" s="590"/>
      <c r="L552" s="590"/>
      <c r="M552" s="590"/>
      <c r="N552" s="590"/>
      <c r="O552" s="590"/>
      <c r="P552" s="590"/>
      <c r="Q552" s="590"/>
      <c r="R552" s="590"/>
      <c r="S552" s="590"/>
      <c r="T552" s="590"/>
      <c r="U552" s="590"/>
      <c r="V552" s="590"/>
      <c r="W552" s="590"/>
      <c r="X552" s="590"/>
      <c r="Y552" s="590"/>
      <c r="Z552" s="590"/>
    </row>
    <row r="553" spans="1:26" ht="15.75" customHeight="1">
      <c r="A553" s="590"/>
      <c r="B553" s="590"/>
      <c r="C553" s="590"/>
      <c r="D553" s="590"/>
      <c r="E553" s="590"/>
      <c r="F553" s="590"/>
      <c r="G553" s="590"/>
      <c r="H553" s="590"/>
      <c r="I553" s="590"/>
      <c r="J553" s="590"/>
      <c r="K553" s="590"/>
      <c r="L553" s="590"/>
      <c r="M553" s="590"/>
      <c r="N553" s="590"/>
      <c r="O553" s="590"/>
      <c r="P553" s="590"/>
      <c r="Q553" s="590"/>
      <c r="R553" s="590"/>
      <c r="S553" s="590"/>
      <c r="T553" s="590"/>
      <c r="U553" s="590"/>
      <c r="V553" s="590"/>
      <c r="W553" s="590"/>
      <c r="X553" s="590"/>
      <c r="Y553" s="590"/>
      <c r="Z553" s="590"/>
    </row>
    <row r="554" spans="1:26" ht="15.75" customHeight="1">
      <c r="A554" s="590"/>
      <c r="B554" s="590"/>
      <c r="C554" s="590"/>
      <c r="D554" s="590"/>
      <c r="E554" s="590"/>
      <c r="F554" s="590"/>
      <c r="G554" s="590"/>
      <c r="H554" s="590"/>
      <c r="I554" s="590"/>
      <c r="J554" s="590"/>
      <c r="K554" s="590"/>
      <c r="L554" s="590"/>
      <c r="M554" s="590"/>
      <c r="N554" s="590"/>
      <c r="O554" s="590"/>
      <c r="P554" s="590"/>
      <c r="Q554" s="590"/>
      <c r="R554" s="590"/>
      <c r="S554" s="590"/>
      <c r="T554" s="590"/>
      <c r="U554" s="590"/>
      <c r="V554" s="590"/>
      <c r="W554" s="590"/>
      <c r="X554" s="590"/>
      <c r="Y554" s="590"/>
      <c r="Z554" s="590"/>
    </row>
    <row r="555" spans="1:26" ht="15.75" customHeight="1">
      <c r="A555" s="590"/>
      <c r="B555" s="590"/>
      <c r="C555" s="590"/>
      <c r="D555" s="590"/>
      <c r="E555" s="590"/>
      <c r="F555" s="590"/>
      <c r="G555" s="590"/>
      <c r="H555" s="590"/>
      <c r="I555" s="590"/>
      <c r="J555" s="590"/>
      <c r="K555" s="590"/>
      <c r="L555" s="590"/>
      <c r="M555" s="590"/>
      <c r="N555" s="590"/>
      <c r="O555" s="590"/>
      <c r="P555" s="590"/>
      <c r="Q555" s="590"/>
      <c r="R555" s="590"/>
      <c r="S555" s="590"/>
      <c r="T555" s="590"/>
      <c r="U555" s="590"/>
      <c r="V555" s="590"/>
      <c r="W555" s="590"/>
      <c r="X555" s="590"/>
      <c r="Y555" s="590"/>
      <c r="Z555" s="590"/>
    </row>
    <row r="556" spans="1:26" ht="15.75" customHeight="1">
      <c r="A556" s="590"/>
      <c r="B556" s="590"/>
      <c r="C556" s="590"/>
      <c r="D556" s="590"/>
      <c r="E556" s="590"/>
      <c r="F556" s="590"/>
      <c r="G556" s="590"/>
      <c r="H556" s="590"/>
      <c r="I556" s="590"/>
      <c r="J556" s="590"/>
      <c r="K556" s="590"/>
      <c r="L556" s="590"/>
      <c r="M556" s="590"/>
      <c r="N556" s="590"/>
      <c r="O556" s="590"/>
      <c r="P556" s="590"/>
      <c r="Q556" s="590"/>
      <c r="R556" s="590"/>
      <c r="S556" s="590"/>
      <c r="T556" s="590"/>
      <c r="U556" s="590"/>
      <c r="V556" s="590"/>
      <c r="W556" s="590"/>
      <c r="X556" s="590"/>
      <c r="Y556" s="590"/>
      <c r="Z556" s="590"/>
    </row>
    <row r="557" spans="1:26" ht="15.75" customHeight="1">
      <c r="A557" s="590"/>
      <c r="B557" s="590"/>
      <c r="C557" s="590"/>
      <c r="D557" s="590"/>
      <c r="E557" s="590"/>
      <c r="F557" s="590"/>
      <c r="G557" s="590"/>
      <c r="H557" s="590"/>
      <c r="I557" s="590"/>
      <c r="J557" s="590"/>
      <c r="K557" s="590"/>
      <c r="L557" s="590"/>
      <c r="M557" s="590"/>
      <c r="N557" s="590"/>
      <c r="O557" s="590"/>
      <c r="P557" s="590"/>
      <c r="Q557" s="590"/>
      <c r="R557" s="590"/>
      <c r="S557" s="590"/>
      <c r="T557" s="590"/>
      <c r="U557" s="590"/>
      <c r="V557" s="590"/>
      <c r="W557" s="590"/>
      <c r="X557" s="590"/>
      <c r="Y557" s="590"/>
      <c r="Z557" s="590"/>
    </row>
    <row r="558" spans="1:26" ht="15.75" customHeight="1">
      <c r="A558" s="590"/>
      <c r="B558" s="590"/>
      <c r="C558" s="590"/>
      <c r="D558" s="590"/>
      <c r="E558" s="590"/>
      <c r="F558" s="590"/>
      <c r="G558" s="590"/>
      <c r="H558" s="590"/>
      <c r="I558" s="590"/>
      <c r="J558" s="590"/>
      <c r="K558" s="590"/>
      <c r="L558" s="590"/>
      <c r="M558" s="590"/>
      <c r="N558" s="590"/>
      <c r="O558" s="590"/>
      <c r="P558" s="590"/>
      <c r="Q558" s="590"/>
      <c r="R558" s="590"/>
      <c r="S558" s="590"/>
      <c r="T558" s="590"/>
      <c r="U558" s="590"/>
      <c r="V558" s="590"/>
      <c r="W558" s="590"/>
      <c r="X558" s="590"/>
      <c r="Y558" s="590"/>
      <c r="Z558" s="590"/>
    </row>
    <row r="559" spans="1:26" ht="15.75" customHeight="1">
      <c r="A559" s="590"/>
      <c r="B559" s="590"/>
      <c r="C559" s="590"/>
      <c r="D559" s="590"/>
      <c r="E559" s="590"/>
      <c r="F559" s="590"/>
      <c r="G559" s="590"/>
      <c r="H559" s="590"/>
      <c r="I559" s="590"/>
      <c r="J559" s="590"/>
      <c r="K559" s="590"/>
      <c r="L559" s="590"/>
      <c r="M559" s="590"/>
      <c r="N559" s="590"/>
      <c r="O559" s="590"/>
      <c r="P559" s="590"/>
      <c r="Q559" s="590"/>
      <c r="R559" s="590"/>
      <c r="S559" s="590"/>
      <c r="T559" s="590"/>
      <c r="U559" s="590"/>
      <c r="V559" s="590"/>
      <c r="W559" s="590"/>
      <c r="X559" s="590"/>
      <c r="Y559" s="590"/>
      <c r="Z559" s="590"/>
    </row>
    <row r="560" spans="1:26" ht="15.75" customHeight="1">
      <c r="A560" s="590"/>
      <c r="B560" s="590"/>
      <c r="C560" s="590"/>
      <c r="D560" s="590"/>
      <c r="E560" s="590"/>
      <c r="F560" s="590"/>
      <c r="G560" s="590"/>
      <c r="H560" s="590"/>
      <c r="I560" s="590"/>
      <c r="J560" s="590"/>
      <c r="K560" s="590"/>
      <c r="L560" s="590"/>
      <c r="M560" s="590"/>
      <c r="N560" s="590"/>
      <c r="O560" s="590"/>
      <c r="P560" s="590"/>
      <c r="Q560" s="590"/>
      <c r="R560" s="590"/>
      <c r="S560" s="590"/>
      <c r="T560" s="590"/>
      <c r="U560" s="590"/>
      <c r="V560" s="590"/>
      <c r="W560" s="590"/>
      <c r="X560" s="590"/>
      <c r="Y560" s="590"/>
      <c r="Z560" s="590"/>
    </row>
    <row r="561" spans="1:26" ht="15.75" customHeight="1">
      <c r="A561" s="590"/>
      <c r="B561" s="590"/>
      <c r="C561" s="590"/>
      <c r="D561" s="590"/>
      <c r="E561" s="590"/>
      <c r="F561" s="590"/>
      <c r="G561" s="590"/>
      <c r="H561" s="590"/>
      <c r="I561" s="590"/>
      <c r="J561" s="590"/>
      <c r="K561" s="590"/>
      <c r="L561" s="590"/>
      <c r="M561" s="590"/>
      <c r="N561" s="590"/>
      <c r="O561" s="590"/>
      <c r="P561" s="590"/>
      <c r="Q561" s="590"/>
      <c r="R561" s="590"/>
      <c r="S561" s="590"/>
      <c r="T561" s="590"/>
      <c r="U561" s="590"/>
      <c r="V561" s="590"/>
      <c r="W561" s="590"/>
      <c r="X561" s="590"/>
      <c r="Y561" s="590"/>
      <c r="Z561" s="590"/>
    </row>
    <row r="562" spans="1:26" ht="15.75" customHeight="1">
      <c r="A562" s="590"/>
      <c r="B562" s="590"/>
      <c r="C562" s="590"/>
      <c r="D562" s="590"/>
      <c r="E562" s="590"/>
      <c r="F562" s="590"/>
      <c r="G562" s="590"/>
      <c r="H562" s="590"/>
      <c r="I562" s="590"/>
      <c r="J562" s="590"/>
      <c r="K562" s="590"/>
      <c r="L562" s="590"/>
      <c r="M562" s="590"/>
      <c r="N562" s="590"/>
      <c r="O562" s="590"/>
      <c r="P562" s="590"/>
      <c r="Q562" s="590"/>
      <c r="R562" s="590"/>
      <c r="S562" s="590"/>
      <c r="T562" s="590"/>
      <c r="U562" s="590"/>
      <c r="V562" s="590"/>
      <c r="W562" s="590"/>
      <c r="X562" s="590"/>
      <c r="Y562" s="590"/>
      <c r="Z562" s="590"/>
    </row>
    <row r="563" spans="1:26" ht="15.75" customHeight="1">
      <c r="A563" s="590"/>
      <c r="B563" s="590"/>
      <c r="C563" s="590"/>
      <c r="D563" s="590"/>
      <c r="E563" s="590"/>
      <c r="F563" s="590"/>
      <c r="G563" s="590"/>
      <c r="H563" s="590"/>
      <c r="I563" s="590"/>
      <c r="J563" s="590"/>
      <c r="K563" s="590"/>
      <c r="L563" s="590"/>
      <c r="M563" s="590"/>
      <c r="N563" s="590"/>
      <c r="O563" s="590"/>
      <c r="P563" s="590"/>
      <c r="Q563" s="590"/>
      <c r="R563" s="590"/>
      <c r="S563" s="590"/>
      <c r="T563" s="590"/>
      <c r="U563" s="590"/>
      <c r="V563" s="590"/>
      <c r="W563" s="590"/>
      <c r="X563" s="590"/>
      <c r="Y563" s="590"/>
      <c r="Z563" s="590"/>
    </row>
    <row r="564" spans="1:26" ht="15.75" customHeight="1">
      <c r="A564" s="590"/>
      <c r="B564" s="590"/>
      <c r="C564" s="590"/>
      <c r="D564" s="590"/>
      <c r="E564" s="590"/>
      <c r="F564" s="590"/>
      <c r="G564" s="590"/>
      <c r="H564" s="590"/>
      <c r="I564" s="590"/>
      <c r="J564" s="590"/>
      <c r="K564" s="590"/>
      <c r="L564" s="590"/>
      <c r="M564" s="590"/>
      <c r="N564" s="590"/>
      <c r="O564" s="590"/>
      <c r="P564" s="590"/>
      <c r="Q564" s="590"/>
      <c r="R564" s="590"/>
      <c r="S564" s="590"/>
      <c r="T564" s="590"/>
      <c r="U564" s="590"/>
      <c r="V564" s="590"/>
      <c r="W564" s="590"/>
      <c r="X564" s="590"/>
      <c r="Y564" s="590"/>
      <c r="Z564" s="590"/>
    </row>
    <row r="565" spans="1:26" ht="15.75" customHeight="1">
      <c r="A565" s="590"/>
      <c r="B565" s="590"/>
      <c r="C565" s="590"/>
      <c r="D565" s="590"/>
      <c r="E565" s="590"/>
      <c r="F565" s="590"/>
      <c r="G565" s="590"/>
      <c r="H565" s="590"/>
      <c r="I565" s="590"/>
      <c r="J565" s="590"/>
      <c r="K565" s="590"/>
      <c r="L565" s="590"/>
      <c r="M565" s="590"/>
      <c r="N565" s="590"/>
      <c r="O565" s="590"/>
      <c r="P565" s="590"/>
      <c r="Q565" s="590"/>
      <c r="R565" s="590"/>
      <c r="S565" s="590"/>
      <c r="T565" s="590"/>
      <c r="U565" s="590"/>
      <c r="V565" s="590"/>
      <c r="W565" s="590"/>
      <c r="X565" s="590"/>
      <c r="Y565" s="590"/>
      <c r="Z565" s="590"/>
    </row>
    <row r="566" spans="1:26" ht="15.75" customHeight="1">
      <c r="A566" s="590"/>
      <c r="B566" s="590"/>
      <c r="C566" s="590"/>
      <c r="D566" s="590"/>
      <c r="E566" s="590"/>
      <c r="F566" s="590"/>
      <c r="G566" s="590"/>
      <c r="H566" s="590"/>
      <c r="I566" s="590"/>
      <c r="J566" s="590"/>
      <c r="K566" s="590"/>
      <c r="L566" s="590"/>
      <c r="M566" s="590"/>
      <c r="N566" s="590"/>
      <c r="O566" s="590"/>
      <c r="P566" s="590"/>
      <c r="Q566" s="590"/>
      <c r="R566" s="590"/>
      <c r="S566" s="590"/>
      <c r="T566" s="590"/>
      <c r="U566" s="590"/>
      <c r="V566" s="590"/>
      <c r="W566" s="590"/>
      <c r="X566" s="590"/>
      <c r="Y566" s="590"/>
      <c r="Z566" s="590"/>
    </row>
    <row r="567" spans="1:26" ht="15.75" customHeight="1">
      <c r="A567" s="590"/>
      <c r="B567" s="590"/>
      <c r="C567" s="590"/>
      <c r="D567" s="590"/>
      <c r="E567" s="590"/>
      <c r="F567" s="590"/>
      <c r="G567" s="590"/>
      <c r="H567" s="590"/>
      <c r="I567" s="590"/>
      <c r="J567" s="590"/>
      <c r="K567" s="590"/>
      <c r="L567" s="590"/>
      <c r="M567" s="590"/>
      <c r="N567" s="590"/>
      <c r="O567" s="590"/>
      <c r="P567" s="590"/>
      <c r="Q567" s="590"/>
      <c r="R567" s="590"/>
      <c r="S567" s="590"/>
      <c r="T567" s="590"/>
      <c r="U567" s="590"/>
      <c r="V567" s="590"/>
      <c r="W567" s="590"/>
      <c r="X567" s="590"/>
      <c r="Y567" s="590"/>
      <c r="Z567" s="590"/>
    </row>
    <row r="568" spans="1:26" ht="15.75" customHeight="1">
      <c r="A568" s="590"/>
      <c r="B568" s="590"/>
      <c r="C568" s="590"/>
      <c r="D568" s="590"/>
      <c r="E568" s="590"/>
      <c r="F568" s="590"/>
      <c r="G568" s="590"/>
      <c r="H568" s="590"/>
      <c r="I568" s="590"/>
      <c r="J568" s="590"/>
      <c r="K568" s="590"/>
      <c r="L568" s="590"/>
      <c r="M568" s="590"/>
      <c r="N568" s="590"/>
      <c r="O568" s="590"/>
      <c r="P568" s="590"/>
      <c r="Q568" s="590"/>
      <c r="R568" s="590"/>
      <c r="S568" s="590"/>
      <c r="T568" s="590"/>
      <c r="U568" s="590"/>
      <c r="V568" s="590"/>
      <c r="W568" s="590"/>
      <c r="X568" s="590"/>
      <c r="Y568" s="590"/>
      <c r="Z568" s="590"/>
    </row>
    <row r="569" spans="1:26" ht="15.75" customHeight="1">
      <c r="A569" s="590"/>
      <c r="B569" s="590"/>
      <c r="C569" s="590"/>
      <c r="D569" s="590"/>
      <c r="E569" s="590"/>
      <c r="F569" s="590"/>
      <c r="G569" s="590"/>
      <c r="H569" s="590"/>
      <c r="I569" s="590"/>
      <c r="J569" s="590"/>
      <c r="K569" s="590"/>
      <c r="L569" s="590"/>
      <c r="M569" s="590"/>
      <c r="N569" s="590"/>
      <c r="O569" s="590"/>
      <c r="P569" s="590"/>
      <c r="Q569" s="590"/>
      <c r="R569" s="590"/>
      <c r="S569" s="590"/>
      <c r="T569" s="590"/>
      <c r="U569" s="590"/>
      <c r="V569" s="590"/>
      <c r="W569" s="590"/>
      <c r="X569" s="590"/>
      <c r="Y569" s="590"/>
      <c r="Z569" s="590"/>
    </row>
    <row r="570" spans="1:26" ht="15.75" customHeight="1">
      <c r="A570" s="590"/>
      <c r="B570" s="590"/>
      <c r="C570" s="590"/>
      <c r="D570" s="590"/>
      <c r="E570" s="590"/>
      <c r="F570" s="590"/>
      <c r="G570" s="590"/>
      <c r="H570" s="590"/>
      <c r="I570" s="590"/>
      <c r="J570" s="590"/>
      <c r="K570" s="590"/>
      <c r="L570" s="590"/>
      <c r="M570" s="590"/>
      <c r="N570" s="590"/>
      <c r="O570" s="590"/>
      <c r="P570" s="590"/>
      <c r="Q570" s="590"/>
      <c r="R570" s="590"/>
      <c r="S570" s="590"/>
      <c r="T570" s="590"/>
      <c r="U570" s="590"/>
      <c r="V570" s="590"/>
      <c r="W570" s="590"/>
      <c r="X570" s="590"/>
      <c r="Y570" s="590"/>
      <c r="Z570" s="590"/>
    </row>
    <row r="571" spans="1:26" ht="15.75" customHeight="1">
      <c r="A571" s="590"/>
      <c r="B571" s="590"/>
      <c r="C571" s="590"/>
      <c r="D571" s="590"/>
      <c r="E571" s="590"/>
      <c r="F571" s="590"/>
      <c r="G571" s="590"/>
      <c r="H571" s="590"/>
      <c r="I571" s="590"/>
      <c r="J571" s="590"/>
      <c r="K571" s="590"/>
      <c r="L571" s="590"/>
      <c r="M571" s="590"/>
      <c r="N571" s="590"/>
      <c r="O571" s="590"/>
      <c r="P571" s="590"/>
      <c r="Q571" s="590"/>
      <c r="R571" s="590"/>
      <c r="S571" s="590"/>
      <c r="T571" s="590"/>
      <c r="U571" s="590"/>
      <c r="V571" s="590"/>
      <c r="W571" s="590"/>
      <c r="X571" s="590"/>
      <c r="Y571" s="590"/>
      <c r="Z571" s="590"/>
    </row>
    <row r="572" spans="1:26" ht="15.75" customHeight="1">
      <c r="A572" s="590"/>
      <c r="B572" s="590"/>
      <c r="C572" s="590"/>
      <c r="D572" s="590"/>
      <c r="E572" s="590"/>
      <c r="F572" s="590"/>
      <c r="G572" s="590"/>
      <c r="H572" s="590"/>
      <c r="I572" s="590"/>
      <c r="J572" s="590"/>
      <c r="K572" s="590"/>
      <c r="L572" s="590"/>
      <c r="M572" s="590"/>
      <c r="N572" s="590"/>
      <c r="O572" s="590"/>
      <c r="P572" s="590"/>
      <c r="Q572" s="590"/>
      <c r="R572" s="590"/>
      <c r="S572" s="590"/>
      <c r="T572" s="590"/>
      <c r="U572" s="590"/>
      <c r="V572" s="590"/>
      <c r="W572" s="590"/>
      <c r="X572" s="590"/>
      <c r="Y572" s="590"/>
      <c r="Z572" s="590"/>
    </row>
    <row r="573" spans="1:26" ht="15.75" customHeight="1">
      <c r="A573" s="590"/>
      <c r="B573" s="590"/>
      <c r="C573" s="590"/>
      <c r="D573" s="590"/>
      <c r="E573" s="590"/>
      <c r="F573" s="590"/>
      <c r="G573" s="590"/>
      <c r="H573" s="590"/>
      <c r="I573" s="590"/>
      <c r="J573" s="590"/>
      <c r="K573" s="590"/>
      <c r="L573" s="590"/>
      <c r="M573" s="590"/>
      <c r="N573" s="590"/>
      <c r="O573" s="590"/>
      <c r="P573" s="590"/>
      <c r="Q573" s="590"/>
      <c r="R573" s="590"/>
      <c r="S573" s="590"/>
      <c r="T573" s="590"/>
      <c r="U573" s="590"/>
      <c r="V573" s="590"/>
      <c r="W573" s="590"/>
      <c r="X573" s="590"/>
      <c r="Y573" s="590"/>
      <c r="Z573" s="590"/>
    </row>
    <row r="574" spans="1:26" ht="15.75" customHeight="1">
      <c r="A574" s="590"/>
      <c r="B574" s="590"/>
      <c r="C574" s="590"/>
      <c r="D574" s="590"/>
      <c r="E574" s="590"/>
      <c r="F574" s="590"/>
      <c r="G574" s="590"/>
      <c r="H574" s="590"/>
      <c r="I574" s="590"/>
      <c r="J574" s="590"/>
      <c r="K574" s="590"/>
      <c r="L574" s="590"/>
      <c r="M574" s="590"/>
      <c r="N574" s="590"/>
      <c r="O574" s="590"/>
      <c r="P574" s="590"/>
      <c r="Q574" s="590"/>
      <c r="R574" s="590"/>
      <c r="S574" s="590"/>
      <c r="T574" s="590"/>
      <c r="U574" s="590"/>
      <c r="V574" s="590"/>
      <c r="W574" s="590"/>
      <c r="X574" s="590"/>
      <c r="Y574" s="590"/>
      <c r="Z574" s="590"/>
    </row>
    <row r="575" spans="1:26" ht="15.75" customHeight="1">
      <c r="A575" s="590"/>
      <c r="B575" s="590"/>
      <c r="C575" s="590"/>
      <c r="D575" s="590"/>
      <c r="E575" s="590"/>
      <c r="F575" s="590"/>
      <c r="G575" s="590"/>
      <c r="H575" s="590"/>
      <c r="I575" s="590"/>
      <c r="J575" s="590"/>
      <c r="K575" s="590"/>
      <c r="L575" s="590"/>
      <c r="M575" s="590"/>
      <c r="N575" s="590"/>
      <c r="O575" s="590"/>
      <c r="P575" s="590"/>
      <c r="Q575" s="590"/>
      <c r="R575" s="590"/>
      <c r="S575" s="590"/>
      <c r="T575" s="590"/>
      <c r="U575" s="590"/>
      <c r="V575" s="590"/>
      <c r="W575" s="590"/>
      <c r="X575" s="590"/>
      <c r="Y575" s="590"/>
      <c r="Z575" s="590"/>
    </row>
    <row r="576" spans="1:26" ht="15.75" customHeight="1">
      <c r="A576" s="590"/>
      <c r="B576" s="590"/>
      <c r="C576" s="590"/>
      <c r="D576" s="590"/>
      <c r="E576" s="590"/>
      <c r="F576" s="590"/>
      <c r="G576" s="590"/>
      <c r="H576" s="590"/>
      <c r="I576" s="590"/>
      <c r="J576" s="590"/>
      <c r="K576" s="590"/>
      <c r="L576" s="590"/>
      <c r="M576" s="590"/>
      <c r="N576" s="590"/>
      <c r="O576" s="590"/>
      <c r="P576" s="590"/>
      <c r="Q576" s="590"/>
      <c r="R576" s="590"/>
      <c r="S576" s="590"/>
      <c r="T576" s="590"/>
      <c r="U576" s="590"/>
      <c r="V576" s="590"/>
      <c r="W576" s="590"/>
      <c r="X576" s="590"/>
      <c r="Y576" s="590"/>
      <c r="Z576" s="590"/>
    </row>
    <row r="577" spans="1:26" ht="15.75" customHeight="1">
      <c r="A577" s="590"/>
      <c r="B577" s="590"/>
      <c r="C577" s="590"/>
      <c r="D577" s="590"/>
      <c r="E577" s="590"/>
      <c r="F577" s="590"/>
      <c r="G577" s="590"/>
      <c r="H577" s="590"/>
      <c r="I577" s="590"/>
      <c r="J577" s="590"/>
      <c r="K577" s="590"/>
      <c r="L577" s="590"/>
      <c r="M577" s="590"/>
      <c r="N577" s="590"/>
      <c r="O577" s="590"/>
      <c r="P577" s="590"/>
      <c r="Q577" s="590"/>
      <c r="R577" s="590"/>
      <c r="S577" s="590"/>
      <c r="T577" s="590"/>
      <c r="U577" s="590"/>
      <c r="V577" s="590"/>
      <c r="W577" s="590"/>
      <c r="X577" s="590"/>
      <c r="Y577" s="590"/>
      <c r="Z577" s="590"/>
    </row>
    <row r="578" spans="1:26" ht="15.75" customHeight="1">
      <c r="A578" s="590"/>
      <c r="B578" s="590"/>
      <c r="C578" s="590"/>
      <c r="D578" s="590"/>
      <c r="E578" s="590"/>
      <c r="F578" s="590"/>
      <c r="G578" s="590"/>
      <c r="H578" s="590"/>
      <c r="I578" s="590"/>
      <c r="J578" s="590"/>
      <c r="K578" s="590"/>
      <c r="L578" s="590"/>
      <c r="M578" s="590"/>
      <c r="N578" s="590"/>
      <c r="O578" s="590"/>
      <c r="P578" s="590"/>
      <c r="Q578" s="590"/>
      <c r="R578" s="590"/>
      <c r="S578" s="590"/>
      <c r="T578" s="590"/>
      <c r="U578" s="590"/>
      <c r="V578" s="590"/>
      <c r="W578" s="590"/>
      <c r="X578" s="590"/>
      <c r="Y578" s="590"/>
      <c r="Z578" s="590"/>
    </row>
    <row r="579" spans="1:26" ht="15.75" customHeight="1">
      <c r="A579" s="590"/>
      <c r="B579" s="590"/>
      <c r="C579" s="590"/>
      <c r="D579" s="590"/>
      <c r="E579" s="590"/>
      <c r="F579" s="590"/>
      <c r="G579" s="590"/>
      <c r="H579" s="590"/>
      <c r="I579" s="590"/>
      <c r="J579" s="590"/>
      <c r="K579" s="590"/>
      <c r="L579" s="590"/>
      <c r="M579" s="590"/>
      <c r="N579" s="590"/>
      <c r="O579" s="590"/>
      <c r="P579" s="590"/>
      <c r="Q579" s="590"/>
      <c r="R579" s="590"/>
      <c r="S579" s="590"/>
      <c r="T579" s="590"/>
      <c r="U579" s="590"/>
      <c r="V579" s="590"/>
      <c r="W579" s="590"/>
      <c r="X579" s="590"/>
      <c r="Y579" s="590"/>
      <c r="Z579" s="590"/>
    </row>
    <row r="580" spans="1:26" ht="15.75" customHeight="1">
      <c r="A580" s="590"/>
      <c r="B580" s="590"/>
      <c r="C580" s="590"/>
      <c r="D580" s="590"/>
      <c r="E580" s="590"/>
      <c r="F580" s="590"/>
      <c r="G580" s="590"/>
      <c r="H580" s="590"/>
      <c r="I580" s="590"/>
      <c r="J580" s="590"/>
      <c r="K580" s="590"/>
      <c r="L580" s="590"/>
      <c r="M580" s="590"/>
      <c r="N580" s="590"/>
      <c r="O580" s="590"/>
      <c r="P580" s="590"/>
      <c r="Q580" s="590"/>
      <c r="R580" s="590"/>
      <c r="S580" s="590"/>
      <c r="T580" s="590"/>
      <c r="U580" s="590"/>
      <c r="V580" s="590"/>
      <c r="W580" s="590"/>
      <c r="X580" s="590"/>
      <c r="Y580" s="590"/>
      <c r="Z580" s="590"/>
    </row>
    <row r="581" spans="1:26" ht="15.75" customHeight="1">
      <c r="A581" s="590"/>
      <c r="B581" s="590"/>
      <c r="C581" s="590"/>
      <c r="D581" s="590"/>
      <c r="E581" s="590"/>
      <c r="F581" s="590"/>
      <c r="G581" s="590"/>
      <c r="H581" s="590"/>
      <c r="I581" s="590"/>
      <c r="J581" s="590"/>
      <c r="K581" s="590"/>
      <c r="L581" s="590"/>
      <c r="M581" s="590"/>
      <c r="N581" s="590"/>
      <c r="O581" s="590"/>
      <c r="P581" s="590"/>
      <c r="Q581" s="590"/>
      <c r="R581" s="590"/>
      <c r="S581" s="590"/>
      <c r="T581" s="590"/>
      <c r="U581" s="590"/>
      <c r="V581" s="590"/>
      <c r="W581" s="590"/>
      <c r="X581" s="590"/>
      <c r="Y581" s="590"/>
      <c r="Z581" s="590"/>
    </row>
    <row r="582" spans="1:26" ht="15.75" customHeight="1">
      <c r="A582" s="590"/>
      <c r="B582" s="590"/>
      <c r="C582" s="590"/>
      <c r="D582" s="590"/>
      <c r="E582" s="590"/>
      <c r="F582" s="590"/>
      <c r="G582" s="590"/>
      <c r="H582" s="590"/>
      <c r="I582" s="590"/>
      <c r="J582" s="590"/>
      <c r="K582" s="590"/>
      <c r="L582" s="590"/>
      <c r="M582" s="590"/>
      <c r="N582" s="590"/>
      <c r="O582" s="590"/>
      <c r="P582" s="590"/>
      <c r="Q582" s="590"/>
      <c r="R582" s="590"/>
      <c r="S582" s="590"/>
      <c r="T582" s="590"/>
      <c r="U582" s="590"/>
      <c r="V582" s="590"/>
      <c r="W582" s="590"/>
      <c r="X582" s="590"/>
      <c r="Y582" s="590"/>
      <c r="Z582" s="590"/>
    </row>
    <row r="583" spans="1:26" ht="15.75" customHeight="1">
      <c r="A583" s="590"/>
      <c r="B583" s="590"/>
      <c r="C583" s="590"/>
      <c r="D583" s="590"/>
      <c r="E583" s="590"/>
      <c r="F583" s="590"/>
      <c r="G583" s="590"/>
      <c r="H583" s="590"/>
      <c r="I583" s="590"/>
      <c r="J583" s="590"/>
      <c r="K583" s="590"/>
      <c r="L583" s="590"/>
      <c r="M583" s="590"/>
      <c r="N583" s="590"/>
      <c r="O583" s="590"/>
      <c r="P583" s="590"/>
      <c r="Q583" s="590"/>
      <c r="R583" s="590"/>
      <c r="S583" s="590"/>
      <c r="T583" s="590"/>
      <c r="U583" s="590"/>
      <c r="V583" s="590"/>
      <c r="W583" s="590"/>
      <c r="X583" s="590"/>
      <c r="Y583" s="590"/>
      <c r="Z583" s="590"/>
    </row>
    <row r="584" spans="1:26" ht="15.75" customHeight="1">
      <c r="A584" s="590"/>
      <c r="B584" s="590"/>
      <c r="C584" s="590"/>
      <c r="D584" s="590"/>
      <c r="E584" s="590"/>
      <c r="F584" s="590"/>
      <c r="G584" s="590"/>
      <c r="H584" s="590"/>
      <c r="I584" s="590"/>
      <c r="J584" s="590"/>
      <c r="K584" s="590"/>
      <c r="L584" s="590"/>
      <c r="M584" s="590"/>
      <c r="N584" s="590"/>
      <c r="O584" s="590"/>
      <c r="P584" s="590"/>
      <c r="Q584" s="590"/>
      <c r="R584" s="590"/>
      <c r="S584" s="590"/>
      <c r="T584" s="590"/>
      <c r="U584" s="590"/>
      <c r="V584" s="590"/>
      <c r="W584" s="590"/>
      <c r="X584" s="590"/>
      <c r="Y584" s="590"/>
      <c r="Z584" s="590"/>
    </row>
    <row r="585" spans="1:26" ht="15.75" customHeight="1">
      <c r="A585" s="590"/>
      <c r="B585" s="590"/>
      <c r="C585" s="590"/>
      <c r="D585" s="590"/>
      <c r="E585" s="590"/>
      <c r="F585" s="590"/>
      <c r="G585" s="590"/>
      <c r="H585" s="590"/>
      <c r="I585" s="590"/>
      <c r="J585" s="590"/>
      <c r="K585" s="590"/>
      <c r="L585" s="590"/>
      <c r="M585" s="590"/>
      <c r="N585" s="590"/>
      <c r="O585" s="590"/>
      <c r="P585" s="590"/>
      <c r="Q585" s="590"/>
      <c r="R585" s="590"/>
      <c r="S585" s="590"/>
      <c r="T585" s="590"/>
      <c r="U585" s="590"/>
      <c r="V585" s="590"/>
      <c r="W585" s="590"/>
      <c r="X585" s="590"/>
      <c r="Y585" s="590"/>
      <c r="Z585" s="590"/>
    </row>
    <row r="586" spans="1:26" ht="15.75" customHeight="1">
      <c r="A586" s="590"/>
      <c r="B586" s="590"/>
      <c r="C586" s="590"/>
      <c r="D586" s="590"/>
      <c r="E586" s="590"/>
      <c r="F586" s="590"/>
      <c r="G586" s="590"/>
      <c r="H586" s="590"/>
      <c r="I586" s="590"/>
      <c r="J586" s="590"/>
      <c r="K586" s="590"/>
      <c r="L586" s="590"/>
      <c r="M586" s="590"/>
      <c r="N586" s="590"/>
      <c r="O586" s="590"/>
      <c r="P586" s="590"/>
      <c r="Q586" s="590"/>
      <c r="R586" s="590"/>
      <c r="S586" s="590"/>
      <c r="T586" s="590"/>
      <c r="U586" s="590"/>
      <c r="V586" s="590"/>
      <c r="W586" s="590"/>
      <c r="X586" s="590"/>
      <c r="Y586" s="590"/>
      <c r="Z586" s="590"/>
    </row>
    <row r="587" spans="1:26" ht="15.75" customHeight="1">
      <c r="A587" s="590"/>
      <c r="B587" s="590"/>
      <c r="C587" s="590"/>
      <c r="D587" s="590"/>
      <c r="E587" s="590"/>
      <c r="F587" s="590"/>
      <c r="G587" s="590"/>
      <c r="H587" s="590"/>
      <c r="I587" s="590"/>
      <c r="J587" s="590"/>
      <c r="K587" s="590"/>
      <c r="L587" s="590"/>
      <c r="M587" s="590"/>
      <c r="N587" s="590"/>
      <c r="O587" s="590"/>
      <c r="P587" s="590"/>
      <c r="Q587" s="590"/>
      <c r="R587" s="590"/>
      <c r="S587" s="590"/>
      <c r="T587" s="590"/>
      <c r="U587" s="590"/>
      <c r="V587" s="590"/>
      <c r="W587" s="590"/>
      <c r="X587" s="590"/>
      <c r="Y587" s="590"/>
      <c r="Z587" s="590"/>
    </row>
    <row r="588" spans="1:26" ht="15.75" customHeight="1">
      <c r="A588" s="590"/>
      <c r="B588" s="590"/>
      <c r="C588" s="590"/>
      <c r="D588" s="590"/>
      <c r="E588" s="590"/>
      <c r="F588" s="590"/>
      <c r="G588" s="590"/>
      <c r="H588" s="590"/>
      <c r="I588" s="590"/>
      <c r="J588" s="590"/>
      <c r="K588" s="590"/>
      <c r="L588" s="590"/>
      <c r="M588" s="590"/>
      <c r="N588" s="590"/>
      <c r="O588" s="590"/>
      <c r="P588" s="590"/>
      <c r="Q588" s="590"/>
      <c r="R588" s="590"/>
      <c r="S588" s="590"/>
      <c r="T588" s="590"/>
      <c r="U588" s="590"/>
      <c r="V588" s="590"/>
      <c r="W588" s="590"/>
      <c r="X588" s="590"/>
      <c r="Y588" s="590"/>
      <c r="Z588" s="590"/>
    </row>
    <row r="589" spans="1:26" ht="15.75" customHeight="1">
      <c r="A589" s="590"/>
      <c r="B589" s="590"/>
      <c r="C589" s="590"/>
      <c r="D589" s="590"/>
      <c r="E589" s="590"/>
      <c r="F589" s="590"/>
      <c r="G589" s="590"/>
      <c r="H589" s="590"/>
      <c r="I589" s="590"/>
      <c r="J589" s="590"/>
      <c r="K589" s="590"/>
      <c r="L589" s="590"/>
      <c r="M589" s="590"/>
      <c r="N589" s="590"/>
      <c r="O589" s="590"/>
      <c r="P589" s="590"/>
      <c r="Q589" s="590"/>
      <c r="R589" s="590"/>
      <c r="S589" s="590"/>
      <c r="T589" s="590"/>
      <c r="U589" s="590"/>
      <c r="V589" s="590"/>
      <c r="W589" s="590"/>
      <c r="X589" s="590"/>
      <c r="Y589" s="590"/>
      <c r="Z589" s="590"/>
    </row>
    <row r="590" spans="1:26" ht="15.75" customHeight="1">
      <c r="A590" s="590"/>
      <c r="B590" s="590"/>
      <c r="C590" s="590"/>
      <c r="D590" s="590"/>
      <c r="E590" s="590"/>
      <c r="F590" s="590"/>
      <c r="G590" s="590"/>
      <c r="H590" s="590"/>
      <c r="I590" s="590"/>
      <c r="J590" s="590"/>
      <c r="K590" s="590"/>
      <c r="L590" s="590"/>
      <c r="M590" s="590"/>
      <c r="N590" s="590"/>
      <c r="O590" s="590"/>
      <c r="P590" s="590"/>
      <c r="Q590" s="590"/>
      <c r="R590" s="590"/>
      <c r="S590" s="590"/>
      <c r="T590" s="590"/>
      <c r="U590" s="590"/>
      <c r="V590" s="590"/>
      <c r="W590" s="590"/>
      <c r="X590" s="590"/>
      <c r="Y590" s="590"/>
      <c r="Z590" s="590"/>
    </row>
    <row r="591" spans="1:26" ht="15.75" customHeight="1">
      <c r="A591" s="590"/>
      <c r="B591" s="590"/>
      <c r="C591" s="590"/>
      <c r="D591" s="590"/>
      <c r="E591" s="590"/>
      <c r="F591" s="590"/>
      <c r="G591" s="590"/>
      <c r="H591" s="590"/>
      <c r="I591" s="590"/>
      <c r="J591" s="590"/>
      <c r="K591" s="590"/>
      <c r="L591" s="590"/>
      <c r="M591" s="590"/>
      <c r="N591" s="590"/>
      <c r="O591" s="590"/>
      <c r="P591" s="590"/>
      <c r="Q591" s="590"/>
      <c r="R591" s="590"/>
      <c r="S591" s="590"/>
      <c r="T591" s="590"/>
      <c r="U591" s="590"/>
      <c r="V591" s="590"/>
      <c r="W591" s="590"/>
      <c r="X591" s="590"/>
      <c r="Y591" s="590"/>
      <c r="Z591" s="590"/>
    </row>
    <row r="592" spans="1:26" ht="15.75" customHeight="1">
      <c r="A592" s="590"/>
      <c r="B592" s="590"/>
      <c r="C592" s="590"/>
      <c r="D592" s="590"/>
      <c r="E592" s="590"/>
      <c r="F592" s="590"/>
      <c r="G592" s="590"/>
      <c r="H592" s="590"/>
      <c r="I592" s="590"/>
      <c r="J592" s="590"/>
      <c r="K592" s="590"/>
      <c r="L592" s="590"/>
      <c r="M592" s="590"/>
      <c r="N592" s="590"/>
      <c r="O592" s="590"/>
      <c r="P592" s="590"/>
      <c r="Q592" s="590"/>
      <c r="R592" s="590"/>
      <c r="S592" s="590"/>
      <c r="T592" s="590"/>
      <c r="U592" s="590"/>
      <c r="V592" s="590"/>
      <c r="W592" s="590"/>
      <c r="X592" s="590"/>
      <c r="Y592" s="590"/>
      <c r="Z592" s="590"/>
    </row>
    <row r="593" spans="1:26" ht="15.75" customHeight="1">
      <c r="A593" s="590"/>
      <c r="B593" s="590"/>
      <c r="C593" s="590"/>
      <c r="D593" s="590"/>
      <c r="E593" s="590"/>
      <c r="F593" s="590"/>
      <c r="G593" s="590"/>
      <c r="H593" s="590"/>
      <c r="I593" s="590"/>
      <c r="J593" s="590"/>
      <c r="K593" s="590"/>
      <c r="L593" s="590"/>
      <c r="M593" s="590"/>
      <c r="N593" s="590"/>
      <c r="O593" s="590"/>
      <c r="P593" s="590"/>
      <c r="Q593" s="590"/>
      <c r="R593" s="590"/>
      <c r="S593" s="590"/>
      <c r="T593" s="590"/>
      <c r="U593" s="590"/>
      <c r="V593" s="590"/>
      <c r="W593" s="590"/>
      <c r="X593" s="590"/>
      <c r="Y593" s="590"/>
      <c r="Z593" s="590"/>
    </row>
    <row r="594" spans="1:26" ht="15.75" customHeight="1">
      <c r="A594" s="590"/>
      <c r="B594" s="590"/>
      <c r="C594" s="590"/>
      <c r="D594" s="590"/>
      <c r="E594" s="590"/>
      <c r="F594" s="590"/>
      <c r="G594" s="590"/>
      <c r="H594" s="590"/>
      <c r="I594" s="590"/>
      <c r="J594" s="590"/>
      <c r="K594" s="590"/>
      <c r="L594" s="590"/>
      <c r="M594" s="590"/>
      <c r="N594" s="590"/>
      <c r="O594" s="590"/>
      <c r="P594" s="590"/>
      <c r="Q594" s="590"/>
      <c r="R594" s="590"/>
      <c r="S594" s="590"/>
      <c r="T594" s="590"/>
      <c r="U594" s="590"/>
      <c r="V594" s="590"/>
      <c r="W594" s="590"/>
      <c r="X594" s="590"/>
      <c r="Y594" s="590"/>
      <c r="Z594" s="590"/>
    </row>
    <row r="595" spans="1:26" ht="15.75" customHeight="1">
      <c r="A595" s="590"/>
      <c r="B595" s="590"/>
      <c r="C595" s="590"/>
      <c r="D595" s="590"/>
      <c r="E595" s="590"/>
      <c r="F595" s="590"/>
      <c r="G595" s="590"/>
      <c r="H595" s="590"/>
      <c r="I595" s="590"/>
      <c r="J595" s="590"/>
      <c r="K595" s="590"/>
      <c r="L595" s="590"/>
      <c r="M595" s="590"/>
      <c r="N595" s="590"/>
      <c r="O595" s="590"/>
      <c r="P595" s="590"/>
      <c r="Q595" s="590"/>
      <c r="R595" s="590"/>
      <c r="S595" s="590"/>
      <c r="T595" s="590"/>
      <c r="U595" s="590"/>
      <c r="V595" s="590"/>
      <c r="W595" s="590"/>
      <c r="X595" s="590"/>
      <c r="Y595" s="590"/>
      <c r="Z595" s="590"/>
    </row>
    <row r="596" spans="1:26" ht="15.75" customHeight="1">
      <c r="A596" s="590"/>
      <c r="B596" s="590"/>
      <c r="C596" s="590"/>
      <c r="D596" s="590"/>
      <c r="E596" s="590"/>
      <c r="F596" s="590"/>
      <c r="G596" s="590"/>
      <c r="H596" s="590"/>
      <c r="I596" s="590"/>
      <c r="J596" s="590"/>
      <c r="K596" s="590"/>
      <c r="L596" s="590"/>
      <c r="M596" s="590"/>
      <c r="N596" s="590"/>
      <c r="O596" s="590"/>
      <c r="P596" s="590"/>
      <c r="Q596" s="590"/>
      <c r="R596" s="590"/>
      <c r="S596" s="590"/>
      <c r="T596" s="590"/>
      <c r="U596" s="590"/>
      <c r="V596" s="590"/>
      <c r="W596" s="590"/>
      <c r="X596" s="590"/>
      <c r="Y596" s="590"/>
      <c r="Z596" s="590"/>
    </row>
    <row r="597" spans="1:26" ht="15.75" customHeight="1">
      <c r="A597" s="590"/>
      <c r="B597" s="590"/>
      <c r="C597" s="590"/>
      <c r="D597" s="590"/>
      <c r="E597" s="590"/>
      <c r="F597" s="590"/>
      <c r="G597" s="590"/>
      <c r="H597" s="590"/>
      <c r="I597" s="590"/>
      <c r="J597" s="590"/>
      <c r="K597" s="590"/>
      <c r="L597" s="590"/>
      <c r="M597" s="590"/>
      <c r="N597" s="590"/>
      <c r="O597" s="590"/>
      <c r="P597" s="590"/>
      <c r="Q597" s="590"/>
      <c r="R597" s="590"/>
      <c r="S597" s="590"/>
      <c r="T597" s="590"/>
      <c r="U597" s="590"/>
      <c r="V597" s="590"/>
      <c r="W597" s="590"/>
      <c r="X597" s="590"/>
      <c r="Y597" s="590"/>
      <c r="Z597" s="590"/>
    </row>
    <row r="598" spans="1:26" ht="15.75" customHeight="1">
      <c r="A598" s="590"/>
      <c r="B598" s="590"/>
      <c r="C598" s="590"/>
      <c r="D598" s="590"/>
      <c r="E598" s="590"/>
      <c r="F598" s="590"/>
      <c r="G598" s="590"/>
      <c r="H598" s="590"/>
      <c r="I598" s="590"/>
      <c r="J598" s="590"/>
      <c r="K598" s="590"/>
      <c r="L598" s="590"/>
      <c r="M598" s="590"/>
      <c r="N598" s="590"/>
      <c r="O598" s="590"/>
      <c r="P598" s="590"/>
      <c r="Q598" s="590"/>
      <c r="R598" s="590"/>
      <c r="S598" s="590"/>
      <c r="T598" s="590"/>
      <c r="U598" s="590"/>
      <c r="V598" s="590"/>
      <c r="W598" s="590"/>
      <c r="X598" s="590"/>
      <c r="Y598" s="590"/>
      <c r="Z598" s="590"/>
    </row>
    <row r="599" spans="1:26" ht="15.75" customHeight="1">
      <c r="A599" s="590"/>
      <c r="B599" s="590"/>
      <c r="C599" s="590"/>
      <c r="D599" s="590"/>
      <c r="E599" s="590"/>
      <c r="F599" s="590"/>
      <c r="G599" s="590"/>
      <c r="H599" s="590"/>
      <c r="I599" s="590"/>
      <c r="J599" s="590"/>
      <c r="K599" s="590"/>
      <c r="L599" s="590"/>
      <c r="M599" s="590"/>
      <c r="N599" s="590"/>
      <c r="O599" s="590"/>
      <c r="P599" s="590"/>
      <c r="Q599" s="590"/>
      <c r="R599" s="590"/>
      <c r="S599" s="590"/>
      <c r="T599" s="590"/>
      <c r="U599" s="590"/>
      <c r="V599" s="590"/>
      <c r="W599" s="590"/>
      <c r="X599" s="590"/>
      <c r="Y599" s="590"/>
      <c r="Z599" s="590"/>
    </row>
    <row r="600" spans="1:26" ht="15.75" customHeight="1">
      <c r="A600" s="590"/>
      <c r="B600" s="590"/>
      <c r="C600" s="590"/>
      <c r="D600" s="590"/>
      <c r="E600" s="590"/>
      <c r="F600" s="590"/>
      <c r="G600" s="590"/>
      <c r="H600" s="590"/>
      <c r="I600" s="590"/>
      <c r="J600" s="590"/>
      <c r="K600" s="590"/>
      <c r="L600" s="590"/>
      <c r="M600" s="590"/>
      <c r="N600" s="590"/>
      <c r="O600" s="590"/>
      <c r="P600" s="590"/>
      <c r="Q600" s="590"/>
      <c r="R600" s="590"/>
      <c r="S600" s="590"/>
      <c r="T600" s="590"/>
      <c r="U600" s="590"/>
      <c r="V600" s="590"/>
      <c r="W600" s="590"/>
      <c r="X600" s="590"/>
      <c r="Y600" s="590"/>
      <c r="Z600" s="590"/>
    </row>
    <row r="601" spans="1:26" ht="15.75" customHeight="1">
      <c r="A601" s="590"/>
      <c r="B601" s="590"/>
      <c r="C601" s="590"/>
      <c r="D601" s="590"/>
      <c r="E601" s="590"/>
      <c r="F601" s="590"/>
      <c r="G601" s="590"/>
      <c r="H601" s="590"/>
      <c r="I601" s="590"/>
      <c r="J601" s="590"/>
      <c r="K601" s="590"/>
      <c r="L601" s="590"/>
      <c r="M601" s="590"/>
      <c r="N601" s="590"/>
      <c r="O601" s="590"/>
      <c r="P601" s="590"/>
      <c r="Q601" s="590"/>
      <c r="R601" s="590"/>
      <c r="S601" s="590"/>
      <c r="T601" s="590"/>
      <c r="U601" s="590"/>
      <c r="V601" s="590"/>
      <c r="W601" s="590"/>
      <c r="X601" s="590"/>
      <c r="Y601" s="590"/>
      <c r="Z601" s="590"/>
    </row>
    <row r="602" spans="1:26" ht="15.75" customHeight="1">
      <c r="A602" s="590"/>
      <c r="B602" s="590"/>
      <c r="C602" s="590"/>
      <c r="D602" s="590"/>
      <c r="E602" s="590"/>
      <c r="F602" s="590"/>
      <c r="G602" s="590"/>
      <c r="H602" s="590"/>
      <c r="I602" s="590"/>
      <c r="J602" s="590"/>
      <c r="K602" s="590"/>
      <c r="L602" s="590"/>
      <c r="M602" s="590"/>
      <c r="N602" s="590"/>
      <c r="O602" s="590"/>
      <c r="P602" s="590"/>
      <c r="Q602" s="590"/>
      <c r="R602" s="590"/>
      <c r="S602" s="590"/>
      <c r="T602" s="590"/>
      <c r="U602" s="590"/>
      <c r="V602" s="590"/>
      <c r="W602" s="590"/>
      <c r="X602" s="590"/>
      <c r="Y602" s="590"/>
      <c r="Z602" s="590"/>
    </row>
    <row r="603" spans="1:26" ht="15.75" customHeight="1">
      <c r="A603" s="590"/>
      <c r="B603" s="590"/>
      <c r="C603" s="590"/>
      <c r="D603" s="590"/>
      <c r="E603" s="590"/>
      <c r="F603" s="590"/>
      <c r="G603" s="590"/>
      <c r="H603" s="590"/>
      <c r="I603" s="590"/>
      <c r="J603" s="590"/>
      <c r="K603" s="590"/>
      <c r="L603" s="590"/>
      <c r="M603" s="590"/>
      <c r="N603" s="590"/>
      <c r="O603" s="590"/>
      <c r="P603" s="590"/>
      <c r="Q603" s="590"/>
      <c r="R603" s="590"/>
      <c r="S603" s="590"/>
      <c r="T603" s="590"/>
      <c r="U603" s="590"/>
      <c r="V603" s="590"/>
      <c r="W603" s="590"/>
      <c r="X603" s="590"/>
      <c r="Y603" s="590"/>
      <c r="Z603" s="590"/>
    </row>
    <row r="604" spans="1:26" ht="15.75" customHeight="1">
      <c r="A604" s="590"/>
      <c r="B604" s="590"/>
      <c r="C604" s="590"/>
      <c r="D604" s="590"/>
      <c r="E604" s="590"/>
      <c r="F604" s="590"/>
      <c r="G604" s="590"/>
      <c r="H604" s="590"/>
      <c r="I604" s="590"/>
      <c r="J604" s="590"/>
      <c r="K604" s="590"/>
      <c r="L604" s="590"/>
      <c r="M604" s="590"/>
      <c r="N604" s="590"/>
      <c r="O604" s="590"/>
      <c r="P604" s="590"/>
      <c r="Q604" s="590"/>
      <c r="R604" s="590"/>
      <c r="S604" s="590"/>
      <c r="T604" s="590"/>
      <c r="U604" s="590"/>
      <c r="V604" s="590"/>
      <c r="W604" s="590"/>
      <c r="X604" s="590"/>
      <c r="Y604" s="590"/>
      <c r="Z604" s="590"/>
    </row>
    <row r="605" spans="1:26" ht="15.75" customHeight="1">
      <c r="A605" s="590"/>
      <c r="B605" s="590"/>
      <c r="C605" s="590"/>
      <c r="D605" s="590"/>
      <c r="E605" s="590"/>
      <c r="F605" s="590"/>
      <c r="G605" s="590"/>
      <c r="H605" s="590"/>
      <c r="I605" s="590"/>
      <c r="J605" s="590"/>
      <c r="K605" s="590"/>
      <c r="L605" s="590"/>
      <c r="M605" s="590"/>
      <c r="N605" s="590"/>
      <c r="O605" s="590"/>
      <c r="P605" s="590"/>
      <c r="Q605" s="590"/>
      <c r="R605" s="590"/>
      <c r="S605" s="590"/>
      <c r="T605" s="590"/>
      <c r="U605" s="590"/>
      <c r="V605" s="590"/>
      <c r="W605" s="590"/>
      <c r="X605" s="590"/>
      <c r="Y605" s="590"/>
      <c r="Z605" s="590"/>
    </row>
    <row r="606" spans="1:26" ht="15.75" customHeight="1">
      <c r="A606" s="590"/>
      <c r="B606" s="590"/>
      <c r="C606" s="590"/>
      <c r="D606" s="590"/>
      <c r="E606" s="590"/>
      <c r="F606" s="590"/>
      <c r="G606" s="590"/>
      <c r="H606" s="590"/>
      <c r="I606" s="590"/>
      <c r="J606" s="590"/>
      <c r="K606" s="590"/>
      <c r="L606" s="590"/>
      <c r="M606" s="590"/>
      <c r="N606" s="590"/>
      <c r="O606" s="590"/>
      <c r="P606" s="590"/>
      <c r="Q606" s="590"/>
      <c r="R606" s="590"/>
      <c r="S606" s="590"/>
      <c r="T606" s="590"/>
      <c r="U606" s="590"/>
      <c r="V606" s="590"/>
      <c r="W606" s="590"/>
      <c r="X606" s="590"/>
      <c r="Y606" s="590"/>
      <c r="Z606" s="590"/>
    </row>
    <row r="607" spans="1:26" ht="15.75" customHeight="1">
      <c r="A607" s="590"/>
      <c r="B607" s="590"/>
      <c r="C607" s="590"/>
      <c r="D607" s="590"/>
      <c r="E607" s="590"/>
      <c r="F607" s="590"/>
      <c r="G607" s="590"/>
      <c r="H607" s="590"/>
      <c r="I607" s="590"/>
      <c r="J607" s="590"/>
      <c r="K607" s="590"/>
      <c r="L607" s="590"/>
      <c r="M607" s="590"/>
      <c r="N607" s="590"/>
      <c r="O607" s="590"/>
      <c r="P607" s="590"/>
      <c r="Q607" s="590"/>
      <c r="R607" s="590"/>
      <c r="S607" s="590"/>
      <c r="T607" s="590"/>
      <c r="U607" s="590"/>
      <c r="V607" s="590"/>
      <c r="W607" s="590"/>
      <c r="X607" s="590"/>
      <c r="Y607" s="590"/>
      <c r="Z607" s="590"/>
    </row>
    <row r="608" spans="1:26" ht="15.75" customHeight="1">
      <c r="A608" s="590"/>
      <c r="B608" s="590"/>
      <c r="C608" s="590"/>
      <c r="D608" s="590"/>
      <c r="E608" s="590"/>
      <c r="F608" s="590"/>
      <c r="G608" s="590"/>
      <c r="H608" s="590"/>
      <c r="I608" s="590"/>
      <c r="J608" s="590"/>
      <c r="K608" s="590"/>
      <c r="L608" s="590"/>
      <c r="M608" s="590"/>
      <c r="N608" s="590"/>
      <c r="O608" s="590"/>
      <c r="P608" s="590"/>
      <c r="Q608" s="590"/>
      <c r="R608" s="590"/>
      <c r="S608" s="590"/>
      <c r="T608" s="590"/>
      <c r="U608" s="590"/>
      <c r="V608" s="590"/>
      <c r="W608" s="590"/>
      <c r="X608" s="590"/>
      <c r="Y608" s="590"/>
      <c r="Z608" s="590"/>
    </row>
    <row r="609" spans="1:26" ht="15.75" customHeight="1">
      <c r="A609" s="590"/>
      <c r="B609" s="590"/>
      <c r="C609" s="590"/>
      <c r="D609" s="590"/>
      <c r="E609" s="590"/>
      <c r="F609" s="590"/>
      <c r="G609" s="590"/>
      <c r="H609" s="590"/>
      <c r="I609" s="590"/>
      <c r="J609" s="590"/>
      <c r="K609" s="590"/>
      <c r="L609" s="590"/>
      <c r="M609" s="590"/>
      <c r="N609" s="590"/>
      <c r="O609" s="590"/>
      <c r="P609" s="590"/>
      <c r="Q609" s="590"/>
      <c r="R609" s="590"/>
      <c r="S609" s="590"/>
      <c r="T609" s="590"/>
      <c r="U609" s="590"/>
      <c r="V609" s="590"/>
      <c r="W609" s="590"/>
      <c r="X609" s="590"/>
      <c r="Y609" s="590"/>
      <c r="Z609" s="590"/>
    </row>
    <row r="610" spans="1:26" ht="15.75" customHeight="1">
      <c r="A610" s="590"/>
      <c r="B610" s="590"/>
      <c r="C610" s="590"/>
      <c r="D610" s="590"/>
      <c r="E610" s="590"/>
      <c r="F610" s="590"/>
      <c r="G610" s="590"/>
      <c r="H610" s="590"/>
      <c r="I610" s="590"/>
      <c r="J610" s="590"/>
      <c r="K610" s="590"/>
      <c r="L610" s="590"/>
      <c r="M610" s="590"/>
      <c r="N610" s="590"/>
      <c r="O610" s="590"/>
      <c r="P610" s="590"/>
      <c r="Q610" s="590"/>
      <c r="R610" s="590"/>
      <c r="S610" s="590"/>
      <c r="T610" s="590"/>
      <c r="U610" s="590"/>
      <c r="V610" s="590"/>
      <c r="W610" s="590"/>
      <c r="X610" s="590"/>
      <c r="Y610" s="590"/>
      <c r="Z610" s="590"/>
    </row>
    <row r="611" spans="1:26" ht="15.75" customHeight="1">
      <c r="A611" s="590"/>
      <c r="B611" s="590"/>
      <c r="C611" s="590"/>
      <c r="D611" s="590"/>
      <c r="E611" s="590"/>
      <c r="F611" s="590"/>
      <c r="G611" s="590"/>
      <c r="H611" s="590"/>
      <c r="I611" s="590"/>
      <c r="J611" s="590"/>
      <c r="K611" s="590"/>
      <c r="L611" s="590"/>
      <c r="M611" s="590"/>
      <c r="N611" s="590"/>
      <c r="O611" s="590"/>
      <c r="P611" s="590"/>
      <c r="Q611" s="590"/>
      <c r="R611" s="590"/>
      <c r="S611" s="590"/>
      <c r="T611" s="590"/>
      <c r="U611" s="590"/>
      <c r="V611" s="590"/>
      <c r="W611" s="590"/>
      <c r="X611" s="590"/>
      <c r="Y611" s="590"/>
      <c r="Z611" s="590"/>
    </row>
    <row r="612" spans="1:26" ht="15.75" customHeight="1">
      <c r="A612" s="590"/>
      <c r="B612" s="590"/>
      <c r="C612" s="590"/>
      <c r="D612" s="590"/>
      <c r="E612" s="590"/>
      <c r="F612" s="590"/>
      <c r="G612" s="590"/>
      <c r="H612" s="590"/>
      <c r="I612" s="590"/>
      <c r="J612" s="590"/>
      <c r="K612" s="590"/>
      <c r="L612" s="590"/>
      <c r="M612" s="590"/>
      <c r="N612" s="590"/>
      <c r="O612" s="590"/>
      <c r="P612" s="590"/>
      <c r="Q612" s="590"/>
      <c r="R612" s="590"/>
      <c r="S612" s="590"/>
      <c r="T612" s="590"/>
      <c r="U612" s="590"/>
      <c r="V612" s="590"/>
      <c r="W612" s="590"/>
      <c r="X612" s="590"/>
      <c r="Y612" s="590"/>
      <c r="Z612" s="590"/>
    </row>
    <row r="613" spans="1:26" ht="15.75" customHeight="1">
      <c r="A613" s="590"/>
      <c r="B613" s="590"/>
      <c r="C613" s="590"/>
      <c r="D613" s="590"/>
      <c r="E613" s="590"/>
      <c r="F613" s="590"/>
      <c r="G613" s="590"/>
      <c r="H613" s="590"/>
      <c r="I613" s="590"/>
      <c r="J613" s="590"/>
      <c r="K613" s="590"/>
      <c r="L613" s="590"/>
      <c r="M613" s="590"/>
      <c r="N613" s="590"/>
      <c r="O613" s="590"/>
      <c r="P613" s="590"/>
      <c r="Q613" s="590"/>
      <c r="R613" s="590"/>
      <c r="S613" s="590"/>
      <c r="T613" s="590"/>
      <c r="U613" s="590"/>
      <c r="V613" s="590"/>
      <c r="W613" s="590"/>
      <c r="X613" s="590"/>
      <c r="Y613" s="590"/>
      <c r="Z613" s="590"/>
    </row>
    <row r="614" spans="1:26" ht="15.75" customHeight="1">
      <c r="A614" s="590"/>
      <c r="B614" s="590"/>
      <c r="C614" s="590"/>
      <c r="D614" s="590"/>
      <c r="E614" s="590"/>
      <c r="F614" s="590"/>
      <c r="G614" s="590"/>
      <c r="H614" s="590"/>
      <c r="I614" s="590"/>
      <c r="J614" s="590"/>
      <c r="K614" s="590"/>
      <c r="L614" s="590"/>
      <c r="M614" s="590"/>
      <c r="N614" s="590"/>
      <c r="O614" s="590"/>
      <c r="P614" s="590"/>
      <c r="Q614" s="590"/>
      <c r="R614" s="590"/>
      <c r="S614" s="590"/>
      <c r="T614" s="590"/>
      <c r="U614" s="590"/>
      <c r="V614" s="590"/>
      <c r="W614" s="590"/>
      <c r="X614" s="590"/>
      <c r="Y614" s="590"/>
      <c r="Z614" s="590"/>
    </row>
    <row r="615" spans="1:26" ht="15.75" customHeight="1">
      <c r="A615" s="590"/>
      <c r="B615" s="590"/>
      <c r="C615" s="590"/>
      <c r="D615" s="590"/>
      <c r="E615" s="590"/>
      <c r="F615" s="590"/>
      <c r="G615" s="590"/>
      <c r="H615" s="590"/>
      <c r="I615" s="590"/>
      <c r="J615" s="590"/>
      <c r="K615" s="590"/>
      <c r="L615" s="590"/>
      <c r="M615" s="590"/>
      <c r="N615" s="590"/>
      <c r="O615" s="590"/>
      <c r="P615" s="590"/>
      <c r="Q615" s="590"/>
      <c r="R615" s="590"/>
      <c r="S615" s="590"/>
      <c r="T615" s="590"/>
      <c r="U615" s="590"/>
      <c r="V615" s="590"/>
      <c r="W615" s="590"/>
      <c r="X615" s="590"/>
      <c r="Y615" s="590"/>
      <c r="Z615" s="590"/>
    </row>
    <row r="616" spans="1:26" ht="15.75" customHeight="1">
      <c r="A616" s="590"/>
      <c r="B616" s="590"/>
      <c r="C616" s="590"/>
      <c r="D616" s="590"/>
      <c r="E616" s="590"/>
      <c r="F616" s="590"/>
      <c r="G616" s="590"/>
      <c r="H616" s="590"/>
      <c r="I616" s="590"/>
      <c r="J616" s="590"/>
      <c r="K616" s="590"/>
      <c r="L616" s="590"/>
      <c r="M616" s="590"/>
      <c r="N616" s="590"/>
      <c r="O616" s="590"/>
      <c r="P616" s="590"/>
      <c r="Q616" s="590"/>
      <c r="R616" s="590"/>
      <c r="S616" s="590"/>
      <c r="T616" s="590"/>
      <c r="U616" s="590"/>
      <c r="V616" s="590"/>
      <c r="W616" s="590"/>
      <c r="X616" s="590"/>
      <c r="Y616" s="590"/>
      <c r="Z616" s="590"/>
    </row>
    <row r="617" spans="1:26" ht="15.75" customHeight="1">
      <c r="A617" s="590"/>
      <c r="B617" s="590"/>
      <c r="C617" s="590"/>
      <c r="D617" s="590"/>
      <c r="E617" s="590"/>
      <c r="F617" s="590"/>
      <c r="G617" s="590"/>
      <c r="H617" s="590"/>
      <c r="I617" s="590"/>
      <c r="J617" s="590"/>
      <c r="K617" s="590"/>
      <c r="L617" s="590"/>
      <c r="M617" s="590"/>
      <c r="N617" s="590"/>
      <c r="O617" s="590"/>
      <c r="P617" s="590"/>
      <c r="Q617" s="590"/>
      <c r="R617" s="590"/>
      <c r="S617" s="590"/>
      <c r="T617" s="590"/>
      <c r="U617" s="590"/>
      <c r="V617" s="590"/>
      <c r="W617" s="590"/>
      <c r="X617" s="590"/>
      <c r="Y617" s="590"/>
      <c r="Z617" s="590"/>
    </row>
    <row r="618" spans="1:26" ht="15.75" customHeight="1">
      <c r="A618" s="590"/>
      <c r="B618" s="590"/>
      <c r="C618" s="590"/>
      <c r="D618" s="590"/>
      <c r="E618" s="590"/>
      <c r="F618" s="590"/>
      <c r="G618" s="590"/>
      <c r="H618" s="590"/>
      <c r="I618" s="590"/>
      <c r="J618" s="590"/>
      <c r="K618" s="590"/>
      <c r="L618" s="590"/>
      <c r="M618" s="590"/>
      <c r="N618" s="590"/>
      <c r="O618" s="590"/>
      <c r="P618" s="590"/>
      <c r="Q618" s="590"/>
      <c r="R618" s="590"/>
      <c r="S618" s="590"/>
      <c r="T618" s="590"/>
      <c r="U618" s="590"/>
      <c r="V618" s="590"/>
      <c r="W618" s="590"/>
      <c r="X618" s="590"/>
      <c r="Y618" s="590"/>
      <c r="Z618" s="590"/>
    </row>
    <row r="619" spans="1:26" ht="15.75" customHeight="1">
      <c r="A619" s="590"/>
      <c r="B619" s="590"/>
      <c r="C619" s="590"/>
      <c r="D619" s="590"/>
      <c r="E619" s="590"/>
      <c r="F619" s="590"/>
      <c r="G619" s="590"/>
      <c r="H619" s="590"/>
      <c r="I619" s="590"/>
      <c r="J619" s="590"/>
      <c r="K619" s="590"/>
      <c r="L619" s="590"/>
      <c r="M619" s="590"/>
      <c r="N619" s="590"/>
      <c r="O619" s="590"/>
      <c r="P619" s="590"/>
      <c r="Q619" s="590"/>
      <c r="R619" s="590"/>
      <c r="S619" s="590"/>
      <c r="T619" s="590"/>
      <c r="U619" s="590"/>
      <c r="V619" s="590"/>
      <c r="W619" s="590"/>
      <c r="X619" s="590"/>
      <c r="Y619" s="590"/>
      <c r="Z619" s="590"/>
    </row>
    <row r="620" spans="1:26" ht="15.75" customHeight="1">
      <c r="A620" s="590"/>
      <c r="B620" s="590"/>
      <c r="C620" s="590"/>
      <c r="D620" s="590"/>
      <c r="E620" s="590"/>
      <c r="F620" s="590"/>
      <c r="G620" s="590"/>
      <c r="H620" s="590"/>
      <c r="I620" s="590"/>
      <c r="J620" s="590"/>
      <c r="K620" s="590"/>
      <c r="L620" s="590"/>
      <c r="M620" s="590"/>
      <c r="N620" s="590"/>
      <c r="O620" s="590"/>
      <c r="P620" s="590"/>
      <c r="Q620" s="590"/>
      <c r="R620" s="590"/>
      <c r="S620" s="590"/>
      <c r="T620" s="590"/>
      <c r="U620" s="590"/>
      <c r="V620" s="590"/>
      <c r="W620" s="590"/>
      <c r="X620" s="590"/>
      <c r="Y620" s="590"/>
      <c r="Z620" s="590"/>
    </row>
    <row r="621" spans="1:26" ht="15.75" customHeight="1">
      <c r="A621" s="590"/>
      <c r="B621" s="590"/>
      <c r="C621" s="590"/>
      <c r="D621" s="590"/>
      <c r="E621" s="590"/>
      <c r="F621" s="590"/>
      <c r="G621" s="590"/>
      <c r="H621" s="590"/>
      <c r="I621" s="590"/>
      <c r="J621" s="590"/>
      <c r="K621" s="590"/>
      <c r="L621" s="590"/>
      <c r="M621" s="590"/>
      <c r="N621" s="590"/>
      <c r="O621" s="590"/>
      <c r="P621" s="590"/>
      <c r="Q621" s="590"/>
      <c r="R621" s="590"/>
      <c r="S621" s="590"/>
      <c r="T621" s="590"/>
      <c r="U621" s="590"/>
      <c r="V621" s="590"/>
      <c r="W621" s="590"/>
      <c r="X621" s="590"/>
      <c r="Y621" s="590"/>
      <c r="Z621" s="590"/>
    </row>
    <row r="622" spans="1:26" ht="15.75" customHeight="1">
      <c r="A622" s="590"/>
      <c r="B622" s="590"/>
      <c r="C622" s="590"/>
      <c r="D622" s="590"/>
      <c r="E622" s="590"/>
      <c r="F622" s="590"/>
      <c r="G622" s="590"/>
      <c r="H622" s="590"/>
      <c r="I622" s="590"/>
      <c r="J622" s="590"/>
      <c r="K622" s="590"/>
      <c r="L622" s="590"/>
      <c r="M622" s="590"/>
      <c r="N622" s="590"/>
      <c r="O622" s="590"/>
      <c r="P622" s="590"/>
      <c r="Q622" s="590"/>
      <c r="R622" s="590"/>
      <c r="S622" s="590"/>
      <c r="T622" s="590"/>
      <c r="U622" s="590"/>
      <c r="V622" s="590"/>
      <c r="W622" s="590"/>
      <c r="X622" s="590"/>
      <c r="Y622" s="590"/>
      <c r="Z622" s="590"/>
    </row>
    <row r="623" spans="1:26" ht="15.75" customHeight="1">
      <c r="A623" s="590"/>
      <c r="B623" s="590"/>
      <c r="C623" s="590"/>
      <c r="D623" s="590"/>
      <c r="E623" s="590"/>
      <c r="F623" s="590"/>
      <c r="G623" s="590"/>
      <c r="H623" s="590"/>
      <c r="I623" s="590"/>
      <c r="J623" s="590"/>
      <c r="K623" s="590"/>
      <c r="L623" s="590"/>
      <c r="M623" s="590"/>
      <c r="N623" s="590"/>
      <c r="O623" s="590"/>
      <c r="P623" s="590"/>
      <c r="Q623" s="590"/>
      <c r="R623" s="590"/>
      <c r="S623" s="590"/>
      <c r="T623" s="590"/>
      <c r="U623" s="590"/>
      <c r="V623" s="590"/>
      <c r="W623" s="590"/>
      <c r="X623" s="590"/>
      <c r="Y623" s="590"/>
      <c r="Z623" s="590"/>
    </row>
    <row r="624" spans="1:26" ht="15.75" customHeight="1">
      <c r="A624" s="590"/>
      <c r="B624" s="590"/>
      <c r="C624" s="590"/>
      <c r="D624" s="590"/>
      <c r="E624" s="590"/>
      <c r="F624" s="590"/>
      <c r="G624" s="590"/>
      <c r="H624" s="590"/>
      <c r="I624" s="590"/>
      <c r="J624" s="590"/>
      <c r="K624" s="590"/>
      <c r="L624" s="590"/>
      <c r="M624" s="590"/>
      <c r="N624" s="590"/>
      <c r="O624" s="590"/>
      <c r="P624" s="590"/>
      <c r="Q624" s="590"/>
      <c r="R624" s="590"/>
      <c r="S624" s="590"/>
      <c r="T624" s="590"/>
      <c r="U624" s="590"/>
      <c r="V624" s="590"/>
      <c r="W624" s="590"/>
      <c r="X624" s="590"/>
      <c r="Y624" s="590"/>
      <c r="Z624" s="590"/>
    </row>
    <row r="625" spans="1:26" ht="15.75" customHeight="1">
      <c r="A625" s="590"/>
      <c r="B625" s="590"/>
      <c r="C625" s="590"/>
      <c r="D625" s="590"/>
      <c r="E625" s="590"/>
      <c r="F625" s="590"/>
      <c r="G625" s="590"/>
      <c r="H625" s="590"/>
      <c r="I625" s="590"/>
      <c r="J625" s="590"/>
      <c r="K625" s="590"/>
      <c r="L625" s="590"/>
      <c r="M625" s="590"/>
      <c r="N625" s="590"/>
      <c r="O625" s="590"/>
      <c r="P625" s="590"/>
      <c r="Q625" s="590"/>
      <c r="R625" s="590"/>
      <c r="S625" s="590"/>
      <c r="T625" s="590"/>
      <c r="U625" s="590"/>
      <c r="V625" s="590"/>
      <c r="W625" s="590"/>
      <c r="X625" s="590"/>
      <c r="Y625" s="590"/>
      <c r="Z625" s="590"/>
    </row>
    <row r="626" spans="1:26" ht="15.75" customHeight="1">
      <c r="A626" s="590"/>
      <c r="B626" s="590"/>
      <c r="C626" s="590"/>
      <c r="D626" s="590"/>
      <c r="E626" s="590"/>
      <c r="F626" s="590"/>
      <c r="G626" s="590"/>
      <c r="H626" s="590"/>
      <c r="I626" s="590"/>
      <c r="J626" s="590"/>
      <c r="K626" s="590"/>
      <c r="L626" s="590"/>
      <c r="M626" s="590"/>
      <c r="N626" s="590"/>
      <c r="O626" s="590"/>
      <c r="P626" s="590"/>
      <c r="Q626" s="590"/>
      <c r="R626" s="590"/>
      <c r="S626" s="590"/>
      <c r="T626" s="590"/>
      <c r="U626" s="590"/>
      <c r="V626" s="590"/>
      <c r="W626" s="590"/>
      <c r="X626" s="590"/>
      <c r="Y626" s="590"/>
      <c r="Z626" s="590"/>
    </row>
    <row r="627" spans="1:26" ht="15.75" customHeight="1">
      <c r="A627" s="590"/>
      <c r="B627" s="590"/>
      <c r="C627" s="590"/>
      <c r="D627" s="590"/>
      <c r="E627" s="590"/>
      <c r="F627" s="590"/>
      <c r="G627" s="590"/>
      <c r="H627" s="590"/>
      <c r="I627" s="590"/>
      <c r="J627" s="590"/>
      <c r="K627" s="590"/>
      <c r="L627" s="590"/>
      <c r="M627" s="590"/>
      <c r="N627" s="590"/>
      <c r="O627" s="590"/>
      <c r="P627" s="590"/>
      <c r="Q627" s="590"/>
      <c r="R627" s="590"/>
      <c r="S627" s="590"/>
      <c r="T627" s="590"/>
      <c r="U627" s="590"/>
      <c r="V627" s="590"/>
      <c r="W627" s="590"/>
      <c r="X627" s="590"/>
      <c r="Y627" s="590"/>
      <c r="Z627" s="590"/>
    </row>
    <row r="628" spans="1:26" ht="15.75" customHeight="1">
      <c r="A628" s="590"/>
      <c r="B628" s="590"/>
      <c r="C628" s="590"/>
      <c r="D628" s="590"/>
      <c r="E628" s="590"/>
      <c r="F628" s="590"/>
      <c r="G628" s="590"/>
      <c r="H628" s="590"/>
      <c r="I628" s="590"/>
      <c r="J628" s="590"/>
      <c r="K628" s="590"/>
      <c r="L628" s="590"/>
      <c r="M628" s="590"/>
      <c r="N628" s="590"/>
      <c r="O628" s="590"/>
      <c r="P628" s="590"/>
      <c r="Q628" s="590"/>
      <c r="R628" s="590"/>
      <c r="S628" s="590"/>
      <c r="T628" s="590"/>
      <c r="U628" s="590"/>
      <c r="V628" s="590"/>
      <c r="W628" s="590"/>
      <c r="X628" s="590"/>
      <c r="Y628" s="590"/>
      <c r="Z628" s="590"/>
    </row>
    <row r="629" spans="1:26" ht="15.75" customHeight="1">
      <c r="A629" s="590"/>
      <c r="B629" s="590"/>
      <c r="C629" s="590"/>
      <c r="D629" s="590"/>
      <c r="E629" s="590"/>
      <c r="F629" s="590"/>
      <c r="G629" s="590"/>
      <c r="H629" s="590"/>
      <c r="I629" s="590"/>
      <c r="J629" s="590"/>
      <c r="K629" s="590"/>
      <c r="L629" s="590"/>
      <c r="M629" s="590"/>
      <c r="N629" s="590"/>
      <c r="O629" s="590"/>
      <c r="P629" s="590"/>
      <c r="Q629" s="590"/>
      <c r="R629" s="590"/>
      <c r="S629" s="590"/>
      <c r="T629" s="590"/>
      <c r="U629" s="590"/>
      <c r="V629" s="590"/>
      <c r="W629" s="590"/>
      <c r="X629" s="590"/>
      <c r="Y629" s="590"/>
      <c r="Z629" s="590"/>
    </row>
    <row r="630" spans="1:26" ht="15.75" customHeight="1">
      <c r="A630" s="590"/>
      <c r="B630" s="590"/>
      <c r="C630" s="590"/>
      <c r="D630" s="590"/>
      <c r="E630" s="590"/>
      <c r="F630" s="590"/>
      <c r="G630" s="590"/>
      <c r="H630" s="590"/>
      <c r="I630" s="590"/>
      <c r="J630" s="590"/>
      <c r="K630" s="590"/>
      <c r="L630" s="590"/>
      <c r="M630" s="590"/>
      <c r="N630" s="590"/>
      <c r="O630" s="590"/>
      <c r="P630" s="590"/>
      <c r="Q630" s="590"/>
      <c r="R630" s="590"/>
      <c r="S630" s="590"/>
      <c r="T630" s="590"/>
      <c r="U630" s="590"/>
      <c r="V630" s="590"/>
      <c r="W630" s="590"/>
      <c r="X630" s="590"/>
      <c r="Y630" s="590"/>
      <c r="Z630" s="590"/>
    </row>
    <row r="631" spans="1:26" ht="15.75" customHeight="1">
      <c r="A631" s="590"/>
      <c r="B631" s="590"/>
      <c r="C631" s="590"/>
      <c r="D631" s="590"/>
      <c r="E631" s="590"/>
      <c r="F631" s="590"/>
      <c r="G631" s="590"/>
      <c r="H631" s="590"/>
      <c r="I631" s="590"/>
      <c r="J631" s="590"/>
      <c r="K631" s="590"/>
      <c r="L631" s="590"/>
      <c r="M631" s="590"/>
      <c r="N631" s="590"/>
      <c r="O631" s="590"/>
      <c r="P631" s="590"/>
      <c r="Q631" s="590"/>
      <c r="R631" s="590"/>
      <c r="S631" s="590"/>
      <c r="T631" s="590"/>
      <c r="U631" s="590"/>
      <c r="V631" s="590"/>
      <c r="W631" s="590"/>
      <c r="X631" s="590"/>
      <c r="Y631" s="590"/>
      <c r="Z631" s="590"/>
    </row>
    <row r="632" spans="1:26" ht="15.75" customHeight="1">
      <c r="A632" s="590"/>
      <c r="B632" s="590"/>
      <c r="C632" s="590"/>
      <c r="D632" s="590"/>
      <c r="E632" s="590"/>
      <c r="F632" s="590"/>
      <c r="G632" s="590"/>
      <c r="H632" s="590"/>
      <c r="I632" s="590"/>
      <c r="J632" s="590"/>
      <c r="K632" s="590"/>
      <c r="L632" s="590"/>
      <c r="M632" s="590"/>
      <c r="N632" s="590"/>
      <c r="O632" s="590"/>
      <c r="P632" s="590"/>
      <c r="Q632" s="590"/>
      <c r="R632" s="590"/>
      <c r="S632" s="590"/>
      <c r="T632" s="590"/>
      <c r="U632" s="590"/>
      <c r="V632" s="590"/>
      <c r="W632" s="590"/>
      <c r="X632" s="590"/>
      <c r="Y632" s="590"/>
      <c r="Z632" s="590"/>
    </row>
    <row r="633" spans="1:26" ht="15.75" customHeight="1">
      <c r="A633" s="590"/>
      <c r="B633" s="590"/>
      <c r="C633" s="590"/>
      <c r="D633" s="590"/>
      <c r="E633" s="590"/>
      <c r="F633" s="590"/>
      <c r="G633" s="590"/>
      <c r="H633" s="590"/>
      <c r="I633" s="590"/>
      <c r="J633" s="590"/>
      <c r="K633" s="590"/>
      <c r="L633" s="590"/>
      <c r="M633" s="590"/>
      <c r="N633" s="590"/>
      <c r="O633" s="590"/>
      <c r="P633" s="590"/>
      <c r="Q633" s="590"/>
      <c r="R633" s="590"/>
      <c r="S633" s="590"/>
      <c r="T633" s="590"/>
      <c r="U633" s="590"/>
      <c r="V633" s="590"/>
      <c r="W633" s="590"/>
      <c r="X633" s="590"/>
      <c r="Y633" s="590"/>
      <c r="Z633" s="590"/>
    </row>
    <row r="634" spans="1:26" ht="15.75" customHeight="1">
      <c r="A634" s="590"/>
      <c r="B634" s="590"/>
      <c r="C634" s="590"/>
      <c r="D634" s="590"/>
      <c r="E634" s="590"/>
      <c r="F634" s="590"/>
      <c r="G634" s="590"/>
      <c r="H634" s="590"/>
      <c r="I634" s="590"/>
      <c r="J634" s="590"/>
      <c r="K634" s="590"/>
      <c r="L634" s="590"/>
      <c r="M634" s="590"/>
      <c r="N634" s="590"/>
      <c r="O634" s="590"/>
      <c r="P634" s="590"/>
      <c r="Q634" s="590"/>
      <c r="R634" s="590"/>
      <c r="S634" s="590"/>
      <c r="T634" s="590"/>
      <c r="U634" s="590"/>
      <c r="V634" s="590"/>
      <c r="W634" s="590"/>
      <c r="X634" s="590"/>
      <c r="Y634" s="590"/>
      <c r="Z634" s="590"/>
    </row>
    <row r="635" spans="1:26" ht="15.75" customHeight="1">
      <c r="A635" s="590"/>
      <c r="B635" s="590"/>
      <c r="C635" s="590"/>
      <c r="D635" s="590"/>
      <c r="E635" s="590"/>
      <c r="F635" s="590"/>
      <c r="G635" s="590"/>
      <c r="H635" s="590"/>
      <c r="I635" s="590"/>
      <c r="J635" s="590"/>
      <c r="K635" s="590"/>
      <c r="L635" s="590"/>
      <c r="M635" s="590"/>
      <c r="N635" s="590"/>
      <c r="O635" s="590"/>
      <c r="P635" s="590"/>
      <c r="Q635" s="590"/>
      <c r="R635" s="590"/>
      <c r="S635" s="590"/>
      <c r="T635" s="590"/>
      <c r="U635" s="590"/>
      <c r="V635" s="590"/>
      <c r="W635" s="590"/>
      <c r="X635" s="590"/>
      <c r="Y635" s="590"/>
      <c r="Z635" s="590"/>
    </row>
    <row r="636" spans="1:26" ht="15.75" customHeight="1">
      <c r="A636" s="590"/>
      <c r="B636" s="590"/>
      <c r="C636" s="590"/>
      <c r="D636" s="590"/>
      <c r="E636" s="590"/>
      <c r="F636" s="590"/>
      <c r="G636" s="590"/>
      <c r="H636" s="590"/>
      <c r="I636" s="590"/>
      <c r="J636" s="590"/>
      <c r="K636" s="590"/>
      <c r="L636" s="590"/>
      <c r="M636" s="590"/>
      <c r="N636" s="590"/>
      <c r="O636" s="590"/>
      <c r="P636" s="590"/>
      <c r="Q636" s="590"/>
      <c r="R636" s="590"/>
      <c r="S636" s="590"/>
      <c r="T636" s="590"/>
      <c r="U636" s="590"/>
      <c r="V636" s="590"/>
      <c r="W636" s="590"/>
      <c r="X636" s="590"/>
      <c r="Y636" s="590"/>
      <c r="Z636" s="590"/>
    </row>
    <row r="637" spans="1:26" ht="15.75" customHeight="1">
      <c r="A637" s="590"/>
      <c r="B637" s="590"/>
      <c r="C637" s="590"/>
      <c r="D637" s="590"/>
      <c r="E637" s="590"/>
      <c r="F637" s="590"/>
      <c r="G637" s="590"/>
      <c r="H637" s="590"/>
      <c r="I637" s="590"/>
      <c r="J637" s="590"/>
      <c r="K637" s="590"/>
      <c r="L637" s="590"/>
      <c r="M637" s="590"/>
      <c r="N637" s="590"/>
      <c r="O637" s="590"/>
      <c r="P637" s="590"/>
      <c r="Q637" s="590"/>
      <c r="R637" s="590"/>
      <c r="S637" s="590"/>
      <c r="T637" s="590"/>
      <c r="U637" s="590"/>
      <c r="V637" s="590"/>
      <c r="W637" s="590"/>
      <c r="X637" s="590"/>
      <c r="Y637" s="590"/>
      <c r="Z637" s="590"/>
    </row>
    <row r="638" spans="1:26" ht="15.75" customHeight="1">
      <c r="A638" s="590"/>
      <c r="B638" s="590"/>
      <c r="C638" s="590"/>
      <c r="D638" s="590"/>
      <c r="E638" s="590"/>
      <c r="F638" s="590"/>
      <c r="G638" s="590"/>
      <c r="H638" s="590"/>
      <c r="I638" s="590"/>
      <c r="J638" s="590"/>
      <c r="K638" s="590"/>
      <c r="L638" s="590"/>
      <c r="M638" s="590"/>
      <c r="N638" s="590"/>
      <c r="O638" s="590"/>
      <c r="P638" s="590"/>
      <c r="Q638" s="590"/>
      <c r="R638" s="590"/>
      <c r="S638" s="590"/>
      <c r="T638" s="590"/>
      <c r="U638" s="590"/>
      <c r="V638" s="590"/>
      <c r="W638" s="590"/>
      <c r="X638" s="590"/>
      <c r="Y638" s="590"/>
      <c r="Z638" s="590"/>
    </row>
    <row r="639" spans="1:26" ht="15.75" customHeight="1">
      <c r="A639" s="590"/>
      <c r="B639" s="590"/>
      <c r="C639" s="590"/>
      <c r="D639" s="590"/>
      <c r="E639" s="590"/>
      <c r="F639" s="590"/>
      <c r="G639" s="590"/>
      <c r="H639" s="590"/>
      <c r="I639" s="590"/>
      <c r="J639" s="590"/>
      <c r="K639" s="590"/>
      <c r="L639" s="590"/>
      <c r="M639" s="590"/>
      <c r="N639" s="590"/>
      <c r="O639" s="590"/>
      <c r="P639" s="590"/>
      <c r="Q639" s="590"/>
      <c r="R639" s="590"/>
      <c r="S639" s="590"/>
      <c r="T639" s="590"/>
      <c r="U639" s="590"/>
      <c r="V639" s="590"/>
      <c r="W639" s="590"/>
      <c r="X639" s="590"/>
      <c r="Y639" s="590"/>
      <c r="Z639" s="590"/>
    </row>
    <row r="640" spans="1:26" ht="15.75" customHeight="1">
      <c r="A640" s="590"/>
      <c r="B640" s="590"/>
      <c r="C640" s="590"/>
      <c r="D640" s="590"/>
      <c r="E640" s="590"/>
      <c r="F640" s="590"/>
      <c r="G640" s="590"/>
      <c r="H640" s="590"/>
      <c r="I640" s="590"/>
      <c r="J640" s="590"/>
      <c r="K640" s="590"/>
      <c r="L640" s="590"/>
      <c r="M640" s="590"/>
      <c r="N640" s="590"/>
      <c r="O640" s="590"/>
      <c r="P640" s="590"/>
      <c r="Q640" s="590"/>
      <c r="R640" s="590"/>
      <c r="S640" s="590"/>
      <c r="T640" s="590"/>
      <c r="U640" s="590"/>
      <c r="V640" s="590"/>
      <c r="W640" s="590"/>
      <c r="X640" s="590"/>
      <c r="Y640" s="590"/>
      <c r="Z640" s="590"/>
    </row>
    <row r="641" spans="1:26" ht="15.75" customHeight="1">
      <c r="A641" s="590"/>
      <c r="B641" s="590"/>
      <c r="C641" s="590"/>
      <c r="D641" s="590"/>
      <c r="E641" s="590"/>
      <c r="F641" s="590"/>
      <c r="G641" s="590"/>
      <c r="H641" s="590"/>
      <c r="I641" s="590"/>
      <c r="J641" s="590"/>
      <c r="K641" s="590"/>
      <c r="L641" s="590"/>
      <c r="M641" s="590"/>
      <c r="N641" s="590"/>
      <c r="O641" s="590"/>
      <c r="P641" s="590"/>
      <c r="Q641" s="590"/>
      <c r="R641" s="590"/>
      <c r="S641" s="590"/>
      <c r="T641" s="590"/>
      <c r="U641" s="590"/>
      <c r="V641" s="590"/>
      <c r="W641" s="590"/>
      <c r="X641" s="590"/>
      <c r="Y641" s="590"/>
      <c r="Z641" s="590"/>
    </row>
    <row r="642" spans="1:26" ht="15.75" customHeight="1">
      <c r="A642" s="590"/>
      <c r="B642" s="590"/>
      <c r="C642" s="590"/>
      <c r="D642" s="590"/>
      <c r="E642" s="590"/>
      <c r="F642" s="590"/>
      <c r="G642" s="590"/>
      <c r="H642" s="590"/>
      <c r="I642" s="590"/>
      <c r="J642" s="590"/>
      <c r="K642" s="590"/>
      <c r="L642" s="590"/>
      <c r="M642" s="590"/>
      <c r="N642" s="590"/>
      <c r="O642" s="590"/>
      <c r="P642" s="590"/>
      <c r="Q642" s="590"/>
      <c r="R642" s="590"/>
      <c r="S642" s="590"/>
      <c r="T642" s="590"/>
      <c r="U642" s="590"/>
      <c r="V642" s="590"/>
      <c r="W642" s="590"/>
      <c r="X642" s="590"/>
      <c r="Y642" s="590"/>
      <c r="Z642" s="590"/>
    </row>
    <row r="643" spans="1:26" ht="15.75" customHeight="1">
      <c r="A643" s="590"/>
      <c r="B643" s="590"/>
      <c r="C643" s="590"/>
      <c r="D643" s="590"/>
      <c r="E643" s="590"/>
      <c r="F643" s="590"/>
      <c r="G643" s="590"/>
      <c r="H643" s="590"/>
      <c r="I643" s="590"/>
      <c r="J643" s="590"/>
      <c r="K643" s="590"/>
      <c r="L643" s="590"/>
      <c r="M643" s="590"/>
      <c r="N643" s="590"/>
      <c r="O643" s="590"/>
      <c r="P643" s="590"/>
      <c r="Q643" s="590"/>
      <c r="R643" s="590"/>
      <c r="S643" s="590"/>
      <c r="T643" s="590"/>
      <c r="U643" s="590"/>
      <c r="V643" s="590"/>
      <c r="W643" s="590"/>
      <c r="X643" s="590"/>
      <c r="Y643" s="590"/>
      <c r="Z643" s="590"/>
    </row>
    <row r="644" spans="1:26" ht="15.75" customHeight="1">
      <c r="A644" s="590"/>
      <c r="B644" s="590"/>
      <c r="C644" s="590"/>
      <c r="D644" s="590"/>
      <c r="E644" s="590"/>
      <c r="F644" s="590"/>
      <c r="G644" s="590"/>
      <c r="H644" s="590"/>
      <c r="I644" s="590"/>
      <c r="J644" s="590"/>
      <c r="K644" s="590"/>
      <c r="L644" s="590"/>
      <c r="M644" s="590"/>
      <c r="N644" s="590"/>
      <c r="O644" s="590"/>
      <c r="P644" s="590"/>
      <c r="Q644" s="590"/>
      <c r="R644" s="590"/>
      <c r="S644" s="590"/>
      <c r="T644" s="590"/>
      <c r="U644" s="590"/>
      <c r="V644" s="590"/>
      <c r="W644" s="590"/>
      <c r="X644" s="590"/>
      <c r="Y644" s="590"/>
      <c r="Z644" s="590"/>
    </row>
    <row r="645" spans="1:26" ht="15.75" customHeight="1">
      <c r="A645" s="590"/>
      <c r="B645" s="590"/>
      <c r="C645" s="590"/>
      <c r="D645" s="590"/>
      <c r="E645" s="590"/>
      <c r="F645" s="590"/>
      <c r="G645" s="590"/>
      <c r="H645" s="590"/>
      <c r="I645" s="590"/>
      <c r="J645" s="590"/>
      <c r="K645" s="590"/>
      <c r="L645" s="590"/>
      <c r="M645" s="590"/>
      <c r="N645" s="590"/>
      <c r="O645" s="590"/>
      <c r="P645" s="590"/>
      <c r="Q645" s="590"/>
      <c r="R645" s="590"/>
      <c r="S645" s="590"/>
      <c r="T645" s="590"/>
      <c r="U645" s="590"/>
      <c r="V645" s="590"/>
      <c r="W645" s="590"/>
      <c r="X645" s="590"/>
      <c r="Y645" s="590"/>
      <c r="Z645" s="590"/>
    </row>
    <row r="646" spans="1:26" ht="15.75" customHeight="1">
      <c r="A646" s="590"/>
      <c r="B646" s="590"/>
      <c r="C646" s="590"/>
      <c r="D646" s="590"/>
      <c r="E646" s="590"/>
      <c r="F646" s="590"/>
      <c r="G646" s="590"/>
      <c r="H646" s="590"/>
      <c r="I646" s="590"/>
      <c r="J646" s="590"/>
      <c r="K646" s="590"/>
      <c r="L646" s="590"/>
      <c r="M646" s="590"/>
      <c r="N646" s="590"/>
      <c r="O646" s="590"/>
      <c r="P646" s="590"/>
      <c r="Q646" s="590"/>
      <c r="R646" s="590"/>
      <c r="S646" s="590"/>
      <c r="T646" s="590"/>
      <c r="U646" s="590"/>
      <c r="V646" s="590"/>
      <c r="W646" s="590"/>
      <c r="X646" s="590"/>
      <c r="Y646" s="590"/>
      <c r="Z646" s="590"/>
    </row>
    <row r="647" spans="1:26" ht="15.75" customHeight="1">
      <c r="A647" s="590"/>
      <c r="B647" s="590"/>
      <c r="C647" s="590"/>
      <c r="D647" s="590"/>
      <c r="E647" s="590"/>
      <c r="F647" s="590"/>
      <c r="G647" s="590"/>
      <c r="H647" s="590"/>
      <c r="I647" s="590"/>
      <c r="J647" s="590"/>
      <c r="K647" s="590"/>
      <c r="L647" s="590"/>
      <c r="M647" s="590"/>
      <c r="N647" s="590"/>
      <c r="O647" s="590"/>
      <c r="P647" s="590"/>
      <c r="Q647" s="590"/>
      <c r="R647" s="590"/>
      <c r="S647" s="590"/>
      <c r="T647" s="590"/>
      <c r="U647" s="590"/>
      <c r="V647" s="590"/>
      <c r="W647" s="590"/>
      <c r="X647" s="590"/>
      <c r="Y647" s="590"/>
      <c r="Z647" s="590"/>
    </row>
    <row r="648" spans="1:26" ht="15.75" customHeight="1">
      <c r="A648" s="590"/>
      <c r="B648" s="590"/>
      <c r="C648" s="590"/>
      <c r="D648" s="590"/>
      <c r="E648" s="590"/>
      <c r="F648" s="590"/>
      <c r="G648" s="590"/>
      <c r="H648" s="590"/>
      <c r="I648" s="590"/>
      <c r="J648" s="590"/>
      <c r="K648" s="590"/>
      <c r="L648" s="590"/>
      <c r="M648" s="590"/>
      <c r="N648" s="590"/>
      <c r="O648" s="590"/>
      <c r="P648" s="590"/>
      <c r="Q648" s="590"/>
      <c r="R648" s="590"/>
      <c r="S648" s="590"/>
      <c r="T648" s="590"/>
      <c r="U648" s="590"/>
      <c r="V648" s="590"/>
      <c r="W648" s="590"/>
      <c r="X648" s="590"/>
      <c r="Y648" s="590"/>
      <c r="Z648" s="590"/>
    </row>
    <row r="649" spans="1:26" ht="15.75" customHeight="1">
      <c r="A649" s="590"/>
      <c r="B649" s="590"/>
      <c r="C649" s="590"/>
      <c r="D649" s="590"/>
      <c r="E649" s="590"/>
      <c r="F649" s="590"/>
      <c r="G649" s="590"/>
      <c r="H649" s="590"/>
      <c r="I649" s="590"/>
      <c r="J649" s="590"/>
      <c r="K649" s="590"/>
      <c r="L649" s="590"/>
      <c r="M649" s="590"/>
      <c r="N649" s="590"/>
      <c r="O649" s="590"/>
      <c r="P649" s="590"/>
      <c r="Q649" s="590"/>
      <c r="R649" s="590"/>
      <c r="S649" s="590"/>
      <c r="T649" s="590"/>
      <c r="U649" s="590"/>
      <c r="V649" s="590"/>
      <c r="W649" s="590"/>
      <c r="X649" s="590"/>
      <c r="Y649" s="590"/>
      <c r="Z649" s="590"/>
    </row>
    <row r="650" spans="1:26" ht="15.75" customHeight="1">
      <c r="A650" s="590"/>
      <c r="B650" s="590"/>
      <c r="C650" s="590"/>
      <c r="D650" s="590"/>
      <c r="E650" s="590"/>
      <c r="F650" s="590"/>
      <c r="G650" s="590"/>
      <c r="H650" s="590"/>
      <c r="I650" s="590"/>
      <c r="J650" s="590"/>
      <c r="K650" s="590"/>
      <c r="L650" s="590"/>
      <c r="M650" s="590"/>
      <c r="N650" s="590"/>
      <c r="O650" s="590"/>
      <c r="P650" s="590"/>
      <c r="Q650" s="590"/>
      <c r="R650" s="590"/>
      <c r="S650" s="590"/>
      <c r="T650" s="590"/>
      <c r="U650" s="590"/>
      <c r="V650" s="590"/>
      <c r="W650" s="590"/>
      <c r="X650" s="590"/>
      <c r="Y650" s="590"/>
      <c r="Z650" s="590"/>
    </row>
    <row r="651" spans="1:26" ht="15.75" customHeight="1">
      <c r="A651" s="590"/>
      <c r="B651" s="590"/>
      <c r="C651" s="590"/>
      <c r="D651" s="590"/>
      <c r="E651" s="590"/>
      <c r="F651" s="590"/>
      <c r="G651" s="590"/>
      <c r="H651" s="590"/>
      <c r="I651" s="590"/>
      <c r="J651" s="590"/>
      <c r="K651" s="590"/>
      <c r="L651" s="590"/>
      <c r="M651" s="590"/>
      <c r="N651" s="590"/>
      <c r="O651" s="590"/>
      <c r="P651" s="590"/>
      <c r="Q651" s="590"/>
      <c r="R651" s="590"/>
      <c r="S651" s="590"/>
      <c r="T651" s="590"/>
      <c r="U651" s="590"/>
      <c r="V651" s="590"/>
      <c r="W651" s="590"/>
      <c r="X651" s="590"/>
      <c r="Y651" s="590"/>
      <c r="Z651" s="590"/>
    </row>
    <row r="652" spans="1:26" ht="15.75" customHeight="1">
      <c r="A652" s="590"/>
      <c r="B652" s="590"/>
      <c r="C652" s="590"/>
      <c r="D652" s="590"/>
      <c r="E652" s="590"/>
      <c r="F652" s="590"/>
      <c r="G652" s="590"/>
      <c r="H652" s="590"/>
      <c r="I652" s="590"/>
      <c r="J652" s="590"/>
      <c r="K652" s="590"/>
      <c r="L652" s="590"/>
      <c r="M652" s="590"/>
      <c r="N652" s="590"/>
      <c r="O652" s="590"/>
      <c r="P652" s="590"/>
      <c r="Q652" s="590"/>
      <c r="R652" s="590"/>
      <c r="S652" s="590"/>
      <c r="T652" s="590"/>
      <c r="U652" s="590"/>
      <c r="V652" s="590"/>
      <c r="W652" s="590"/>
      <c r="X652" s="590"/>
      <c r="Y652" s="590"/>
      <c r="Z652" s="590"/>
    </row>
    <row r="653" spans="1:26" ht="15.75" customHeight="1">
      <c r="A653" s="590"/>
      <c r="B653" s="590"/>
      <c r="C653" s="590"/>
      <c r="D653" s="590"/>
      <c r="E653" s="590"/>
      <c r="F653" s="590"/>
      <c r="G653" s="590"/>
      <c r="H653" s="590"/>
      <c r="I653" s="590"/>
      <c r="J653" s="590"/>
      <c r="K653" s="590"/>
      <c r="L653" s="590"/>
      <c r="M653" s="590"/>
      <c r="N653" s="590"/>
      <c r="O653" s="590"/>
      <c r="P653" s="590"/>
      <c r="Q653" s="590"/>
      <c r="R653" s="590"/>
      <c r="S653" s="590"/>
      <c r="T653" s="590"/>
      <c r="U653" s="590"/>
      <c r="V653" s="590"/>
      <c r="W653" s="590"/>
      <c r="X653" s="590"/>
      <c r="Y653" s="590"/>
      <c r="Z653" s="590"/>
    </row>
    <row r="654" spans="1:26" ht="15.75" customHeight="1">
      <c r="A654" s="590"/>
      <c r="B654" s="590"/>
      <c r="C654" s="590"/>
      <c r="D654" s="590"/>
      <c r="E654" s="590"/>
      <c r="F654" s="590"/>
      <c r="G654" s="590"/>
      <c r="H654" s="590"/>
      <c r="I654" s="590"/>
      <c r="J654" s="590"/>
      <c r="K654" s="590"/>
      <c r="L654" s="590"/>
      <c r="M654" s="590"/>
      <c r="N654" s="590"/>
      <c r="O654" s="590"/>
      <c r="P654" s="590"/>
      <c r="Q654" s="590"/>
      <c r="R654" s="590"/>
      <c r="S654" s="590"/>
      <c r="T654" s="590"/>
      <c r="U654" s="590"/>
      <c r="V654" s="590"/>
      <c r="W654" s="590"/>
      <c r="X654" s="590"/>
      <c r="Y654" s="590"/>
      <c r="Z654" s="590"/>
    </row>
    <row r="655" spans="1:26" ht="15.75" customHeight="1">
      <c r="A655" s="590"/>
      <c r="B655" s="590"/>
      <c r="C655" s="590"/>
      <c r="D655" s="590"/>
      <c r="E655" s="590"/>
      <c r="F655" s="590"/>
      <c r="G655" s="590"/>
      <c r="H655" s="590"/>
      <c r="I655" s="590"/>
      <c r="J655" s="590"/>
      <c r="K655" s="590"/>
      <c r="L655" s="590"/>
      <c r="M655" s="590"/>
      <c r="N655" s="590"/>
      <c r="O655" s="590"/>
      <c r="P655" s="590"/>
      <c r="Q655" s="590"/>
      <c r="R655" s="590"/>
      <c r="S655" s="590"/>
      <c r="T655" s="590"/>
      <c r="U655" s="590"/>
      <c r="V655" s="590"/>
      <c r="W655" s="590"/>
      <c r="X655" s="590"/>
      <c r="Y655" s="590"/>
      <c r="Z655" s="590"/>
    </row>
    <row r="656" spans="1:26" ht="15.75" customHeight="1">
      <c r="A656" s="590"/>
      <c r="B656" s="590"/>
      <c r="C656" s="590"/>
      <c r="D656" s="590"/>
      <c r="E656" s="590"/>
      <c r="F656" s="590"/>
      <c r="G656" s="590"/>
      <c r="H656" s="590"/>
      <c r="I656" s="590"/>
      <c r="J656" s="590"/>
      <c r="K656" s="590"/>
      <c r="L656" s="590"/>
      <c r="M656" s="590"/>
      <c r="N656" s="590"/>
      <c r="O656" s="590"/>
      <c r="P656" s="590"/>
      <c r="Q656" s="590"/>
      <c r="R656" s="590"/>
      <c r="S656" s="590"/>
      <c r="T656" s="590"/>
      <c r="U656" s="590"/>
      <c r="V656" s="590"/>
      <c r="W656" s="590"/>
      <c r="X656" s="590"/>
      <c r="Y656" s="590"/>
      <c r="Z656" s="590"/>
    </row>
    <row r="657" spans="1:26" ht="15.75" customHeight="1">
      <c r="A657" s="590"/>
      <c r="B657" s="590"/>
      <c r="C657" s="590"/>
      <c r="D657" s="590"/>
      <c r="E657" s="590"/>
      <c r="F657" s="590"/>
      <c r="G657" s="590"/>
      <c r="H657" s="590"/>
      <c r="I657" s="590"/>
      <c r="J657" s="590"/>
      <c r="K657" s="590"/>
      <c r="L657" s="590"/>
      <c r="M657" s="590"/>
      <c r="N657" s="590"/>
      <c r="O657" s="590"/>
      <c r="P657" s="590"/>
      <c r="Q657" s="590"/>
      <c r="R657" s="590"/>
      <c r="S657" s="590"/>
      <c r="T657" s="590"/>
      <c r="U657" s="590"/>
      <c r="V657" s="590"/>
      <c r="W657" s="590"/>
      <c r="X657" s="590"/>
      <c r="Y657" s="590"/>
      <c r="Z657" s="590"/>
    </row>
    <row r="658" spans="1:26" ht="15.75" customHeight="1">
      <c r="A658" s="590"/>
      <c r="B658" s="590"/>
      <c r="C658" s="590"/>
      <c r="D658" s="590"/>
      <c r="E658" s="590"/>
      <c r="F658" s="590"/>
      <c r="G658" s="590"/>
      <c r="H658" s="590"/>
      <c r="I658" s="590"/>
      <c r="J658" s="590"/>
      <c r="K658" s="590"/>
      <c r="L658" s="590"/>
      <c r="M658" s="590"/>
      <c r="N658" s="590"/>
      <c r="O658" s="590"/>
      <c r="P658" s="590"/>
      <c r="Q658" s="590"/>
      <c r="R658" s="590"/>
      <c r="S658" s="590"/>
      <c r="T658" s="590"/>
      <c r="U658" s="590"/>
      <c r="V658" s="590"/>
      <c r="W658" s="590"/>
      <c r="X658" s="590"/>
      <c r="Y658" s="590"/>
      <c r="Z658" s="590"/>
    </row>
    <row r="659" spans="1:26" ht="15.75" customHeight="1">
      <c r="A659" s="590"/>
      <c r="B659" s="590"/>
      <c r="C659" s="590"/>
      <c r="D659" s="590"/>
      <c r="E659" s="590"/>
      <c r="F659" s="590"/>
      <c r="G659" s="590"/>
      <c r="H659" s="590"/>
      <c r="I659" s="590"/>
      <c r="J659" s="590"/>
      <c r="K659" s="590"/>
      <c r="L659" s="590"/>
      <c r="M659" s="590"/>
      <c r="N659" s="590"/>
      <c r="O659" s="590"/>
      <c r="P659" s="590"/>
      <c r="Q659" s="590"/>
      <c r="R659" s="590"/>
      <c r="S659" s="590"/>
      <c r="T659" s="590"/>
      <c r="U659" s="590"/>
      <c r="V659" s="590"/>
      <c r="W659" s="590"/>
      <c r="X659" s="590"/>
      <c r="Y659" s="590"/>
      <c r="Z659" s="590"/>
    </row>
    <row r="660" spans="1:26" ht="15.75" customHeight="1">
      <c r="A660" s="590"/>
      <c r="B660" s="590"/>
      <c r="C660" s="590"/>
      <c r="D660" s="590"/>
      <c r="E660" s="590"/>
      <c r="F660" s="590"/>
      <c r="G660" s="590"/>
      <c r="H660" s="590"/>
      <c r="I660" s="590"/>
      <c r="J660" s="590"/>
      <c r="K660" s="590"/>
      <c r="L660" s="590"/>
      <c r="M660" s="590"/>
      <c r="N660" s="590"/>
      <c r="O660" s="590"/>
      <c r="P660" s="590"/>
      <c r="Q660" s="590"/>
      <c r="R660" s="590"/>
      <c r="S660" s="590"/>
      <c r="T660" s="590"/>
      <c r="U660" s="590"/>
      <c r="V660" s="590"/>
      <c r="W660" s="590"/>
      <c r="X660" s="590"/>
      <c r="Y660" s="590"/>
      <c r="Z660" s="590"/>
    </row>
    <row r="661" spans="1:26" ht="15.75" customHeight="1">
      <c r="A661" s="590"/>
      <c r="B661" s="590"/>
      <c r="C661" s="590"/>
      <c r="D661" s="590"/>
      <c r="E661" s="590"/>
      <c r="F661" s="590"/>
      <c r="G661" s="590"/>
      <c r="H661" s="590"/>
      <c r="I661" s="590"/>
      <c r="J661" s="590"/>
      <c r="K661" s="590"/>
      <c r="L661" s="590"/>
      <c r="M661" s="590"/>
      <c r="N661" s="590"/>
      <c r="O661" s="590"/>
      <c r="P661" s="590"/>
      <c r="Q661" s="590"/>
      <c r="R661" s="590"/>
      <c r="S661" s="590"/>
      <c r="T661" s="590"/>
      <c r="U661" s="590"/>
      <c r="V661" s="590"/>
      <c r="W661" s="590"/>
      <c r="X661" s="590"/>
      <c r="Y661" s="590"/>
      <c r="Z661" s="590"/>
    </row>
    <row r="662" spans="1:26" ht="15.75" customHeight="1">
      <c r="A662" s="590"/>
      <c r="B662" s="590"/>
      <c r="C662" s="590"/>
      <c r="D662" s="590"/>
      <c r="E662" s="590"/>
      <c r="F662" s="590"/>
      <c r="G662" s="590"/>
      <c r="H662" s="590"/>
      <c r="I662" s="590"/>
      <c r="J662" s="590"/>
      <c r="K662" s="590"/>
      <c r="L662" s="590"/>
      <c r="M662" s="590"/>
      <c r="N662" s="590"/>
      <c r="O662" s="590"/>
      <c r="P662" s="590"/>
      <c r="Q662" s="590"/>
      <c r="R662" s="590"/>
      <c r="S662" s="590"/>
      <c r="T662" s="590"/>
      <c r="U662" s="590"/>
      <c r="V662" s="590"/>
      <c r="W662" s="590"/>
      <c r="X662" s="590"/>
      <c r="Y662" s="590"/>
      <c r="Z662" s="590"/>
    </row>
    <row r="663" spans="1:26" ht="15.75" customHeight="1">
      <c r="A663" s="590"/>
      <c r="B663" s="590"/>
      <c r="C663" s="590"/>
      <c r="D663" s="590"/>
      <c r="E663" s="590"/>
      <c r="F663" s="590"/>
      <c r="G663" s="590"/>
      <c r="H663" s="590"/>
      <c r="I663" s="590"/>
      <c r="J663" s="590"/>
      <c r="K663" s="590"/>
      <c r="L663" s="590"/>
      <c r="M663" s="590"/>
      <c r="N663" s="590"/>
      <c r="O663" s="590"/>
      <c r="P663" s="590"/>
      <c r="Q663" s="590"/>
      <c r="R663" s="590"/>
      <c r="S663" s="590"/>
      <c r="T663" s="590"/>
      <c r="U663" s="590"/>
      <c r="V663" s="590"/>
      <c r="W663" s="590"/>
      <c r="X663" s="590"/>
      <c r="Y663" s="590"/>
      <c r="Z663" s="590"/>
    </row>
    <row r="664" spans="1:26" ht="15.75" customHeight="1">
      <c r="A664" s="590"/>
      <c r="B664" s="590"/>
      <c r="C664" s="590"/>
      <c r="D664" s="590"/>
      <c r="E664" s="590"/>
      <c r="F664" s="590"/>
      <c r="G664" s="590"/>
      <c r="H664" s="590"/>
      <c r="I664" s="590"/>
      <c r="J664" s="590"/>
      <c r="K664" s="590"/>
      <c r="L664" s="590"/>
      <c r="M664" s="590"/>
      <c r="N664" s="590"/>
      <c r="O664" s="590"/>
      <c r="P664" s="590"/>
      <c r="Q664" s="590"/>
      <c r="R664" s="590"/>
      <c r="S664" s="590"/>
      <c r="T664" s="590"/>
      <c r="U664" s="590"/>
      <c r="V664" s="590"/>
      <c r="W664" s="590"/>
      <c r="X664" s="590"/>
      <c r="Y664" s="590"/>
      <c r="Z664" s="590"/>
    </row>
    <row r="665" spans="1:26" ht="15.75" customHeight="1">
      <c r="A665" s="590"/>
      <c r="B665" s="590"/>
      <c r="C665" s="590"/>
      <c r="D665" s="590"/>
      <c r="E665" s="590"/>
      <c r="F665" s="590"/>
      <c r="G665" s="590"/>
      <c r="H665" s="590"/>
      <c r="I665" s="590"/>
      <c r="J665" s="590"/>
      <c r="K665" s="590"/>
      <c r="L665" s="590"/>
      <c r="M665" s="590"/>
      <c r="N665" s="590"/>
      <c r="O665" s="590"/>
      <c r="P665" s="590"/>
      <c r="Q665" s="590"/>
      <c r="R665" s="590"/>
      <c r="S665" s="590"/>
      <c r="T665" s="590"/>
      <c r="U665" s="590"/>
      <c r="V665" s="590"/>
      <c r="W665" s="590"/>
      <c r="X665" s="590"/>
      <c r="Y665" s="590"/>
      <c r="Z665" s="590"/>
    </row>
    <row r="666" spans="1:26" ht="15.75" customHeight="1">
      <c r="A666" s="590"/>
      <c r="B666" s="590"/>
      <c r="C666" s="590"/>
      <c r="D666" s="590"/>
      <c r="E666" s="590"/>
      <c r="F666" s="590"/>
      <c r="G666" s="590"/>
      <c r="H666" s="590"/>
      <c r="I666" s="590"/>
      <c r="J666" s="590"/>
      <c r="K666" s="590"/>
      <c r="L666" s="590"/>
      <c r="M666" s="590"/>
      <c r="N666" s="590"/>
      <c r="O666" s="590"/>
      <c r="P666" s="590"/>
      <c r="Q666" s="590"/>
      <c r="R666" s="590"/>
      <c r="S666" s="590"/>
      <c r="T666" s="590"/>
      <c r="U666" s="590"/>
      <c r="V666" s="590"/>
      <c r="W666" s="590"/>
      <c r="X666" s="590"/>
      <c r="Y666" s="590"/>
      <c r="Z666" s="590"/>
    </row>
    <row r="667" spans="1:26" ht="15.75" customHeight="1">
      <c r="A667" s="590"/>
      <c r="B667" s="590"/>
      <c r="C667" s="590"/>
      <c r="D667" s="590"/>
      <c r="E667" s="590"/>
      <c r="F667" s="590"/>
      <c r="G667" s="590"/>
      <c r="H667" s="590"/>
      <c r="I667" s="590"/>
      <c r="J667" s="590"/>
      <c r="K667" s="590"/>
      <c r="L667" s="590"/>
      <c r="M667" s="590"/>
      <c r="N667" s="590"/>
      <c r="O667" s="590"/>
      <c r="P667" s="590"/>
      <c r="Q667" s="590"/>
      <c r="R667" s="590"/>
      <c r="S667" s="590"/>
      <c r="T667" s="590"/>
      <c r="U667" s="590"/>
      <c r="V667" s="590"/>
      <c r="W667" s="590"/>
      <c r="X667" s="590"/>
      <c r="Y667" s="590"/>
      <c r="Z667" s="590"/>
    </row>
    <row r="668" spans="1:26" ht="15.75" customHeight="1">
      <c r="A668" s="590"/>
      <c r="B668" s="590"/>
      <c r="C668" s="590"/>
      <c r="D668" s="590"/>
      <c r="E668" s="590"/>
      <c r="F668" s="590"/>
      <c r="G668" s="590"/>
      <c r="H668" s="590"/>
      <c r="I668" s="590"/>
      <c r="J668" s="590"/>
      <c r="K668" s="590"/>
      <c r="L668" s="590"/>
      <c r="M668" s="590"/>
      <c r="N668" s="590"/>
      <c r="O668" s="590"/>
      <c r="P668" s="590"/>
      <c r="Q668" s="590"/>
      <c r="R668" s="590"/>
      <c r="S668" s="590"/>
      <c r="T668" s="590"/>
      <c r="U668" s="590"/>
      <c r="V668" s="590"/>
      <c r="W668" s="590"/>
      <c r="X668" s="590"/>
      <c r="Y668" s="590"/>
      <c r="Z668" s="590"/>
    </row>
    <row r="669" spans="1:26" ht="15.75" customHeight="1">
      <c r="A669" s="590"/>
      <c r="B669" s="590"/>
      <c r="C669" s="590"/>
      <c r="D669" s="590"/>
      <c r="E669" s="590"/>
      <c r="F669" s="590"/>
      <c r="G669" s="590"/>
      <c r="H669" s="590"/>
      <c r="I669" s="590"/>
      <c r="J669" s="590"/>
      <c r="K669" s="590"/>
      <c r="L669" s="590"/>
      <c r="M669" s="590"/>
      <c r="N669" s="590"/>
      <c r="O669" s="590"/>
      <c r="P669" s="590"/>
      <c r="Q669" s="590"/>
      <c r="R669" s="590"/>
      <c r="S669" s="590"/>
      <c r="T669" s="590"/>
      <c r="U669" s="590"/>
      <c r="V669" s="590"/>
      <c r="W669" s="590"/>
      <c r="X669" s="590"/>
      <c r="Y669" s="590"/>
      <c r="Z669" s="590"/>
    </row>
    <row r="670" spans="1:26" ht="15.75" customHeight="1">
      <c r="A670" s="590"/>
      <c r="B670" s="590"/>
      <c r="C670" s="590"/>
      <c r="D670" s="590"/>
      <c r="E670" s="590"/>
      <c r="F670" s="590"/>
      <c r="G670" s="590"/>
      <c r="H670" s="590"/>
      <c r="I670" s="590"/>
      <c r="J670" s="590"/>
      <c r="K670" s="590"/>
      <c r="L670" s="590"/>
      <c r="M670" s="590"/>
      <c r="N670" s="590"/>
      <c r="O670" s="590"/>
      <c r="P670" s="590"/>
      <c r="Q670" s="590"/>
      <c r="R670" s="590"/>
      <c r="S670" s="590"/>
      <c r="T670" s="590"/>
      <c r="U670" s="590"/>
      <c r="V670" s="590"/>
      <c r="W670" s="590"/>
      <c r="X670" s="590"/>
      <c r="Y670" s="590"/>
      <c r="Z670" s="590"/>
    </row>
    <row r="671" spans="1:26" ht="15.75" customHeight="1">
      <c r="A671" s="590"/>
      <c r="B671" s="590"/>
      <c r="C671" s="590"/>
      <c r="D671" s="590"/>
      <c r="E671" s="590"/>
      <c r="F671" s="590"/>
      <c r="G671" s="590"/>
      <c r="H671" s="590"/>
      <c r="I671" s="590"/>
      <c r="J671" s="590"/>
      <c r="K671" s="590"/>
      <c r="L671" s="590"/>
      <c r="M671" s="590"/>
      <c r="N671" s="590"/>
      <c r="O671" s="590"/>
      <c r="P671" s="590"/>
      <c r="Q671" s="590"/>
      <c r="R671" s="590"/>
      <c r="S671" s="590"/>
      <c r="T671" s="590"/>
      <c r="U671" s="590"/>
      <c r="V671" s="590"/>
      <c r="W671" s="590"/>
      <c r="X671" s="590"/>
      <c r="Y671" s="590"/>
      <c r="Z671" s="590"/>
    </row>
    <row r="672" spans="1:26" ht="15.75" customHeight="1">
      <c r="A672" s="590"/>
      <c r="B672" s="590"/>
      <c r="C672" s="590"/>
      <c r="D672" s="590"/>
      <c r="E672" s="590"/>
      <c r="F672" s="590"/>
      <c r="G672" s="590"/>
      <c r="H672" s="590"/>
      <c r="I672" s="590"/>
      <c r="J672" s="590"/>
      <c r="K672" s="590"/>
      <c r="L672" s="590"/>
      <c r="M672" s="590"/>
      <c r="N672" s="590"/>
      <c r="O672" s="590"/>
      <c r="P672" s="590"/>
      <c r="Q672" s="590"/>
      <c r="R672" s="590"/>
      <c r="S672" s="590"/>
      <c r="T672" s="590"/>
      <c r="U672" s="590"/>
      <c r="V672" s="590"/>
      <c r="W672" s="590"/>
      <c r="X672" s="590"/>
      <c r="Y672" s="590"/>
      <c r="Z672" s="590"/>
    </row>
    <row r="673" spans="1:26" ht="15.75" customHeight="1">
      <c r="A673" s="590"/>
      <c r="B673" s="590"/>
      <c r="C673" s="590"/>
      <c r="D673" s="590"/>
      <c r="E673" s="590"/>
      <c r="F673" s="590"/>
      <c r="G673" s="590"/>
      <c r="H673" s="590"/>
      <c r="I673" s="590"/>
      <c r="J673" s="590"/>
      <c r="K673" s="590"/>
      <c r="L673" s="590"/>
      <c r="M673" s="590"/>
      <c r="N673" s="590"/>
      <c r="O673" s="590"/>
      <c r="P673" s="590"/>
      <c r="Q673" s="590"/>
      <c r="R673" s="590"/>
      <c r="S673" s="590"/>
      <c r="T673" s="590"/>
      <c r="U673" s="590"/>
      <c r="V673" s="590"/>
      <c r="W673" s="590"/>
      <c r="X673" s="590"/>
      <c r="Y673" s="590"/>
      <c r="Z673" s="590"/>
    </row>
    <row r="674" spans="1:26" ht="15.75" customHeight="1">
      <c r="A674" s="590"/>
      <c r="B674" s="590"/>
      <c r="C674" s="590"/>
      <c r="D674" s="590"/>
      <c r="E674" s="590"/>
      <c r="F674" s="590"/>
      <c r="G674" s="590"/>
      <c r="H674" s="590"/>
      <c r="I674" s="590"/>
      <c r="J674" s="590"/>
      <c r="K674" s="590"/>
      <c r="L674" s="590"/>
      <c r="M674" s="590"/>
      <c r="N674" s="590"/>
      <c r="O674" s="590"/>
      <c r="P674" s="590"/>
      <c r="Q674" s="590"/>
      <c r="R674" s="590"/>
      <c r="S674" s="590"/>
      <c r="T674" s="590"/>
      <c r="U674" s="590"/>
      <c r="V674" s="590"/>
      <c r="W674" s="590"/>
      <c r="X674" s="590"/>
      <c r="Y674" s="590"/>
      <c r="Z674" s="590"/>
    </row>
    <row r="675" spans="1:26" ht="15.75" customHeight="1">
      <c r="A675" s="590"/>
      <c r="B675" s="590"/>
      <c r="C675" s="590"/>
      <c r="D675" s="590"/>
      <c r="E675" s="590"/>
      <c r="F675" s="590"/>
      <c r="G675" s="590"/>
      <c r="H675" s="590"/>
      <c r="I675" s="590"/>
      <c r="J675" s="590"/>
      <c r="K675" s="590"/>
      <c r="L675" s="590"/>
      <c r="M675" s="590"/>
      <c r="N675" s="590"/>
      <c r="O675" s="590"/>
      <c r="P675" s="590"/>
      <c r="Q675" s="590"/>
      <c r="R675" s="590"/>
      <c r="S675" s="590"/>
      <c r="T675" s="590"/>
      <c r="U675" s="590"/>
      <c r="V675" s="590"/>
      <c r="W675" s="590"/>
      <c r="X675" s="590"/>
      <c r="Y675" s="590"/>
      <c r="Z675" s="590"/>
    </row>
    <row r="676" spans="1:26" ht="15.75" customHeight="1">
      <c r="A676" s="590"/>
      <c r="B676" s="590"/>
      <c r="C676" s="590"/>
      <c r="D676" s="590"/>
      <c r="E676" s="590"/>
      <c r="F676" s="590"/>
      <c r="G676" s="590"/>
      <c r="H676" s="590"/>
      <c r="I676" s="590"/>
      <c r="J676" s="590"/>
      <c r="K676" s="590"/>
      <c r="L676" s="590"/>
      <c r="M676" s="590"/>
      <c r="N676" s="590"/>
      <c r="O676" s="590"/>
      <c r="P676" s="590"/>
      <c r="Q676" s="590"/>
      <c r="R676" s="590"/>
      <c r="S676" s="590"/>
      <c r="T676" s="590"/>
      <c r="U676" s="590"/>
      <c r="V676" s="590"/>
      <c r="W676" s="590"/>
      <c r="X676" s="590"/>
      <c r="Y676" s="590"/>
      <c r="Z676" s="590"/>
    </row>
    <row r="677" spans="1:26" ht="15.75" customHeight="1">
      <c r="A677" s="590"/>
      <c r="B677" s="590"/>
      <c r="C677" s="590"/>
      <c r="D677" s="590"/>
      <c r="E677" s="590"/>
      <c r="F677" s="590"/>
      <c r="G677" s="590"/>
      <c r="H677" s="590"/>
      <c r="I677" s="590"/>
      <c r="J677" s="590"/>
      <c r="K677" s="590"/>
      <c r="L677" s="590"/>
      <c r="M677" s="590"/>
      <c r="N677" s="590"/>
      <c r="O677" s="590"/>
      <c r="P677" s="590"/>
      <c r="Q677" s="590"/>
      <c r="R677" s="590"/>
      <c r="S677" s="590"/>
      <c r="T677" s="590"/>
      <c r="U677" s="590"/>
      <c r="V677" s="590"/>
      <c r="W677" s="590"/>
      <c r="X677" s="590"/>
      <c r="Y677" s="590"/>
      <c r="Z677" s="590"/>
    </row>
    <row r="678" spans="1:26" ht="15.75" customHeight="1">
      <c r="A678" s="590"/>
      <c r="B678" s="590"/>
      <c r="C678" s="590"/>
      <c r="D678" s="590"/>
      <c r="E678" s="590"/>
      <c r="F678" s="590"/>
      <c r="G678" s="590"/>
      <c r="H678" s="590"/>
      <c r="I678" s="590"/>
      <c r="J678" s="590"/>
      <c r="K678" s="590"/>
      <c r="L678" s="590"/>
      <c r="M678" s="590"/>
      <c r="N678" s="590"/>
      <c r="O678" s="590"/>
      <c r="P678" s="590"/>
      <c r="Q678" s="590"/>
      <c r="R678" s="590"/>
      <c r="S678" s="590"/>
      <c r="T678" s="590"/>
      <c r="U678" s="590"/>
      <c r="V678" s="590"/>
      <c r="W678" s="590"/>
      <c r="X678" s="590"/>
      <c r="Y678" s="590"/>
      <c r="Z678" s="590"/>
    </row>
    <row r="679" spans="1:26" ht="15.75" customHeight="1">
      <c r="A679" s="590"/>
      <c r="B679" s="590"/>
      <c r="C679" s="590"/>
      <c r="D679" s="590"/>
      <c r="E679" s="590"/>
      <c r="F679" s="590"/>
      <c r="G679" s="590"/>
      <c r="H679" s="590"/>
      <c r="I679" s="590"/>
      <c r="J679" s="590"/>
      <c r="K679" s="590"/>
      <c r="L679" s="590"/>
      <c r="M679" s="590"/>
      <c r="N679" s="590"/>
      <c r="O679" s="590"/>
      <c r="P679" s="590"/>
      <c r="Q679" s="590"/>
      <c r="R679" s="590"/>
      <c r="S679" s="590"/>
      <c r="T679" s="590"/>
      <c r="U679" s="590"/>
      <c r="V679" s="590"/>
      <c r="W679" s="590"/>
      <c r="X679" s="590"/>
      <c r="Y679" s="590"/>
      <c r="Z679" s="590"/>
    </row>
    <row r="680" spans="1:26" ht="15.75" customHeight="1">
      <c r="A680" s="590"/>
      <c r="B680" s="590"/>
      <c r="C680" s="590"/>
      <c r="D680" s="590"/>
      <c r="E680" s="590"/>
      <c r="F680" s="590"/>
      <c r="G680" s="590"/>
      <c r="H680" s="590"/>
      <c r="I680" s="590"/>
      <c r="J680" s="590"/>
      <c r="K680" s="590"/>
      <c r="L680" s="590"/>
      <c r="M680" s="590"/>
      <c r="N680" s="590"/>
      <c r="O680" s="590"/>
      <c r="P680" s="590"/>
      <c r="Q680" s="590"/>
      <c r="R680" s="590"/>
      <c r="S680" s="590"/>
      <c r="T680" s="590"/>
      <c r="U680" s="590"/>
      <c r="V680" s="590"/>
      <c r="W680" s="590"/>
      <c r="X680" s="590"/>
      <c r="Y680" s="590"/>
      <c r="Z680" s="590"/>
    </row>
    <row r="681" spans="1:26" ht="15.75" customHeight="1">
      <c r="A681" s="590"/>
      <c r="B681" s="590"/>
      <c r="C681" s="590"/>
      <c r="D681" s="590"/>
      <c r="E681" s="590"/>
      <c r="F681" s="590"/>
      <c r="G681" s="590"/>
      <c r="H681" s="590"/>
      <c r="I681" s="590"/>
      <c r="J681" s="590"/>
      <c r="K681" s="590"/>
      <c r="L681" s="590"/>
      <c r="M681" s="590"/>
      <c r="N681" s="590"/>
      <c r="O681" s="590"/>
      <c r="P681" s="590"/>
      <c r="Q681" s="590"/>
      <c r="R681" s="590"/>
      <c r="S681" s="590"/>
      <c r="T681" s="590"/>
      <c r="U681" s="590"/>
      <c r="V681" s="590"/>
      <c r="W681" s="590"/>
      <c r="X681" s="590"/>
      <c r="Y681" s="590"/>
      <c r="Z681" s="590"/>
    </row>
    <row r="682" spans="1:26" ht="15.75" customHeight="1">
      <c r="A682" s="590"/>
      <c r="B682" s="590"/>
      <c r="C682" s="590"/>
      <c r="D682" s="590"/>
      <c r="E682" s="590"/>
      <c r="F682" s="590"/>
      <c r="G682" s="590"/>
      <c r="H682" s="590"/>
      <c r="I682" s="590"/>
      <c r="J682" s="590"/>
      <c r="K682" s="590"/>
      <c r="L682" s="590"/>
      <c r="M682" s="590"/>
      <c r="N682" s="590"/>
      <c r="O682" s="590"/>
      <c r="P682" s="590"/>
      <c r="Q682" s="590"/>
      <c r="R682" s="590"/>
      <c r="S682" s="590"/>
      <c r="T682" s="590"/>
      <c r="U682" s="590"/>
      <c r="V682" s="590"/>
      <c r="W682" s="590"/>
      <c r="X682" s="590"/>
      <c r="Y682" s="590"/>
      <c r="Z682" s="590"/>
    </row>
    <row r="683" spans="1:26" ht="15.75" customHeight="1">
      <c r="A683" s="590"/>
      <c r="B683" s="590"/>
      <c r="C683" s="590"/>
      <c r="D683" s="590"/>
      <c r="E683" s="590"/>
      <c r="F683" s="590"/>
      <c r="G683" s="590"/>
      <c r="H683" s="590"/>
      <c r="I683" s="590"/>
      <c r="J683" s="590"/>
      <c r="K683" s="590"/>
      <c r="L683" s="590"/>
      <c r="M683" s="590"/>
      <c r="N683" s="590"/>
      <c r="O683" s="590"/>
      <c r="P683" s="590"/>
      <c r="Q683" s="590"/>
      <c r="R683" s="590"/>
      <c r="S683" s="590"/>
      <c r="T683" s="590"/>
      <c r="U683" s="590"/>
      <c r="V683" s="590"/>
      <c r="W683" s="590"/>
      <c r="X683" s="590"/>
      <c r="Y683" s="590"/>
      <c r="Z683" s="590"/>
    </row>
    <row r="684" spans="1:26" ht="15.75" customHeight="1">
      <c r="A684" s="590"/>
      <c r="B684" s="590"/>
      <c r="C684" s="590"/>
      <c r="D684" s="590"/>
      <c r="E684" s="590"/>
      <c r="F684" s="590"/>
      <c r="G684" s="590"/>
      <c r="H684" s="590"/>
      <c r="I684" s="590"/>
      <c r="J684" s="590"/>
      <c r="K684" s="590"/>
      <c r="L684" s="590"/>
      <c r="M684" s="590"/>
      <c r="N684" s="590"/>
      <c r="O684" s="590"/>
      <c r="P684" s="590"/>
      <c r="Q684" s="590"/>
      <c r="R684" s="590"/>
      <c r="S684" s="590"/>
      <c r="T684" s="590"/>
      <c r="U684" s="590"/>
      <c r="V684" s="590"/>
      <c r="W684" s="590"/>
      <c r="X684" s="590"/>
      <c r="Y684" s="590"/>
      <c r="Z684" s="590"/>
    </row>
    <row r="685" spans="1:26" ht="15.75" customHeight="1">
      <c r="A685" s="590"/>
      <c r="B685" s="590"/>
      <c r="C685" s="590"/>
      <c r="D685" s="590"/>
      <c r="E685" s="590"/>
      <c r="F685" s="590"/>
      <c r="G685" s="590"/>
      <c r="H685" s="590"/>
      <c r="I685" s="590"/>
      <c r="J685" s="590"/>
      <c r="K685" s="590"/>
      <c r="L685" s="590"/>
      <c r="M685" s="590"/>
      <c r="N685" s="590"/>
      <c r="O685" s="590"/>
      <c r="P685" s="590"/>
      <c r="Q685" s="590"/>
      <c r="R685" s="590"/>
      <c r="S685" s="590"/>
      <c r="T685" s="590"/>
      <c r="U685" s="590"/>
      <c r="V685" s="590"/>
      <c r="W685" s="590"/>
      <c r="X685" s="590"/>
      <c r="Y685" s="590"/>
      <c r="Z685" s="590"/>
    </row>
    <row r="686" spans="1:26" ht="15.75" customHeight="1">
      <c r="A686" s="590"/>
      <c r="B686" s="590"/>
      <c r="C686" s="590"/>
      <c r="D686" s="590"/>
      <c r="E686" s="590"/>
      <c r="F686" s="590"/>
      <c r="G686" s="590"/>
      <c r="H686" s="590"/>
      <c r="I686" s="590"/>
      <c r="J686" s="590"/>
      <c r="K686" s="590"/>
      <c r="L686" s="590"/>
      <c r="M686" s="590"/>
      <c r="N686" s="590"/>
      <c r="O686" s="590"/>
      <c r="P686" s="590"/>
      <c r="Q686" s="590"/>
      <c r="R686" s="590"/>
      <c r="S686" s="590"/>
      <c r="T686" s="590"/>
      <c r="U686" s="590"/>
      <c r="V686" s="590"/>
      <c r="W686" s="590"/>
      <c r="X686" s="590"/>
      <c r="Y686" s="590"/>
      <c r="Z686" s="590"/>
    </row>
    <row r="687" spans="1:26" ht="15.75" customHeight="1">
      <c r="A687" s="590"/>
      <c r="B687" s="590"/>
      <c r="C687" s="590"/>
      <c r="D687" s="590"/>
      <c r="E687" s="590"/>
      <c r="F687" s="590"/>
      <c r="G687" s="590"/>
      <c r="H687" s="590"/>
      <c r="I687" s="590"/>
      <c r="J687" s="590"/>
      <c r="K687" s="590"/>
      <c r="L687" s="590"/>
      <c r="M687" s="590"/>
      <c r="N687" s="590"/>
      <c r="O687" s="590"/>
      <c r="P687" s="590"/>
      <c r="Q687" s="590"/>
      <c r="R687" s="590"/>
      <c r="S687" s="590"/>
      <c r="T687" s="590"/>
      <c r="U687" s="590"/>
      <c r="V687" s="590"/>
      <c r="W687" s="590"/>
      <c r="X687" s="590"/>
      <c r="Y687" s="590"/>
      <c r="Z687" s="590"/>
    </row>
    <row r="688" spans="1:26" ht="15.75" customHeight="1">
      <c r="A688" s="590"/>
      <c r="B688" s="590"/>
      <c r="C688" s="590"/>
      <c r="D688" s="590"/>
      <c r="E688" s="590"/>
      <c r="F688" s="590"/>
      <c r="G688" s="590"/>
      <c r="H688" s="590"/>
      <c r="I688" s="590"/>
      <c r="J688" s="590"/>
      <c r="K688" s="590"/>
      <c r="L688" s="590"/>
      <c r="M688" s="590"/>
      <c r="N688" s="590"/>
      <c r="O688" s="590"/>
      <c r="P688" s="590"/>
      <c r="Q688" s="590"/>
      <c r="R688" s="590"/>
      <c r="S688" s="590"/>
      <c r="T688" s="590"/>
      <c r="U688" s="590"/>
      <c r="V688" s="590"/>
      <c r="W688" s="590"/>
      <c r="X688" s="590"/>
      <c r="Y688" s="590"/>
      <c r="Z688" s="590"/>
    </row>
    <row r="689" spans="1:26" ht="15.75" customHeight="1">
      <c r="A689" s="590"/>
      <c r="B689" s="590"/>
      <c r="C689" s="590"/>
      <c r="D689" s="590"/>
      <c r="E689" s="590"/>
      <c r="F689" s="590"/>
      <c r="G689" s="590"/>
      <c r="H689" s="590"/>
      <c r="I689" s="590"/>
      <c r="J689" s="590"/>
      <c r="K689" s="590"/>
      <c r="L689" s="590"/>
      <c r="M689" s="590"/>
      <c r="N689" s="590"/>
      <c r="O689" s="590"/>
      <c r="P689" s="590"/>
      <c r="Q689" s="590"/>
      <c r="R689" s="590"/>
      <c r="S689" s="590"/>
      <c r="T689" s="590"/>
      <c r="U689" s="590"/>
      <c r="V689" s="590"/>
      <c r="W689" s="590"/>
      <c r="X689" s="590"/>
      <c r="Y689" s="590"/>
      <c r="Z689" s="590"/>
    </row>
    <row r="690" spans="1:26" ht="15.75" customHeight="1">
      <c r="A690" s="590"/>
      <c r="B690" s="590"/>
      <c r="C690" s="590"/>
      <c r="D690" s="590"/>
      <c r="E690" s="590"/>
      <c r="F690" s="590"/>
      <c r="G690" s="590"/>
      <c r="H690" s="590"/>
      <c r="I690" s="590"/>
      <c r="J690" s="590"/>
      <c r="K690" s="590"/>
      <c r="L690" s="590"/>
      <c r="M690" s="590"/>
      <c r="N690" s="590"/>
      <c r="O690" s="590"/>
      <c r="P690" s="590"/>
      <c r="Q690" s="590"/>
      <c r="R690" s="590"/>
      <c r="S690" s="590"/>
      <c r="T690" s="590"/>
      <c r="U690" s="590"/>
      <c r="V690" s="590"/>
      <c r="W690" s="590"/>
      <c r="X690" s="590"/>
      <c r="Y690" s="590"/>
      <c r="Z690" s="590"/>
    </row>
    <row r="691" spans="1:26" ht="15.75" customHeight="1">
      <c r="A691" s="590"/>
      <c r="B691" s="590"/>
      <c r="C691" s="590"/>
      <c r="D691" s="590"/>
      <c r="E691" s="590"/>
      <c r="F691" s="590"/>
      <c r="G691" s="590"/>
      <c r="H691" s="590"/>
      <c r="I691" s="590"/>
      <c r="J691" s="590"/>
      <c r="K691" s="590"/>
      <c r="L691" s="590"/>
      <c r="M691" s="590"/>
      <c r="N691" s="590"/>
      <c r="O691" s="590"/>
      <c r="P691" s="590"/>
      <c r="Q691" s="590"/>
      <c r="R691" s="590"/>
      <c r="S691" s="590"/>
      <c r="T691" s="590"/>
      <c r="U691" s="590"/>
      <c r="V691" s="590"/>
      <c r="W691" s="590"/>
      <c r="X691" s="590"/>
      <c r="Y691" s="590"/>
      <c r="Z691" s="590"/>
    </row>
    <row r="692" spans="1:26" ht="15.75" customHeight="1">
      <c r="A692" s="590"/>
      <c r="B692" s="590"/>
      <c r="C692" s="590"/>
      <c r="D692" s="590"/>
      <c r="E692" s="590"/>
      <c r="F692" s="590"/>
      <c r="G692" s="590"/>
      <c r="H692" s="590"/>
      <c r="I692" s="590"/>
      <c r="J692" s="590"/>
      <c r="K692" s="590"/>
      <c r="L692" s="590"/>
      <c r="M692" s="590"/>
      <c r="N692" s="590"/>
      <c r="O692" s="590"/>
      <c r="P692" s="590"/>
      <c r="Q692" s="590"/>
      <c r="R692" s="590"/>
      <c r="S692" s="590"/>
      <c r="T692" s="590"/>
      <c r="U692" s="590"/>
      <c r="V692" s="590"/>
      <c r="W692" s="590"/>
      <c r="X692" s="590"/>
      <c r="Y692" s="590"/>
      <c r="Z692" s="590"/>
    </row>
    <row r="693" spans="1:26" ht="15.75" customHeight="1">
      <c r="A693" s="590"/>
      <c r="B693" s="590"/>
      <c r="C693" s="590"/>
      <c r="D693" s="590"/>
      <c r="E693" s="590"/>
      <c r="F693" s="590"/>
      <c r="G693" s="590"/>
      <c r="H693" s="590"/>
      <c r="I693" s="590"/>
      <c r="J693" s="590"/>
      <c r="K693" s="590"/>
      <c r="L693" s="590"/>
      <c r="M693" s="590"/>
      <c r="N693" s="590"/>
      <c r="O693" s="590"/>
      <c r="P693" s="590"/>
      <c r="Q693" s="590"/>
      <c r="R693" s="590"/>
      <c r="S693" s="590"/>
      <c r="T693" s="590"/>
      <c r="U693" s="590"/>
      <c r="V693" s="590"/>
      <c r="W693" s="590"/>
      <c r="X693" s="590"/>
      <c r="Y693" s="590"/>
      <c r="Z693" s="590"/>
    </row>
    <row r="694" spans="1:26" ht="15.75" customHeight="1">
      <c r="A694" s="590"/>
      <c r="B694" s="590"/>
      <c r="C694" s="590"/>
      <c r="D694" s="590"/>
      <c r="E694" s="590"/>
      <c r="F694" s="590"/>
      <c r="G694" s="590"/>
      <c r="H694" s="590"/>
      <c r="I694" s="590"/>
      <c r="J694" s="590"/>
      <c r="K694" s="590"/>
      <c r="L694" s="590"/>
      <c r="M694" s="590"/>
      <c r="N694" s="590"/>
      <c r="O694" s="590"/>
      <c r="P694" s="590"/>
      <c r="Q694" s="590"/>
      <c r="R694" s="590"/>
      <c r="S694" s="590"/>
      <c r="T694" s="590"/>
      <c r="U694" s="590"/>
      <c r="V694" s="590"/>
      <c r="W694" s="590"/>
      <c r="X694" s="590"/>
      <c r="Y694" s="590"/>
      <c r="Z694" s="590"/>
    </row>
    <row r="695" spans="1:26" ht="15.75" customHeight="1">
      <c r="A695" s="590"/>
      <c r="B695" s="590"/>
      <c r="C695" s="590"/>
      <c r="D695" s="590"/>
      <c r="E695" s="590"/>
      <c r="F695" s="590"/>
      <c r="G695" s="590"/>
      <c r="H695" s="590"/>
      <c r="I695" s="590"/>
      <c r="J695" s="590"/>
      <c r="K695" s="590"/>
      <c r="L695" s="590"/>
      <c r="M695" s="590"/>
      <c r="N695" s="590"/>
      <c r="O695" s="590"/>
      <c r="P695" s="590"/>
      <c r="Q695" s="590"/>
      <c r="R695" s="590"/>
      <c r="S695" s="590"/>
      <c r="T695" s="590"/>
      <c r="U695" s="590"/>
      <c r="V695" s="590"/>
      <c r="W695" s="590"/>
      <c r="X695" s="590"/>
      <c r="Y695" s="590"/>
      <c r="Z695" s="590"/>
    </row>
    <row r="696" spans="1:26" ht="15.75" customHeight="1">
      <c r="A696" s="590"/>
      <c r="B696" s="590"/>
      <c r="C696" s="590"/>
      <c r="D696" s="590"/>
      <c r="E696" s="590"/>
      <c r="F696" s="590"/>
      <c r="G696" s="590"/>
      <c r="H696" s="590"/>
      <c r="I696" s="590"/>
      <c r="J696" s="590"/>
      <c r="K696" s="590"/>
      <c r="L696" s="590"/>
      <c r="M696" s="590"/>
      <c r="N696" s="590"/>
      <c r="O696" s="590"/>
      <c r="P696" s="590"/>
      <c r="Q696" s="590"/>
      <c r="R696" s="590"/>
      <c r="S696" s="590"/>
      <c r="T696" s="590"/>
      <c r="U696" s="590"/>
      <c r="V696" s="590"/>
      <c r="W696" s="590"/>
      <c r="X696" s="590"/>
      <c r="Y696" s="590"/>
      <c r="Z696" s="590"/>
    </row>
    <row r="697" spans="1:26" ht="15.75" customHeight="1">
      <c r="A697" s="590"/>
      <c r="B697" s="590"/>
      <c r="C697" s="590"/>
      <c r="D697" s="590"/>
      <c r="E697" s="590"/>
      <c r="F697" s="590"/>
      <c r="G697" s="590"/>
      <c r="H697" s="590"/>
      <c r="I697" s="590"/>
      <c r="J697" s="590"/>
      <c r="K697" s="590"/>
      <c r="L697" s="590"/>
      <c r="M697" s="590"/>
      <c r="N697" s="590"/>
      <c r="O697" s="590"/>
      <c r="P697" s="590"/>
      <c r="Q697" s="590"/>
      <c r="R697" s="590"/>
      <c r="S697" s="590"/>
      <c r="T697" s="590"/>
      <c r="U697" s="590"/>
      <c r="V697" s="590"/>
      <c r="W697" s="590"/>
      <c r="X697" s="590"/>
      <c r="Y697" s="590"/>
      <c r="Z697" s="590"/>
    </row>
    <row r="698" spans="1:26" ht="15.75" customHeight="1">
      <c r="A698" s="590"/>
      <c r="B698" s="590"/>
      <c r="C698" s="590"/>
      <c r="D698" s="590"/>
      <c r="E698" s="590"/>
      <c r="F698" s="590"/>
      <c r="G698" s="590"/>
      <c r="H698" s="590"/>
      <c r="I698" s="590"/>
      <c r="J698" s="590"/>
      <c r="K698" s="590"/>
      <c r="L698" s="590"/>
      <c r="M698" s="590"/>
      <c r="N698" s="590"/>
      <c r="O698" s="590"/>
      <c r="P698" s="590"/>
      <c r="Q698" s="590"/>
      <c r="R698" s="590"/>
      <c r="S698" s="590"/>
      <c r="T698" s="590"/>
      <c r="U698" s="590"/>
      <c r="V698" s="590"/>
      <c r="W698" s="590"/>
      <c r="X698" s="590"/>
      <c r="Y698" s="590"/>
      <c r="Z698" s="590"/>
    </row>
    <row r="699" spans="1:26" ht="15.75" customHeight="1">
      <c r="A699" s="590"/>
      <c r="B699" s="590"/>
      <c r="C699" s="590"/>
      <c r="D699" s="590"/>
      <c r="E699" s="590"/>
      <c r="F699" s="590"/>
      <c r="G699" s="590"/>
      <c r="H699" s="590"/>
      <c r="I699" s="590"/>
      <c r="J699" s="590"/>
      <c r="K699" s="590"/>
      <c r="L699" s="590"/>
      <c r="M699" s="590"/>
      <c r="N699" s="590"/>
      <c r="O699" s="590"/>
      <c r="P699" s="590"/>
      <c r="Q699" s="590"/>
      <c r="R699" s="590"/>
      <c r="S699" s="590"/>
      <c r="T699" s="590"/>
      <c r="U699" s="590"/>
      <c r="V699" s="590"/>
      <c r="W699" s="590"/>
      <c r="X699" s="590"/>
      <c r="Y699" s="590"/>
      <c r="Z699" s="590"/>
    </row>
    <row r="700" spans="1:26" ht="15.75" customHeight="1">
      <c r="A700" s="590"/>
      <c r="B700" s="590"/>
      <c r="C700" s="590"/>
      <c r="D700" s="590"/>
      <c r="E700" s="590"/>
      <c r="F700" s="590"/>
      <c r="G700" s="590"/>
      <c r="H700" s="590"/>
      <c r="I700" s="590"/>
      <c r="J700" s="590"/>
      <c r="K700" s="590"/>
      <c r="L700" s="590"/>
      <c r="M700" s="590"/>
      <c r="N700" s="590"/>
      <c r="O700" s="590"/>
      <c r="P700" s="590"/>
      <c r="Q700" s="590"/>
      <c r="R700" s="590"/>
      <c r="S700" s="590"/>
      <c r="T700" s="590"/>
      <c r="U700" s="590"/>
      <c r="V700" s="590"/>
      <c r="W700" s="590"/>
      <c r="X700" s="590"/>
      <c r="Y700" s="590"/>
      <c r="Z700" s="590"/>
    </row>
    <row r="701" spans="1:26" ht="15.75" customHeight="1">
      <c r="A701" s="590"/>
      <c r="B701" s="590"/>
      <c r="C701" s="590"/>
      <c r="D701" s="590"/>
      <c r="E701" s="590"/>
      <c r="F701" s="590"/>
      <c r="G701" s="590"/>
      <c r="H701" s="590"/>
      <c r="I701" s="590"/>
      <c r="J701" s="590"/>
      <c r="K701" s="590"/>
      <c r="L701" s="590"/>
      <c r="M701" s="590"/>
      <c r="N701" s="590"/>
      <c r="O701" s="590"/>
      <c r="P701" s="590"/>
      <c r="Q701" s="590"/>
      <c r="R701" s="590"/>
      <c r="S701" s="590"/>
      <c r="T701" s="590"/>
      <c r="U701" s="590"/>
      <c r="V701" s="590"/>
      <c r="W701" s="590"/>
      <c r="X701" s="590"/>
      <c r="Y701" s="590"/>
      <c r="Z701" s="590"/>
    </row>
    <row r="702" spans="1:26" ht="15.75" customHeight="1">
      <c r="A702" s="590"/>
      <c r="B702" s="590"/>
      <c r="C702" s="590"/>
      <c r="D702" s="590"/>
      <c r="E702" s="590"/>
      <c r="F702" s="590"/>
      <c r="G702" s="590"/>
      <c r="H702" s="590"/>
      <c r="I702" s="590"/>
      <c r="J702" s="590"/>
      <c r="K702" s="590"/>
      <c r="L702" s="590"/>
      <c r="M702" s="590"/>
      <c r="N702" s="590"/>
      <c r="O702" s="590"/>
      <c r="P702" s="590"/>
      <c r="Q702" s="590"/>
      <c r="R702" s="590"/>
      <c r="S702" s="590"/>
      <c r="T702" s="590"/>
      <c r="U702" s="590"/>
      <c r="V702" s="590"/>
      <c r="W702" s="590"/>
      <c r="X702" s="590"/>
      <c r="Y702" s="590"/>
      <c r="Z702" s="590"/>
    </row>
    <row r="703" spans="1:26" ht="15.75" customHeight="1">
      <c r="A703" s="590"/>
      <c r="B703" s="590"/>
      <c r="C703" s="590"/>
      <c r="D703" s="590"/>
      <c r="E703" s="590"/>
      <c r="F703" s="590"/>
      <c r="G703" s="590"/>
      <c r="H703" s="590"/>
      <c r="I703" s="590"/>
      <c r="J703" s="590"/>
      <c r="K703" s="590"/>
      <c r="L703" s="590"/>
      <c r="M703" s="590"/>
      <c r="N703" s="590"/>
      <c r="O703" s="590"/>
      <c r="P703" s="590"/>
      <c r="Q703" s="590"/>
      <c r="R703" s="590"/>
      <c r="S703" s="590"/>
      <c r="T703" s="590"/>
      <c r="U703" s="590"/>
      <c r="V703" s="590"/>
      <c r="W703" s="590"/>
      <c r="X703" s="590"/>
      <c r="Y703" s="590"/>
      <c r="Z703" s="590"/>
    </row>
    <row r="704" spans="1:26" ht="15.75" customHeight="1">
      <c r="A704" s="590"/>
      <c r="B704" s="590"/>
      <c r="C704" s="590"/>
      <c r="D704" s="590"/>
      <c r="E704" s="590"/>
      <c r="F704" s="590"/>
      <c r="G704" s="590"/>
      <c r="H704" s="590"/>
      <c r="I704" s="590"/>
      <c r="J704" s="590"/>
      <c r="K704" s="590"/>
      <c r="L704" s="590"/>
      <c r="M704" s="590"/>
      <c r="N704" s="590"/>
      <c r="O704" s="590"/>
      <c r="P704" s="590"/>
      <c r="Q704" s="590"/>
      <c r="R704" s="590"/>
      <c r="S704" s="590"/>
      <c r="T704" s="590"/>
      <c r="U704" s="590"/>
      <c r="V704" s="590"/>
      <c r="W704" s="590"/>
      <c r="X704" s="590"/>
      <c r="Y704" s="590"/>
      <c r="Z704" s="590"/>
    </row>
    <row r="705" spans="1:26" ht="15.75" customHeight="1">
      <c r="A705" s="590"/>
      <c r="B705" s="590"/>
      <c r="C705" s="590"/>
      <c r="D705" s="590"/>
      <c r="E705" s="590"/>
      <c r="F705" s="590"/>
      <c r="G705" s="590"/>
      <c r="H705" s="590"/>
      <c r="I705" s="590"/>
      <c r="J705" s="590"/>
      <c r="K705" s="590"/>
      <c r="L705" s="590"/>
      <c r="M705" s="590"/>
      <c r="N705" s="590"/>
      <c r="O705" s="590"/>
      <c r="P705" s="590"/>
      <c r="Q705" s="590"/>
      <c r="R705" s="590"/>
      <c r="S705" s="590"/>
      <c r="T705" s="590"/>
      <c r="U705" s="590"/>
      <c r="V705" s="590"/>
      <c r="W705" s="590"/>
      <c r="X705" s="590"/>
      <c r="Y705" s="590"/>
      <c r="Z705" s="590"/>
    </row>
    <row r="706" spans="1:26" ht="15.75" customHeight="1">
      <c r="A706" s="590"/>
      <c r="B706" s="590"/>
      <c r="C706" s="590"/>
      <c r="D706" s="590"/>
      <c r="E706" s="590"/>
      <c r="F706" s="590"/>
      <c r="G706" s="590"/>
      <c r="H706" s="590"/>
      <c r="I706" s="590"/>
      <c r="J706" s="590"/>
      <c r="K706" s="590"/>
      <c r="L706" s="590"/>
      <c r="M706" s="590"/>
      <c r="N706" s="590"/>
      <c r="O706" s="590"/>
      <c r="P706" s="590"/>
      <c r="Q706" s="590"/>
      <c r="R706" s="590"/>
      <c r="S706" s="590"/>
      <c r="T706" s="590"/>
      <c r="U706" s="590"/>
      <c r="V706" s="590"/>
      <c r="W706" s="590"/>
      <c r="X706" s="590"/>
      <c r="Y706" s="590"/>
      <c r="Z706" s="590"/>
    </row>
    <row r="707" spans="1:26" ht="15.75" customHeight="1">
      <c r="A707" s="590"/>
      <c r="B707" s="590"/>
      <c r="C707" s="590"/>
      <c r="D707" s="590"/>
      <c r="E707" s="590"/>
      <c r="F707" s="590"/>
      <c r="G707" s="590"/>
      <c r="H707" s="590"/>
      <c r="I707" s="590"/>
      <c r="J707" s="590"/>
      <c r="K707" s="590"/>
      <c r="L707" s="590"/>
      <c r="M707" s="590"/>
      <c r="N707" s="590"/>
      <c r="O707" s="590"/>
      <c r="P707" s="590"/>
      <c r="Q707" s="590"/>
      <c r="R707" s="590"/>
      <c r="S707" s="590"/>
      <c r="T707" s="590"/>
      <c r="U707" s="590"/>
      <c r="V707" s="590"/>
      <c r="W707" s="590"/>
      <c r="X707" s="590"/>
      <c r="Y707" s="590"/>
      <c r="Z707" s="590"/>
    </row>
    <row r="708" spans="1:26" ht="15.75" customHeight="1">
      <c r="A708" s="590"/>
      <c r="B708" s="590"/>
      <c r="C708" s="590"/>
      <c r="D708" s="590"/>
      <c r="E708" s="590"/>
      <c r="F708" s="590"/>
      <c r="G708" s="590"/>
      <c r="H708" s="590"/>
      <c r="I708" s="590"/>
      <c r="J708" s="590"/>
      <c r="K708" s="590"/>
      <c r="L708" s="590"/>
      <c r="M708" s="590"/>
      <c r="N708" s="590"/>
      <c r="O708" s="590"/>
      <c r="P708" s="590"/>
      <c r="Q708" s="590"/>
      <c r="R708" s="590"/>
      <c r="S708" s="590"/>
      <c r="T708" s="590"/>
      <c r="U708" s="590"/>
      <c r="V708" s="590"/>
      <c r="W708" s="590"/>
      <c r="X708" s="590"/>
      <c r="Y708" s="590"/>
      <c r="Z708" s="590"/>
    </row>
    <row r="709" spans="1:26" ht="15.75" customHeight="1">
      <c r="A709" s="590"/>
      <c r="B709" s="590"/>
      <c r="C709" s="590"/>
      <c r="D709" s="590"/>
      <c r="E709" s="590"/>
      <c r="F709" s="590"/>
      <c r="G709" s="590"/>
      <c r="H709" s="590"/>
      <c r="I709" s="590"/>
      <c r="J709" s="590"/>
      <c r="K709" s="590"/>
      <c r="L709" s="590"/>
      <c r="M709" s="590"/>
      <c r="N709" s="590"/>
      <c r="O709" s="590"/>
      <c r="P709" s="590"/>
      <c r="Q709" s="590"/>
      <c r="R709" s="590"/>
      <c r="S709" s="590"/>
      <c r="T709" s="590"/>
      <c r="U709" s="590"/>
      <c r="V709" s="590"/>
      <c r="W709" s="590"/>
      <c r="X709" s="590"/>
      <c r="Y709" s="590"/>
      <c r="Z709" s="590"/>
    </row>
    <row r="710" spans="1:26" ht="15.75" customHeight="1">
      <c r="A710" s="590"/>
      <c r="B710" s="590"/>
      <c r="C710" s="590"/>
      <c r="D710" s="590"/>
      <c r="E710" s="590"/>
      <c r="F710" s="590"/>
      <c r="G710" s="590"/>
      <c r="H710" s="590"/>
      <c r="I710" s="590"/>
      <c r="J710" s="590"/>
      <c r="K710" s="590"/>
      <c r="L710" s="590"/>
      <c r="M710" s="590"/>
      <c r="N710" s="590"/>
      <c r="O710" s="590"/>
      <c r="P710" s="590"/>
      <c r="Q710" s="590"/>
      <c r="R710" s="590"/>
      <c r="S710" s="590"/>
      <c r="T710" s="590"/>
      <c r="U710" s="590"/>
      <c r="V710" s="590"/>
      <c r="W710" s="590"/>
      <c r="X710" s="590"/>
      <c r="Y710" s="590"/>
      <c r="Z710" s="590"/>
    </row>
    <row r="711" spans="1:26" ht="15.75" customHeight="1">
      <c r="A711" s="590"/>
      <c r="B711" s="590"/>
      <c r="C711" s="590"/>
      <c r="D711" s="590"/>
      <c r="E711" s="590"/>
      <c r="F711" s="590"/>
      <c r="G711" s="590"/>
      <c r="H711" s="590"/>
      <c r="I711" s="590"/>
      <c r="J711" s="590"/>
      <c r="K711" s="590"/>
      <c r="L711" s="590"/>
      <c r="M711" s="590"/>
      <c r="N711" s="590"/>
      <c r="O711" s="590"/>
      <c r="P711" s="590"/>
      <c r="Q711" s="590"/>
      <c r="R711" s="590"/>
      <c r="S711" s="590"/>
      <c r="T711" s="590"/>
      <c r="U711" s="590"/>
      <c r="V711" s="590"/>
      <c r="W711" s="590"/>
      <c r="X711" s="590"/>
      <c r="Y711" s="590"/>
      <c r="Z711" s="590"/>
    </row>
    <row r="712" spans="1:26" ht="15.75" customHeight="1">
      <c r="A712" s="590"/>
      <c r="B712" s="590"/>
      <c r="C712" s="590"/>
      <c r="D712" s="590"/>
      <c r="E712" s="590"/>
      <c r="F712" s="590"/>
      <c r="G712" s="590"/>
      <c r="H712" s="590"/>
      <c r="I712" s="590"/>
      <c r="J712" s="590"/>
      <c r="K712" s="590"/>
      <c r="L712" s="590"/>
      <c r="M712" s="590"/>
      <c r="N712" s="590"/>
      <c r="O712" s="590"/>
      <c r="P712" s="590"/>
      <c r="Q712" s="590"/>
      <c r="R712" s="590"/>
      <c r="S712" s="590"/>
      <c r="T712" s="590"/>
      <c r="U712" s="590"/>
      <c r="V712" s="590"/>
      <c r="W712" s="590"/>
      <c r="X712" s="590"/>
      <c r="Y712" s="590"/>
      <c r="Z712" s="590"/>
    </row>
    <row r="713" spans="1:26" ht="15.75" customHeight="1">
      <c r="A713" s="590"/>
      <c r="B713" s="590"/>
      <c r="C713" s="590"/>
      <c r="D713" s="590"/>
      <c r="E713" s="590"/>
      <c r="F713" s="590"/>
      <c r="G713" s="590"/>
      <c r="H713" s="590"/>
      <c r="I713" s="590"/>
      <c r="J713" s="590"/>
      <c r="K713" s="590"/>
      <c r="L713" s="590"/>
      <c r="M713" s="590"/>
      <c r="N713" s="590"/>
      <c r="O713" s="590"/>
      <c r="P713" s="590"/>
      <c r="Q713" s="590"/>
      <c r="R713" s="590"/>
      <c r="S713" s="590"/>
      <c r="T713" s="590"/>
      <c r="U713" s="590"/>
      <c r="V713" s="590"/>
      <c r="W713" s="590"/>
      <c r="X713" s="590"/>
      <c r="Y713" s="590"/>
      <c r="Z713" s="590"/>
    </row>
    <row r="714" spans="1:26" ht="15.75" customHeight="1">
      <c r="A714" s="590"/>
      <c r="B714" s="590"/>
      <c r="C714" s="590"/>
      <c r="D714" s="590"/>
      <c r="E714" s="590"/>
      <c r="F714" s="590"/>
      <c r="G714" s="590"/>
      <c r="H714" s="590"/>
      <c r="I714" s="590"/>
      <c r="J714" s="590"/>
      <c r="K714" s="590"/>
      <c r="L714" s="590"/>
      <c r="M714" s="590"/>
      <c r="N714" s="590"/>
      <c r="O714" s="590"/>
      <c r="P714" s="590"/>
      <c r="Q714" s="590"/>
      <c r="R714" s="590"/>
      <c r="S714" s="590"/>
      <c r="T714" s="590"/>
      <c r="U714" s="590"/>
      <c r="V714" s="590"/>
      <c r="W714" s="590"/>
      <c r="X714" s="590"/>
      <c r="Y714" s="590"/>
      <c r="Z714" s="590"/>
    </row>
    <row r="715" spans="1:26" ht="15.75" customHeight="1">
      <c r="A715" s="590"/>
      <c r="B715" s="590"/>
      <c r="C715" s="590"/>
      <c r="D715" s="590"/>
      <c r="E715" s="590"/>
      <c r="F715" s="590"/>
      <c r="G715" s="590"/>
      <c r="H715" s="590"/>
      <c r="I715" s="590"/>
      <c r="J715" s="590"/>
      <c r="K715" s="590"/>
      <c r="L715" s="590"/>
      <c r="M715" s="590"/>
      <c r="N715" s="590"/>
      <c r="O715" s="590"/>
      <c r="P715" s="590"/>
      <c r="Q715" s="590"/>
      <c r="R715" s="590"/>
      <c r="S715" s="590"/>
      <c r="T715" s="590"/>
      <c r="U715" s="590"/>
      <c r="V715" s="590"/>
      <c r="W715" s="590"/>
      <c r="X715" s="590"/>
      <c r="Y715" s="590"/>
      <c r="Z715" s="590"/>
    </row>
    <row r="716" spans="1:26" ht="15.75" customHeight="1">
      <c r="A716" s="590"/>
      <c r="B716" s="590"/>
      <c r="C716" s="590"/>
      <c r="D716" s="590"/>
      <c r="E716" s="590"/>
      <c r="F716" s="590"/>
      <c r="G716" s="590"/>
      <c r="H716" s="590"/>
      <c r="I716" s="590"/>
      <c r="J716" s="590"/>
      <c r="K716" s="590"/>
      <c r="L716" s="590"/>
      <c r="M716" s="590"/>
      <c r="N716" s="590"/>
      <c r="O716" s="590"/>
      <c r="P716" s="590"/>
      <c r="Q716" s="590"/>
      <c r="R716" s="590"/>
      <c r="S716" s="590"/>
      <c r="T716" s="590"/>
      <c r="U716" s="590"/>
      <c r="V716" s="590"/>
      <c r="W716" s="590"/>
      <c r="X716" s="590"/>
      <c r="Y716" s="590"/>
      <c r="Z716" s="590"/>
    </row>
    <row r="717" spans="1:26" ht="15.75" customHeight="1">
      <c r="A717" s="590"/>
      <c r="B717" s="590"/>
      <c r="C717" s="590"/>
      <c r="D717" s="590"/>
      <c r="E717" s="590"/>
      <c r="F717" s="590"/>
      <c r="G717" s="590"/>
      <c r="H717" s="590"/>
      <c r="I717" s="590"/>
      <c r="J717" s="590"/>
      <c r="K717" s="590"/>
      <c r="L717" s="590"/>
      <c r="M717" s="590"/>
      <c r="N717" s="590"/>
      <c r="O717" s="590"/>
      <c r="P717" s="590"/>
      <c r="Q717" s="590"/>
      <c r="R717" s="590"/>
      <c r="S717" s="590"/>
      <c r="T717" s="590"/>
      <c r="U717" s="590"/>
      <c r="V717" s="590"/>
      <c r="W717" s="590"/>
      <c r="X717" s="590"/>
      <c r="Y717" s="590"/>
      <c r="Z717" s="590"/>
    </row>
    <row r="718" spans="1:26" ht="15.75" customHeight="1">
      <c r="A718" s="590"/>
      <c r="B718" s="590"/>
      <c r="C718" s="590"/>
      <c r="D718" s="590"/>
      <c r="E718" s="590"/>
      <c r="F718" s="590"/>
      <c r="G718" s="590"/>
      <c r="H718" s="590"/>
      <c r="I718" s="590"/>
      <c r="J718" s="590"/>
      <c r="K718" s="590"/>
      <c r="L718" s="590"/>
      <c r="M718" s="590"/>
      <c r="N718" s="590"/>
      <c r="O718" s="590"/>
      <c r="P718" s="590"/>
      <c r="Q718" s="590"/>
      <c r="R718" s="590"/>
      <c r="S718" s="590"/>
      <c r="T718" s="590"/>
      <c r="U718" s="590"/>
      <c r="V718" s="590"/>
      <c r="W718" s="590"/>
      <c r="X718" s="590"/>
      <c r="Y718" s="590"/>
      <c r="Z718" s="590"/>
    </row>
    <row r="719" spans="1:26" ht="15.75" customHeight="1">
      <c r="A719" s="590"/>
      <c r="B719" s="590"/>
      <c r="C719" s="590"/>
      <c r="D719" s="590"/>
      <c r="E719" s="590"/>
      <c r="F719" s="590"/>
      <c r="G719" s="590"/>
      <c r="H719" s="590"/>
      <c r="I719" s="590"/>
      <c r="J719" s="590"/>
      <c r="K719" s="590"/>
      <c r="L719" s="590"/>
      <c r="M719" s="590"/>
      <c r="N719" s="590"/>
      <c r="O719" s="590"/>
      <c r="P719" s="590"/>
      <c r="Q719" s="590"/>
      <c r="R719" s="590"/>
      <c r="S719" s="590"/>
      <c r="T719" s="590"/>
      <c r="U719" s="590"/>
      <c r="V719" s="590"/>
      <c r="W719" s="590"/>
      <c r="X719" s="590"/>
      <c r="Y719" s="590"/>
      <c r="Z719" s="590"/>
    </row>
    <row r="720" spans="1:26" ht="15.75" customHeight="1">
      <c r="A720" s="590"/>
      <c r="B720" s="590"/>
      <c r="C720" s="590"/>
      <c r="D720" s="590"/>
      <c r="E720" s="590"/>
      <c r="F720" s="590"/>
      <c r="G720" s="590"/>
      <c r="H720" s="590"/>
      <c r="I720" s="590"/>
      <c r="J720" s="590"/>
      <c r="K720" s="590"/>
      <c r="L720" s="590"/>
      <c r="M720" s="590"/>
      <c r="N720" s="590"/>
      <c r="O720" s="590"/>
      <c r="P720" s="590"/>
      <c r="Q720" s="590"/>
      <c r="R720" s="590"/>
      <c r="S720" s="590"/>
      <c r="T720" s="590"/>
      <c r="U720" s="590"/>
      <c r="V720" s="590"/>
      <c r="W720" s="590"/>
      <c r="X720" s="590"/>
      <c r="Y720" s="590"/>
      <c r="Z720" s="590"/>
    </row>
    <row r="721" spans="1:26" ht="15.75" customHeight="1">
      <c r="A721" s="590"/>
      <c r="B721" s="590"/>
      <c r="C721" s="590"/>
      <c r="D721" s="590"/>
      <c r="E721" s="590"/>
      <c r="F721" s="590"/>
      <c r="G721" s="590"/>
      <c r="H721" s="590"/>
      <c r="I721" s="590"/>
      <c r="J721" s="590"/>
      <c r="K721" s="590"/>
      <c r="L721" s="590"/>
      <c r="M721" s="590"/>
      <c r="N721" s="590"/>
      <c r="O721" s="590"/>
      <c r="P721" s="590"/>
      <c r="Q721" s="590"/>
      <c r="R721" s="590"/>
      <c r="S721" s="590"/>
      <c r="T721" s="590"/>
      <c r="U721" s="590"/>
      <c r="V721" s="590"/>
      <c r="W721" s="590"/>
      <c r="X721" s="590"/>
      <c r="Y721" s="590"/>
      <c r="Z721" s="590"/>
    </row>
    <row r="722" spans="1:26" ht="15.75" customHeight="1">
      <c r="A722" s="590"/>
      <c r="B722" s="590"/>
      <c r="C722" s="590"/>
      <c r="D722" s="590"/>
      <c r="E722" s="590"/>
      <c r="F722" s="590"/>
      <c r="G722" s="590"/>
      <c r="H722" s="590"/>
      <c r="I722" s="590"/>
      <c r="J722" s="590"/>
      <c r="K722" s="590"/>
      <c r="L722" s="590"/>
      <c r="M722" s="590"/>
      <c r="N722" s="590"/>
      <c r="O722" s="590"/>
      <c r="P722" s="590"/>
      <c r="Q722" s="590"/>
      <c r="R722" s="590"/>
      <c r="S722" s="590"/>
      <c r="T722" s="590"/>
      <c r="U722" s="590"/>
      <c r="V722" s="590"/>
      <c r="W722" s="590"/>
      <c r="X722" s="590"/>
      <c r="Y722" s="590"/>
      <c r="Z722" s="590"/>
    </row>
    <row r="723" spans="1:26" ht="15.75" customHeight="1">
      <c r="A723" s="590"/>
      <c r="B723" s="590"/>
      <c r="C723" s="590"/>
      <c r="D723" s="590"/>
      <c r="E723" s="590"/>
      <c r="F723" s="590"/>
      <c r="G723" s="590"/>
      <c r="H723" s="590"/>
      <c r="I723" s="590"/>
      <c r="J723" s="590"/>
      <c r="K723" s="590"/>
      <c r="L723" s="590"/>
      <c r="M723" s="590"/>
      <c r="N723" s="590"/>
      <c r="O723" s="590"/>
      <c r="P723" s="590"/>
      <c r="Q723" s="590"/>
      <c r="R723" s="590"/>
      <c r="S723" s="590"/>
      <c r="T723" s="590"/>
      <c r="U723" s="590"/>
      <c r="V723" s="590"/>
      <c r="W723" s="590"/>
      <c r="X723" s="590"/>
      <c r="Y723" s="590"/>
      <c r="Z723" s="590"/>
    </row>
    <row r="724" spans="1:26" ht="15.75" customHeight="1">
      <c r="A724" s="590"/>
      <c r="B724" s="590"/>
      <c r="C724" s="590"/>
      <c r="D724" s="590"/>
      <c r="E724" s="590"/>
      <c r="F724" s="590"/>
      <c r="G724" s="590"/>
      <c r="H724" s="590"/>
      <c r="I724" s="590"/>
      <c r="J724" s="590"/>
      <c r="K724" s="590"/>
      <c r="L724" s="590"/>
      <c r="M724" s="590"/>
      <c r="N724" s="590"/>
      <c r="O724" s="590"/>
      <c r="P724" s="590"/>
      <c r="Q724" s="590"/>
      <c r="R724" s="590"/>
      <c r="S724" s="590"/>
      <c r="T724" s="590"/>
      <c r="U724" s="590"/>
      <c r="V724" s="590"/>
      <c r="W724" s="590"/>
      <c r="X724" s="590"/>
      <c r="Y724" s="590"/>
      <c r="Z724" s="590"/>
    </row>
    <row r="725" spans="1:26" ht="15.75" customHeight="1">
      <c r="A725" s="590"/>
      <c r="B725" s="590"/>
      <c r="C725" s="590"/>
      <c r="D725" s="590"/>
      <c r="E725" s="590"/>
      <c r="F725" s="590"/>
      <c r="G725" s="590"/>
      <c r="H725" s="590"/>
      <c r="I725" s="590"/>
      <c r="J725" s="590"/>
      <c r="K725" s="590"/>
      <c r="L725" s="590"/>
      <c r="M725" s="590"/>
      <c r="N725" s="590"/>
      <c r="O725" s="590"/>
      <c r="P725" s="590"/>
      <c r="Q725" s="590"/>
      <c r="R725" s="590"/>
      <c r="S725" s="590"/>
      <c r="T725" s="590"/>
      <c r="U725" s="590"/>
      <c r="V725" s="590"/>
      <c r="W725" s="590"/>
      <c r="X725" s="590"/>
      <c r="Y725" s="590"/>
      <c r="Z725" s="590"/>
    </row>
    <row r="726" spans="1:26" ht="15.75" customHeight="1">
      <c r="A726" s="590"/>
      <c r="B726" s="590"/>
      <c r="C726" s="590"/>
      <c r="D726" s="590"/>
      <c r="E726" s="590"/>
      <c r="F726" s="590"/>
      <c r="G726" s="590"/>
      <c r="H726" s="590"/>
      <c r="I726" s="590"/>
      <c r="J726" s="590"/>
      <c r="K726" s="590"/>
      <c r="L726" s="590"/>
      <c r="M726" s="590"/>
      <c r="N726" s="590"/>
      <c r="O726" s="590"/>
      <c r="P726" s="590"/>
      <c r="Q726" s="590"/>
      <c r="R726" s="590"/>
      <c r="S726" s="590"/>
      <c r="T726" s="590"/>
      <c r="U726" s="590"/>
      <c r="V726" s="590"/>
      <c r="W726" s="590"/>
      <c r="X726" s="590"/>
      <c r="Y726" s="590"/>
      <c r="Z726" s="590"/>
    </row>
    <row r="727" spans="1:26" ht="15.75" customHeight="1">
      <c r="A727" s="590"/>
      <c r="B727" s="590"/>
      <c r="C727" s="590"/>
      <c r="D727" s="590"/>
      <c r="E727" s="590"/>
      <c r="F727" s="590"/>
      <c r="G727" s="590"/>
      <c r="H727" s="590"/>
      <c r="I727" s="590"/>
      <c r="J727" s="590"/>
      <c r="K727" s="590"/>
      <c r="L727" s="590"/>
      <c r="M727" s="590"/>
      <c r="N727" s="590"/>
      <c r="O727" s="590"/>
      <c r="P727" s="590"/>
      <c r="Q727" s="590"/>
      <c r="R727" s="590"/>
      <c r="S727" s="590"/>
      <c r="T727" s="590"/>
      <c r="U727" s="590"/>
      <c r="V727" s="590"/>
      <c r="W727" s="590"/>
      <c r="X727" s="590"/>
      <c r="Y727" s="590"/>
      <c r="Z727" s="590"/>
    </row>
    <row r="728" spans="1:26" ht="15.75" customHeight="1">
      <c r="A728" s="590"/>
      <c r="B728" s="590"/>
      <c r="C728" s="590"/>
      <c r="D728" s="590"/>
      <c r="E728" s="590"/>
      <c r="F728" s="590"/>
      <c r="G728" s="590"/>
      <c r="H728" s="590"/>
      <c r="I728" s="590"/>
      <c r="J728" s="590"/>
      <c r="K728" s="590"/>
      <c r="L728" s="590"/>
      <c r="M728" s="590"/>
      <c r="N728" s="590"/>
      <c r="O728" s="590"/>
      <c r="P728" s="590"/>
      <c r="Q728" s="590"/>
      <c r="R728" s="590"/>
      <c r="S728" s="590"/>
      <c r="T728" s="590"/>
      <c r="U728" s="590"/>
      <c r="V728" s="590"/>
      <c r="W728" s="590"/>
      <c r="X728" s="590"/>
      <c r="Y728" s="590"/>
      <c r="Z728" s="590"/>
    </row>
    <row r="729" spans="1:26" ht="15.75" customHeight="1">
      <c r="A729" s="590"/>
      <c r="B729" s="590"/>
      <c r="C729" s="590"/>
      <c r="D729" s="590"/>
      <c r="E729" s="590"/>
      <c r="F729" s="590"/>
      <c r="G729" s="590"/>
      <c r="H729" s="590"/>
      <c r="I729" s="590"/>
      <c r="J729" s="590"/>
      <c r="K729" s="590"/>
      <c r="L729" s="590"/>
      <c r="M729" s="590"/>
      <c r="N729" s="590"/>
      <c r="O729" s="590"/>
      <c r="P729" s="590"/>
      <c r="Q729" s="590"/>
      <c r="R729" s="590"/>
      <c r="S729" s="590"/>
      <c r="T729" s="590"/>
      <c r="U729" s="590"/>
      <c r="V729" s="590"/>
      <c r="W729" s="590"/>
      <c r="X729" s="590"/>
      <c r="Y729" s="590"/>
      <c r="Z729" s="590"/>
    </row>
    <row r="730" spans="1:26" ht="15.75" customHeight="1">
      <c r="A730" s="590"/>
      <c r="B730" s="590"/>
      <c r="C730" s="590"/>
      <c r="D730" s="590"/>
      <c r="E730" s="590"/>
      <c r="F730" s="590"/>
      <c r="G730" s="590"/>
      <c r="H730" s="590"/>
      <c r="I730" s="590"/>
      <c r="J730" s="590"/>
      <c r="K730" s="590"/>
      <c r="L730" s="590"/>
      <c r="M730" s="590"/>
      <c r="N730" s="590"/>
      <c r="O730" s="590"/>
      <c r="P730" s="590"/>
      <c r="Q730" s="590"/>
      <c r="R730" s="590"/>
      <c r="S730" s="590"/>
      <c r="T730" s="590"/>
      <c r="U730" s="590"/>
      <c r="V730" s="590"/>
      <c r="W730" s="590"/>
      <c r="X730" s="590"/>
      <c r="Y730" s="590"/>
      <c r="Z730" s="590"/>
    </row>
    <row r="731" spans="1:26" ht="15.75" customHeight="1">
      <c r="A731" s="590"/>
      <c r="B731" s="590"/>
      <c r="C731" s="590"/>
      <c r="D731" s="590"/>
      <c r="E731" s="590"/>
      <c r="F731" s="590"/>
      <c r="G731" s="590"/>
      <c r="H731" s="590"/>
      <c r="I731" s="590"/>
      <c r="J731" s="590"/>
      <c r="K731" s="590"/>
      <c r="L731" s="590"/>
      <c r="M731" s="590"/>
      <c r="N731" s="590"/>
      <c r="O731" s="590"/>
      <c r="P731" s="590"/>
      <c r="Q731" s="590"/>
      <c r="R731" s="590"/>
      <c r="S731" s="590"/>
      <c r="T731" s="590"/>
      <c r="U731" s="590"/>
      <c r="V731" s="590"/>
      <c r="W731" s="590"/>
      <c r="X731" s="590"/>
      <c r="Y731" s="590"/>
      <c r="Z731" s="590"/>
    </row>
    <row r="732" spans="1:26" ht="15.75" customHeight="1">
      <c r="A732" s="590"/>
      <c r="B732" s="590"/>
      <c r="C732" s="590"/>
      <c r="D732" s="590"/>
      <c r="E732" s="590"/>
      <c r="F732" s="590"/>
      <c r="G732" s="590"/>
      <c r="H732" s="590"/>
      <c r="I732" s="590"/>
      <c r="J732" s="590"/>
      <c r="K732" s="590"/>
      <c r="L732" s="590"/>
      <c r="M732" s="590"/>
      <c r="N732" s="590"/>
      <c r="O732" s="590"/>
      <c r="P732" s="590"/>
      <c r="Q732" s="590"/>
      <c r="R732" s="590"/>
      <c r="S732" s="590"/>
      <c r="T732" s="590"/>
      <c r="U732" s="590"/>
      <c r="V732" s="590"/>
      <c r="W732" s="590"/>
      <c r="X732" s="590"/>
      <c r="Y732" s="590"/>
      <c r="Z732" s="590"/>
    </row>
    <row r="733" spans="1:26" ht="15.75" customHeight="1">
      <c r="A733" s="590"/>
      <c r="B733" s="590"/>
      <c r="C733" s="590"/>
      <c r="D733" s="590"/>
      <c r="E733" s="590"/>
      <c r="F733" s="590"/>
      <c r="G733" s="590"/>
      <c r="H733" s="590"/>
      <c r="I733" s="590"/>
      <c r="J733" s="590"/>
      <c r="K733" s="590"/>
      <c r="L733" s="590"/>
      <c r="M733" s="590"/>
      <c r="N733" s="590"/>
      <c r="O733" s="590"/>
      <c r="P733" s="590"/>
      <c r="Q733" s="590"/>
      <c r="R733" s="590"/>
      <c r="S733" s="590"/>
      <c r="T733" s="590"/>
      <c r="U733" s="590"/>
      <c r="V733" s="590"/>
      <c r="W733" s="590"/>
      <c r="X733" s="590"/>
      <c r="Y733" s="590"/>
      <c r="Z733" s="590"/>
    </row>
    <row r="734" spans="1:26" ht="15.75" customHeight="1">
      <c r="A734" s="590"/>
      <c r="B734" s="590"/>
      <c r="C734" s="590"/>
      <c r="D734" s="590"/>
      <c r="E734" s="590"/>
      <c r="F734" s="590"/>
      <c r="G734" s="590"/>
      <c r="H734" s="590"/>
      <c r="I734" s="590"/>
      <c r="J734" s="590"/>
      <c r="K734" s="590"/>
      <c r="L734" s="590"/>
      <c r="M734" s="590"/>
      <c r="N734" s="590"/>
      <c r="O734" s="590"/>
      <c r="P734" s="590"/>
      <c r="Q734" s="590"/>
      <c r="R734" s="590"/>
      <c r="S734" s="590"/>
      <c r="T734" s="590"/>
      <c r="U734" s="590"/>
      <c r="V734" s="590"/>
      <c r="W734" s="590"/>
      <c r="X734" s="590"/>
      <c r="Y734" s="590"/>
      <c r="Z734" s="590"/>
    </row>
    <row r="735" spans="1:26" ht="15.75" customHeight="1">
      <c r="A735" s="590"/>
      <c r="B735" s="590"/>
      <c r="C735" s="590"/>
      <c r="D735" s="590"/>
      <c r="E735" s="590"/>
      <c r="F735" s="590"/>
      <c r="G735" s="590"/>
      <c r="H735" s="590"/>
      <c r="I735" s="590"/>
      <c r="J735" s="590"/>
      <c r="K735" s="590"/>
      <c r="L735" s="590"/>
      <c r="M735" s="590"/>
      <c r="N735" s="590"/>
      <c r="O735" s="590"/>
      <c r="P735" s="590"/>
      <c r="Q735" s="590"/>
      <c r="R735" s="590"/>
      <c r="S735" s="590"/>
      <c r="T735" s="590"/>
      <c r="U735" s="590"/>
      <c r="V735" s="590"/>
      <c r="W735" s="590"/>
      <c r="X735" s="590"/>
      <c r="Y735" s="590"/>
      <c r="Z735" s="590"/>
    </row>
    <row r="736" spans="1:26" ht="15.75" customHeight="1">
      <c r="A736" s="590"/>
      <c r="B736" s="590"/>
      <c r="C736" s="590"/>
      <c r="D736" s="590"/>
      <c r="E736" s="590"/>
      <c r="F736" s="590"/>
      <c r="G736" s="590"/>
      <c r="H736" s="590"/>
      <c r="I736" s="590"/>
      <c r="J736" s="590"/>
      <c r="K736" s="590"/>
      <c r="L736" s="590"/>
      <c r="M736" s="590"/>
      <c r="N736" s="590"/>
      <c r="O736" s="590"/>
      <c r="P736" s="590"/>
      <c r="Q736" s="590"/>
      <c r="R736" s="590"/>
      <c r="S736" s="590"/>
      <c r="T736" s="590"/>
      <c r="U736" s="590"/>
      <c r="V736" s="590"/>
      <c r="W736" s="590"/>
      <c r="X736" s="590"/>
      <c r="Y736" s="590"/>
      <c r="Z736" s="590"/>
    </row>
    <row r="737" spans="1:26" ht="15.75" customHeight="1">
      <c r="A737" s="590"/>
      <c r="B737" s="590"/>
      <c r="C737" s="590"/>
      <c r="D737" s="590"/>
      <c r="E737" s="590"/>
      <c r="F737" s="590"/>
      <c r="G737" s="590"/>
      <c r="H737" s="590"/>
      <c r="I737" s="590"/>
      <c r="J737" s="590"/>
      <c r="K737" s="590"/>
      <c r="L737" s="590"/>
      <c r="M737" s="590"/>
      <c r="N737" s="590"/>
      <c r="O737" s="590"/>
      <c r="P737" s="590"/>
      <c r="Q737" s="590"/>
      <c r="R737" s="590"/>
      <c r="S737" s="590"/>
      <c r="T737" s="590"/>
      <c r="U737" s="590"/>
      <c r="V737" s="590"/>
      <c r="W737" s="590"/>
      <c r="X737" s="590"/>
      <c r="Y737" s="590"/>
      <c r="Z737" s="590"/>
    </row>
    <row r="738" spans="1:26" ht="15.75" customHeight="1">
      <c r="A738" s="590"/>
      <c r="B738" s="590"/>
      <c r="C738" s="590"/>
      <c r="D738" s="590"/>
      <c r="E738" s="590"/>
      <c r="F738" s="590"/>
      <c r="G738" s="590"/>
      <c r="H738" s="590"/>
      <c r="I738" s="590"/>
      <c r="J738" s="590"/>
      <c r="K738" s="590"/>
      <c r="L738" s="590"/>
      <c r="M738" s="590"/>
      <c r="N738" s="590"/>
      <c r="O738" s="590"/>
      <c r="P738" s="590"/>
      <c r="Q738" s="590"/>
      <c r="R738" s="590"/>
      <c r="S738" s="590"/>
      <c r="T738" s="590"/>
      <c r="U738" s="590"/>
      <c r="V738" s="590"/>
      <c r="W738" s="590"/>
      <c r="X738" s="590"/>
      <c r="Y738" s="590"/>
      <c r="Z738" s="590"/>
    </row>
    <row r="739" spans="1:26" ht="15.75" customHeight="1">
      <c r="A739" s="590"/>
      <c r="B739" s="590"/>
      <c r="C739" s="590"/>
      <c r="D739" s="590"/>
      <c r="E739" s="590"/>
      <c r="F739" s="590"/>
      <c r="G739" s="590"/>
      <c r="H739" s="590"/>
      <c r="I739" s="590"/>
      <c r="J739" s="590"/>
      <c r="K739" s="590"/>
      <c r="L739" s="590"/>
      <c r="M739" s="590"/>
      <c r="N739" s="590"/>
      <c r="O739" s="590"/>
      <c r="P739" s="590"/>
      <c r="Q739" s="590"/>
      <c r="R739" s="590"/>
      <c r="S739" s="590"/>
      <c r="T739" s="590"/>
      <c r="U739" s="590"/>
      <c r="V739" s="590"/>
      <c r="W739" s="590"/>
      <c r="X739" s="590"/>
      <c r="Y739" s="590"/>
      <c r="Z739" s="590"/>
    </row>
    <row r="740" spans="1:26" ht="15.75" customHeight="1">
      <c r="A740" s="590"/>
      <c r="B740" s="590"/>
      <c r="C740" s="590"/>
      <c r="D740" s="590"/>
      <c r="E740" s="590"/>
      <c r="F740" s="590"/>
      <c r="G740" s="590"/>
      <c r="H740" s="590"/>
      <c r="I740" s="590"/>
      <c r="J740" s="590"/>
      <c r="K740" s="590"/>
      <c r="L740" s="590"/>
      <c r="M740" s="590"/>
      <c r="N740" s="590"/>
      <c r="O740" s="590"/>
      <c r="P740" s="590"/>
      <c r="Q740" s="590"/>
      <c r="R740" s="590"/>
      <c r="S740" s="590"/>
      <c r="T740" s="590"/>
      <c r="U740" s="590"/>
      <c r="V740" s="590"/>
      <c r="W740" s="590"/>
      <c r="X740" s="590"/>
      <c r="Y740" s="590"/>
      <c r="Z740" s="590"/>
    </row>
    <row r="741" spans="1:26" ht="15.75" customHeight="1">
      <c r="A741" s="590"/>
      <c r="B741" s="590"/>
      <c r="C741" s="590"/>
      <c r="D741" s="590"/>
      <c r="E741" s="590"/>
      <c r="F741" s="590"/>
      <c r="G741" s="590"/>
      <c r="H741" s="590"/>
      <c r="I741" s="590"/>
      <c r="J741" s="590"/>
      <c r="K741" s="590"/>
      <c r="L741" s="590"/>
      <c r="M741" s="590"/>
      <c r="N741" s="590"/>
      <c r="O741" s="590"/>
      <c r="P741" s="590"/>
      <c r="Q741" s="590"/>
      <c r="R741" s="590"/>
      <c r="S741" s="590"/>
      <c r="T741" s="590"/>
      <c r="U741" s="590"/>
      <c r="V741" s="590"/>
      <c r="W741" s="590"/>
      <c r="X741" s="590"/>
      <c r="Y741" s="590"/>
      <c r="Z741" s="590"/>
    </row>
    <row r="742" spans="1:26" ht="15.75" customHeight="1">
      <c r="A742" s="590"/>
      <c r="B742" s="590"/>
      <c r="C742" s="590"/>
      <c r="D742" s="590"/>
      <c r="E742" s="590"/>
      <c r="F742" s="590"/>
      <c r="G742" s="590"/>
      <c r="H742" s="590"/>
      <c r="I742" s="590"/>
      <c r="J742" s="590"/>
      <c r="K742" s="590"/>
      <c r="L742" s="590"/>
      <c r="M742" s="590"/>
      <c r="N742" s="590"/>
      <c r="O742" s="590"/>
      <c r="P742" s="590"/>
      <c r="Q742" s="590"/>
      <c r="R742" s="590"/>
      <c r="S742" s="590"/>
      <c r="T742" s="590"/>
      <c r="U742" s="590"/>
      <c r="V742" s="590"/>
      <c r="W742" s="590"/>
      <c r="X742" s="590"/>
      <c r="Y742" s="590"/>
      <c r="Z742" s="590"/>
    </row>
    <row r="743" spans="1:26" ht="15.75" customHeight="1">
      <c r="A743" s="590"/>
      <c r="B743" s="590"/>
      <c r="C743" s="590"/>
      <c r="D743" s="590"/>
      <c r="E743" s="590"/>
      <c r="F743" s="590"/>
      <c r="G743" s="590"/>
      <c r="H743" s="590"/>
      <c r="I743" s="590"/>
      <c r="J743" s="590"/>
      <c r="K743" s="590"/>
      <c r="L743" s="590"/>
      <c r="M743" s="590"/>
      <c r="N743" s="590"/>
      <c r="O743" s="590"/>
      <c r="P743" s="590"/>
      <c r="Q743" s="590"/>
      <c r="R743" s="590"/>
      <c r="S743" s="590"/>
      <c r="T743" s="590"/>
      <c r="U743" s="590"/>
      <c r="V743" s="590"/>
      <c r="W743" s="590"/>
      <c r="X743" s="590"/>
      <c r="Y743" s="590"/>
      <c r="Z743" s="590"/>
    </row>
    <row r="744" spans="1:26" ht="15.75" customHeight="1">
      <c r="A744" s="590"/>
      <c r="B744" s="590"/>
      <c r="C744" s="590"/>
      <c r="D744" s="590"/>
      <c r="E744" s="590"/>
      <c r="F744" s="590"/>
      <c r="G744" s="590"/>
      <c r="H744" s="590"/>
      <c r="I744" s="590"/>
      <c r="J744" s="590"/>
      <c r="K744" s="590"/>
      <c r="L744" s="590"/>
      <c r="M744" s="590"/>
      <c r="N744" s="590"/>
      <c r="O744" s="590"/>
      <c r="P744" s="590"/>
      <c r="Q744" s="590"/>
      <c r="R744" s="590"/>
      <c r="S744" s="590"/>
      <c r="T744" s="590"/>
      <c r="U744" s="590"/>
      <c r="V744" s="590"/>
      <c r="W744" s="590"/>
      <c r="X744" s="590"/>
      <c r="Y744" s="590"/>
      <c r="Z744" s="590"/>
    </row>
    <row r="745" spans="1:26" ht="15.75" customHeight="1">
      <c r="A745" s="590"/>
      <c r="B745" s="590"/>
      <c r="C745" s="590"/>
      <c r="D745" s="590"/>
      <c r="E745" s="590"/>
      <c r="F745" s="590"/>
      <c r="G745" s="590"/>
      <c r="H745" s="590"/>
      <c r="I745" s="590"/>
      <c r="J745" s="590"/>
      <c r="K745" s="590"/>
      <c r="L745" s="590"/>
      <c r="M745" s="590"/>
      <c r="N745" s="590"/>
      <c r="O745" s="590"/>
      <c r="P745" s="590"/>
      <c r="Q745" s="590"/>
      <c r="R745" s="590"/>
      <c r="S745" s="590"/>
      <c r="T745" s="590"/>
      <c r="U745" s="590"/>
      <c r="V745" s="590"/>
      <c r="W745" s="590"/>
      <c r="X745" s="590"/>
      <c r="Y745" s="590"/>
      <c r="Z745" s="590"/>
    </row>
    <row r="746" spans="1:26" ht="15.75" customHeight="1">
      <c r="A746" s="590"/>
      <c r="B746" s="590"/>
      <c r="C746" s="590"/>
      <c r="D746" s="590"/>
      <c r="E746" s="590"/>
      <c r="F746" s="590"/>
      <c r="G746" s="590"/>
      <c r="H746" s="590"/>
      <c r="I746" s="590"/>
      <c r="J746" s="590"/>
      <c r="K746" s="590"/>
      <c r="L746" s="590"/>
      <c r="M746" s="590"/>
      <c r="N746" s="590"/>
      <c r="O746" s="590"/>
      <c r="P746" s="590"/>
      <c r="Q746" s="590"/>
      <c r="R746" s="590"/>
      <c r="S746" s="590"/>
      <c r="T746" s="590"/>
      <c r="U746" s="590"/>
      <c r="V746" s="590"/>
      <c r="W746" s="590"/>
      <c r="X746" s="590"/>
      <c r="Y746" s="590"/>
      <c r="Z746" s="590"/>
    </row>
    <row r="747" spans="1:26" ht="15.75" customHeight="1">
      <c r="A747" s="590"/>
      <c r="B747" s="590"/>
      <c r="C747" s="590"/>
      <c r="D747" s="590"/>
      <c r="E747" s="590"/>
      <c r="F747" s="590"/>
      <c r="G747" s="590"/>
      <c r="H747" s="590"/>
      <c r="I747" s="590"/>
      <c r="J747" s="590"/>
      <c r="K747" s="590"/>
      <c r="L747" s="590"/>
      <c r="M747" s="590"/>
      <c r="N747" s="590"/>
      <c r="O747" s="590"/>
      <c r="P747" s="590"/>
      <c r="Q747" s="590"/>
      <c r="R747" s="590"/>
      <c r="S747" s="590"/>
      <c r="T747" s="590"/>
      <c r="U747" s="590"/>
      <c r="V747" s="590"/>
      <c r="W747" s="590"/>
      <c r="X747" s="590"/>
      <c r="Y747" s="590"/>
      <c r="Z747" s="590"/>
    </row>
    <row r="748" spans="1:26" ht="15.75" customHeight="1">
      <c r="A748" s="590"/>
      <c r="B748" s="590"/>
      <c r="C748" s="590"/>
      <c r="D748" s="590"/>
      <c r="E748" s="590"/>
      <c r="F748" s="590"/>
      <c r="G748" s="590"/>
      <c r="H748" s="590"/>
      <c r="I748" s="590"/>
      <c r="J748" s="590"/>
      <c r="K748" s="590"/>
      <c r="L748" s="590"/>
      <c r="M748" s="590"/>
      <c r="N748" s="590"/>
      <c r="O748" s="590"/>
      <c r="P748" s="590"/>
      <c r="Q748" s="590"/>
      <c r="R748" s="590"/>
      <c r="S748" s="590"/>
      <c r="T748" s="590"/>
      <c r="U748" s="590"/>
      <c r="V748" s="590"/>
      <c r="W748" s="590"/>
      <c r="X748" s="590"/>
      <c r="Y748" s="590"/>
      <c r="Z748" s="590"/>
    </row>
    <row r="749" spans="1:26" ht="15.75" customHeight="1">
      <c r="A749" s="590"/>
      <c r="B749" s="590"/>
      <c r="C749" s="590"/>
      <c r="D749" s="590"/>
      <c r="E749" s="590"/>
      <c r="F749" s="590"/>
      <c r="G749" s="590"/>
      <c r="H749" s="590"/>
      <c r="I749" s="590"/>
      <c r="J749" s="590"/>
      <c r="K749" s="590"/>
      <c r="L749" s="590"/>
      <c r="M749" s="590"/>
      <c r="N749" s="590"/>
      <c r="O749" s="590"/>
      <c r="P749" s="590"/>
      <c r="Q749" s="590"/>
      <c r="R749" s="590"/>
      <c r="S749" s="590"/>
      <c r="T749" s="590"/>
      <c r="U749" s="590"/>
      <c r="V749" s="590"/>
      <c r="W749" s="590"/>
      <c r="X749" s="590"/>
      <c r="Y749" s="590"/>
      <c r="Z749" s="590"/>
    </row>
    <row r="750" spans="1:26" ht="15.75" customHeight="1">
      <c r="A750" s="590"/>
      <c r="B750" s="590"/>
      <c r="C750" s="590"/>
      <c r="D750" s="590"/>
      <c r="E750" s="590"/>
      <c r="F750" s="590"/>
      <c r="G750" s="590"/>
      <c r="H750" s="590"/>
      <c r="I750" s="590"/>
      <c r="J750" s="590"/>
      <c r="K750" s="590"/>
      <c r="L750" s="590"/>
      <c r="M750" s="590"/>
      <c r="N750" s="590"/>
      <c r="O750" s="590"/>
      <c r="P750" s="590"/>
      <c r="Q750" s="590"/>
      <c r="R750" s="590"/>
      <c r="S750" s="590"/>
      <c r="T750" s="590"/>
      <c r="U750" s="590"/>
      <c r="V750" s="590"/>
      <c r="W750" s="590"/>
      <c r="X750" s="590"/>
      <c r="Y750" s="590"/>
      <c r="Z750" s="590"/>
    </row>
    <row r="751" spans="1:26" ht="15.75" customHeight="1">
      <c r="A751" s="590"/>
      <c r="B751" s="590"/>
      <c r="C751" s="590"/>
      <c r="D751" s="590"/>
      <c r="E751" s="590"/>
      <c r="F751" s="590"/>
      <c r="G751" s="590"/>
      <c r="H751" s="590"/>
      <c r="I751" s="590"/>
      <c r="J751" s="590"/>
      <c r="K751" s="590"/>
      <c r="L751" s="590"/>
      <c r="M751" s="590"/>
      <c r="N751" s="590"/>
      <c r="O751" s="590"/>
      <c r="P751" s="590"/>
      <c r="Q751" s="590"/>
      <c r="R751" s="590"/>
      <c r="S751" s="590"/>
      <c r="T751" s="590"/>
      <c r="U751" s="590"/>
      <c r="V751" s="590"/>
      <c r="W751" s="590"/>
      <c r="X751" s="590"/>
      <c r="Y751" s="590"/>
      <c r="Z751" s="590"/>
    </row>
    <row r="752" spans="1:26" ht="15.75" customHeight="1">
      <c r="A752" s="590"/>
      <c r="B752" s="590"/>
      <c r="C752" s="590"/>
      <c r="D752" s="590"/>
      <c r="E752" s="590"/>
      <c r="F752" s="590"/>
      <c r="G752" s="590"/>
      <c r="H752" s="590"/>
      <c r="I752" s="590"/>
      <c r="J752" s="590"/>
      <c r="K752" s="590"/>
      <c r="L752" s="590"/>
      <c r="M752" s="590"/>
      <c r="N752" s="590"/>
      <c r="O752" s="590"/>
      <c r="P752" s="590"/>
      <c r="Q752" s="590"/>
      <c r="R752" s="590"/>
      <c r="S752" s="590"/>
      <c r="T752" s="590"/>
      <c r="U752" s="590"/>
      <c r="V752" s="590"/>
      <c r="W752" s="590"/>
      <c r="X752" s="590"/>
      <c r="Y752" s="590"/>
      <c r="Z752" s="590"/>
    </row>
    <row r="753" spans="1:26" ht="15.75" customHeight="1">
      <c r="A753" s="590"/>
      <c r="B753" s="590"/>
      <c r="C753" s="590"/>
      <c r="D753" s="590"/>
      <c r="E753" s="590"/>
      <c r="F753" s="590"/>
      <c r="G753" s="590"/>
      <c r="H753" s="590"/>
      <c r="I753" s="590"/>
      <c r="J753" s="590"/>
      <c r="K753" s="590"/>
      <c r="L753" s="590"/>
      <c r="M753" s="590"/>
      <c r="N753" s="590"/>
      <c r="O753" s="590"/>
      <c r="P753" s="590"/>
      <c r="Q753" s="590"/>
      <c r="R753" s="590"/>
      <c r="S753" s="590"/>
      <c r="T753" s="590"/>
      <c r="U753" s="590"/>
      <c r="V753" s="590"/>
      <c r="W753" s="590"/>
      <c r="X753" s="590"/>
      <c r="Y753" s="590"/>
      <c r="Z753" s="590"/>
    </row>
    <row r="754" spans="1:26" ht="15.75" customHeight="1">
      <c r="A754" s="590"/>
      <c r="B754" s="590"/>
      <c r="C754" s="590"/>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row>
    <row r="755" spans="1:26" ht="15.75" customHeight="1">
      <c r="A755" s="590"/>
      <c r="B755" s="590"/>
      <c r="C755" s="590"/>
      <c r="D755" s="590"/>
      <c r="E755" s="590"/>
      <c r="F755" s="590"/>
      <c r="G755" s="590"/>
      <c r="H755" s="590"/>
      <c r="I755" s="590"/>
      <c r="J755" s="590"/>
      <c r="K755" s="590"/>
      <c r="L755" s="590"/>
      <c r="M755" s="590"/>
      <c r="N755" s="590"/>
      <c r="O755" s="590"/>
      <c r="P755" s="590"/>
      <c r="Q755" s="590"/>
      <c r="R755" s="590"/>
      <c r="S755" s="590"/>
      <c r="T755" s="590"/>
      <c r="U755" s="590"/>
      <c r="V755" s="590"/>
      <c r="W755" s="590"/>
      <c r="X755" s="590"/>
      <c r="Y755" s="590"/>
      <c r="Z755" s="590"/>
    </row>
    <row r="756" spans="1:26" ht="15.75" customHeight="1">
      <c r="A756" s="590"/>
      <c r="B756" s="590"/>
      <c r="C756" s="590"/>
      <c r="D756" s="590"/>
      <c r="E756" s="590"/>
      <c r="F756" s="590"/>
      <c r="G756" s="590"/>
      <c r="H756" s="590"/>
      <c r="I756" s="590"/>
      <c r="J756" s="590"/>
      <c r="K756" s="590"/>
      <c r="L756" s="590"/>
      <c r="M756" s="590"/>
      <c r="N756" s="590"/>
      <c r="O756" s="590"/>
      <c r="P756" s="590"/>
      <c r="Q756" s="590"/>
      <c r="R756" s="590"/>
      <c r="S756" s="590"/>
      <c r="T756" s="590"/>
      <c r="U756" s="590"/>
      <c r="V756" s="590"/>
      <c r="W756" s="590"/>
      <c r="X756" s="590"/>
      <c r="Y756" s="590"/>
      <c r="Z756" s="590"/>
    </row>
    <row r="757" spans="1:26" ht="15.75" customHeight="1">
      <c r="A757" s="590"/>
      <c r="B757" s="590"/>
      <c r="C757" s="590"/>
      <c r="D757" s="590"/>
      <c r="E757" s="590"/>
      <c r="F757" s="590"/>
      <c r="G757" s="590"/>
      <c r="H757" s="590"/>
      <c r="I757" s="590"/>
      <c r="J757" s="590"/>
      <c r="K757" s="590"/>
      <c r="L757" s="590"/>
      <c r="M757" s="590"/>
      <c r="N757" s="590"/>
      <c r="O757" s="590"/>
      <c r="P757" s="590"/>
      <c r="Q757" s="590"/>
      <c r="R757" s="590"/>
      <c r="S757" s="590"/>
      <c r="T757" s="590"/>
      <c r="U757" s="590"/>
      <c r="V757" s="590"/>
      <c r="W757" s="590"/>
      <c r="X757" s="590"/>
      <c r="Y757" s="590"/>
      <c r="Z757" s="590"/>
    </row>
    <row r="758" spans="1:26" ht="15.75" customHeight="1">
      <c r="A758" s="590"/>
      <c r="B758" s="590"/>
      <c r="C758" s="590"/>
      <c r="D758" s="590"/>
      <c r="E758" s="590"/>
      <c r="F758" s="590"/>
      <c r="G758" s="590"/>
      <c r="H758" s="590"/>
      <c r="I758" s="590"/>
      <c r="J758" s="590"/>
      <c r="K758" s="590"/>
      <c r="L758" s="590"/>
      <c r="M758" s="590"/>
      <c r="N758" s="590"/>
      <c r="O758" s="590"/>
      <c r="P758" s="590"/>
      <c r="Q758" s="590"/>
      <c r="R758" s="590"/>
      <c r="S758" s="590"/>
      <c r="T758" s="590"/>
      <c r="U758" s="590"/>
      <c r="V758" s="590"/>
      <c r="W758" s="590"/>
      <c r="X758" s="590"/>
      <c r="Y758" s="590"/>
      <c r="Z758" s="590"/>
    </row>
    <row r="759" spans="1:26" ht="15.75" customHeight="1">
      <c r="A759" s="590"/>
      <c r="B759" s="590"/>
      <c r="C759" s="590"/>
      <c r="D759" s="590"/>
      <c r="E759" s="590"/>
      <c r="F759" s="590"/>
      <c r="G759" s="590"/>
      <c r="H759" s="590"/>
      <c r="I759" s="590"/>
      <c r="J759" s="590"/>
      <c r="K759" s="590"/>
      <c r="L759" s="590"/>
      <c r="M759" s="590"/>
      <c r="N759" s="590"/>
      <c r="O759" s="590"/>
      <c r="P759" s="590"/>
      <c r="Q759" s="590"/>
      <c r="R759" s="590"/>
      <c r="S759" s="590"/>
      <c r="T759" s="590"/>
      <c r="U759" s="590"/>
      <c r="V759" s="590"/>
      <c r="W759" s="590"/>
      <c r="X759" s="590"/>
      <c r="Y759" s="590"/>
      <c r="Z759" s="590"/>
    </row>
    <row r="760" spans="1:26" ht="15.75" customHeight="1">
      <c r="A760" s="590"/>
      <c r="B760" s="590"/>
      <c r="C760" s="590"/>
      <c r="D760" s="590"/>
      <c r="E760" s="590"/>
      <c r="F760" s="590"/>
      <c r="G760" s="590"/>
      <c r="H760" s="590"/>
      <c r="I760" s="590"/>
      <c r="J760" s="590"/>
      <c r="K760" s="590"/>
      <c r="L760" s="590"/>
      <c r="M760" s="590"/>
      <c r="N760" s="590"/>
      <c r="O760" s="590"/>
      <c r="P760" s="590"/>
      <c r="Q760" s="590"/>
      <c r="R760" s="590"/>
      <c r="S760" s="590"/>
      <c r="T760" s="590"/>
      <c r="U760" s="590"/>
      <c r="V760" s="590"/>
      <c r="W760" s="590"/>
      <c r="X760" s="590"/>
      <c r="Y760" s="590"/>
      <c r="Z760" s="590"/>
    </row>
    <row r="761" spans="1:26" ht="15.75" customHeight="1">
      <c r="A761" s="590"/>
      <c r="B761" s="590"/>
      <c r="C761" s="590"/>
      <c r="D761" s="590"/>
      <c r="E761" s="590"/>
      <c r="F761" s="590"/>
      <c r="G761" s="590"/>
      <c r="H761" s="590"/>
      <c r="I761" s="590"/>
      <c r="J761" s="590"/>
      <c r="K761" s="590"/>
      <c r="L761" s="590"/>
      <c r="M761" s="590"/>
      <c r="N761" s="590"/>
      <c r="O761" s="590"/>
      <c r="P761" s="590"/>
      <c r="Q761" s="590"/>
      <c r="R761" s="590"/>
      <c r="S761" s="590"/>
      <c r="T761" s="590"/>
      <c r="U761" s="590"/>
      <c r="V761" s="590"/>
      <c r="W761" s="590"/>
      <c r="X761" s="590"/>
      <c r="Y761" s="590"/>
      <c r="Z761" s="590"/>
    </row>
    <row r="762" spans="1:26" ht="15.75" customHeight="1">
      <c r="A762" s="590"/>
      <c r="B762" s="590"/>
      <c r="C762" s="590"/>
      <c r="D762" s="590"/>
      <c r="E762" s="590"/>
      <c r="F762" s="590"/>
      <c r="G762" s="590"/>
      <c r="H762" s="590"/>
      <c r="I762" s="590"/>
      <c r="J762" s="590"/>
      <c r="K762" s="590"/>
      <c r="L762" s="590"/>
      <c r="M762" s="590"/>
      <c r="N762" s="590"/>
      <c r="O762" s="590"/>
      <c r="P762" s="590"/>
      <c r="Q762" s="590"/>
      <c r="R762" s="590"/>
      <c r="S762" s="590"/>
      <c r="T762" s="590"/>
      <c r="U762" s="590"/>
      <c r="V762" s="590"/>
      <c r="W762" s="590"/>
      <c r="X762" s="590"/>
      <c r="Y762" s="590"/>
      <c r="Z762" s="590"/>
    </row>
    <row r="763" spans="1:26" ht="15.75" customHeight="1">
      <c r="A763" s="590"/>
      <c r="B763" s="590"/>
      <c r="C763" s="590"/>
      <c r="D763" s="590"/>
      <c r="E763" s="590"/>
      <c r="F763" s="590"/>
      <c r="G763" s="590"/>
      <c r="H763" s="590"/>
      <c r="I763" s="590"/>
      <c r="J763" s="590"/>
      <c r="K763" s="590"/>
      <c r="L763" s="590"/>
      <c r="M763" s="590"/>
      <c r="N763" s="590"/>
      <c r="O763" s="590"/>
      <c r="P763" s="590"/>
      <c r="Q763" s="590"/>
      <c r="R763" s="590"/>
      <c r="S763" s="590"/>
      <c r="T763" s="590"/>
      <c r="U763" s="590"/>
      <c r="V763" s="590"/>
      <c r="W763" s="590"/>
      <c r="X763" s="590"/>
      <c r="Y763" s="590"/>
      <c r="Z763" s="590"/>
    </row>
    <row r="764" spans="1:26" ht="15.75" customHeight="1">
      <c r="A764" s="590"/>
      <c r="B764" s="590"/>
      <c r="C764" s="590"/>
      <c r="D764" s="590"/>
      <c r="E764" s="590"/>
      <c r="F764" s="590"/>
      <c r="G764" s="590"/>
      <c r="H764" s="590"/>
      <c r="I764" s="590"/>
      <c r="J764" s="590"/>
      <c r="K764" s="590"/>
      <c r="L764" s="590"/>
      <c r="M764" s="590"/>
      <c r="N764" s="590"/>
      <c r="O764" s="590"/>
      <c r="P764" s="590"/>
      <c r="Q764" s="590"/>
      <c r="R764" s="590"/>
      <c r="S764" s="590"/>
      <c r="T764" s="590"/>
      <c r="U764" s="590"/>
      <c r="V764" s="590"/>
      <c r="W764" s="590"/>
      <c r="X764" s="590"/>
      <c r="Y764" s="590"/>
      <c r="Z764" s="590"/>
    </row>
    <row r="765" spans="1:26" ht="15.75" customHeight="1">
      <c r="A765" s="590"/>
      <c r="B765" s="590"/>
      <c r="C765" s="590"/>
      <c r="D765" s="590"/>
      <c r="E765" s="590"/>
      <c r="F765" s="590"/>
      <c r="G765" s="590"/>
      <c r="H765" s="590"/>
      <c r="I765" s="590"/>
      <c r="J765" s="590"/>
      <c r="K765" s="590"/>
      <c r="L765" s="590"/>
      <c r="M765" s="590"/>
      <c r="N765" s="590"/>
      <c r="O765" s="590"/>
      <c r="P765" s="590"/>
      <c r="Q765" s="590"/>
      <c r="R765" s="590"/>
      <c r="S765" s="590"/>
      <c r="T765" s="590"/>
      <c r="U765" s="590"/>
      <c r="V765" s="590"/>
      <c r="W765" s="590"/>
      <c r="X765" s="590"/>
      <c r="Y765" s="590"/>
      <c r="Z765" s="590"/>
    </row>
    <row r="766" spans="1:26" ht="15.75" customHeight="1">
      <c r="A766" s="590"/>
      <c r="B766" s="590"/>
      <c r="C766" s="590"/>
      <c r="D766" s="590"/>
      <c r="E766" s="590"/>
      <c r="F766" s="590"/>
      <c r="G766" s="590"/>
      <c r="H766" s="590"/>
      <c r="I766" s="590"/>
      <c r="J766" s="590"/>
      <c r="K766" s="590"/>
      <c r="L766" s="590"/>
      <c r="M766" s="590"/>
      <c r="N766" s="590"/>
      <c r="O766" s="590"/>
      <c r="P766" s="590"/>
      <c r="Q766" s="590"/>
      <c r="R766" s="590"/>
      <c r="S766" s="590"/>
      <c r="T766" s="590"/>
      <c r="U766" s="590"/>
      <c r="V766" s="590"/>
      <c r="W766" s="590"/>
      <c r="X766" s="590"/>
      <c r="Y766" s="590"/>
      <c r="Z766" s="590"/>
    </row>
    <row r="767" spans="1:26" ht="15.75" customHeight="1">
      <c r="A767" s="590"/>
      <c r="B767" s="590"/>
      <c r="C767" s="590"/>
      <c r="D767" s="590"/>
      <c r="E767" s="590"/>
      <c r="F767" s="590"/>
      <c r="G767" s="590"/>
      <c r="H767" s="590"/>
      <c r="I767" s="590"/>
      <c r="J767" s="590"/>
      <c r="K767" s="590"/>
      <c r="L767" s="590"/>
      <c r="M767" s="590"/>
      <c r="N767" s="590"/>
      <c r="O767" s="590"/>
      <c r="P767" s="590"/>
      <c r="Q767" s="590"/>
      <c r="R767" s="590"/>
      <c r="S767" s="590"/>
      <c r="T767" s="590"/>
      <c r="U767" s="590"/>
      <c r="V767" s="590"/>
      <c r="W767" s="590"/>
      <c r="X767" s="590"/>
      <c r="Y767" s="590"/>
      <c r="Z767" s="590"/>
    </row>
    <row r="768" spans="1:26" ht="15.75" customHeight="1">
      <c r="A768" s="590"/>
      <c r="B768" s="590"/>
      <c r="C768" s="590"/>
      <c r="D768" s="590"/>
      <c r="E768" s="590"/>
      <c r="F768" s="590"/>
      <c r="G768" s="590"/>
      <c r="H768" s="590"/>
      <c r="I768" s="590"/>
      <c r="J768" s="590"/>
      <c r="K768" s="590"/>
      <c r="L768" s="590"/>
      <c r="M768" s="590"/>
      <c r="N768" s="590"/>
      <c r="O768" s="590"/>
      <c r="P768" s="590"/>
      <c r="Q768" s="590"/>
      <c r="R768" s="590"/>
      <c r="S768" s="590"/>
      <c r="T768" s="590"/>
      <c r="U768" s="590"/>
      <c r="V768" s="590"/>
      <c r="W768" s="590"/>
      <c r="X768" s="590"/>
      <c r="Y768" s="590"/>
      <c r="Z768" s="590"/>
    </row>
    <row r="769" spans="1:26" ht="15.75" customHeight="1">
      <c r="A769" s="590"/>
      <c r="B769" s="590"/>
      <c r="C769" s="590"/>
      <c r="D769" s="590"/>
      <c r="E769" s="590"/>
      <c r="F769" s="590"/>
      <c r="G769" s="590"/>
      <c r="H769" s="590"/>
      <c r="I769" s="590"/>
      <c r="J769" s="590"/>
      <c r="K769" s="590"/>
      <c r="L769" s="590"/>
      <c r="M769" s="590"/>
      <c r="N769" s="590"/>
      <c r="O769" s="590"/>
      <c r="P769" s="590"/>
      <c r="Q769" s="590"/>
      <c r="R769" s="590"/>
      <c r="S769" s="590"/>
      <c r="T769" s="590"/>
      <c r="U769" s="590"/>
      <c r="V769" s="590"/>
      <c r="W769" s="590"/>
      <c r="X769" s="590"/>
      <c r="Y769" s="590"/>
      <c r="Z769" s="590"/>
    </row>
    <row r="770" spans="1:26" ht="15.75" customHeight="1">
      <c r="A770" s="590"/>
      <c r="B770" s="590"/>
      <c r="C770" s="590"/>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row>
    <row r="771" spans="1:26" ht="15.75" customHeight="1">
      <c r="A771" s="590"/>
      <c r="B771" s="590"/>
      <c r="C771" s="590"/>
      <c r="D771" s="590"/>
      <c r="E771" s="590"/>
      <c r="F771" s="590"/>
      <c r="G771" s="590"/>
      <c r="H771" s="590"/>
      <c r="I771" s="590"/>
      <c r="J771" s="590"/>
      <c r="K771" s="590"/>
      <c r="L771" s="590"/>
      <c r="M771" s="590"/>
      <c r="N771" s="590"/>
      <c r="O771" s="590"/>
      <c r="P771" s="590"/>
      <c r="Q771" s="590"/>
      <c r="R771" s="590"/>
      <c r="S771" s="590"/>
      <c r="T771" s="590"/>
      <c r="U771" s="590"/>
      <c r="V771" s="590"/>
      <c r="W771" s="590"/>
      <c r="X771" s="590"/>
      <c r="Y771" s="590"/>
      <c r="Z771" s="590"/>
    </row>
    <row r="772" spans="1:26" ht="15.75" customHeight="1">
      <c r="A772" s="590"/>
      <c r="B772" s="590"/>
      <c r="C772" s="590"/>
      <c r="D772" s="590"/>
      <c r="E772" s="590"/>
      <c r="F772" s="590"/>
      <c r="G772" s="590"/>
      <c r="H772" s="590"/>
      <c r="I772" s="590"/>
      <c r="J772" s="590"/>
      <c r="K772" s="590"/>
      <c r="L772" s="590"/>
      <c r="M772" s="590"/>
      <c r="N772" s="590"/>
      <c r="O772" s="590"/>
      <c r="P772" s="590"/>
      <c r="Q772" s="590"/>
      <c r="R772" s="590"/>
      <c r="S772" s="590"/>
      <c r="T772" s="590"/>
      <c r="U772" s="590"/>
      <c r="V772" s="590"/>
      <c r="W772" s="590"/>
      <c r="X772" s="590"/>
      <c r="Y772" s="590"/>
      <c r="Z772" s="590"/>
    </row>
    <row r="773" spans="1:26" ht="15.75" customHeight="1">
      <c r="A773" s="590"/>
      <c r="B773" s="590"/>
      <c r="C773" s="590"/>
      <c r="D773" s="590"/>
      <c r="E773" s="590"/>
      <c r="F773" s="590"/>
      <c r="G773" s="590"/>
      <c r="H773" s="590"/>
      <c r="I773" s="590"/>
      <c r="J773" s="590"/>
      <c r="K773" s="590"/>
      <c r="L773" s="590"/>
      <c r="M773" s="590"/>
      <c r="N773" s="590"/>
      <c r="O773" s="590"/>
      <c r="P773" s="590"/>
      <c r="Q773" s="590"/>
      <c r="R773" s="590"/>
      <c r="S773" s="590"/>
      <c r="T773" s="590"/>
      <c r="U773" s="590"/>
      <c r="V773" s="590"/>
      <c r="W773" s="590"/>
      <c r="X773" s="590"/>
      <c r="Y773" s="590"/>
      <c r="Z773" s="590"/>
    </row>
    <row r="774" spans="1:26" ht="15.75" customHeight="1">
      <c r="A774" s="590"/>
      <c r="B774" s="590"/>
      <c r="C774" s="590"/>
      <c r="D774" s="590"/>
      <c r="E774" s="590"/>
      <c r="F774" s="590"/>
      <c r="G774" s="590"/>
      <c r="H774" s="590"/>
      <c r="I774" s="590"/>
      <c r="J774" s="590"/>
      <c r="K774" s="590"/>
      <c r="L774" s="590"/>
      <c r="M774" s="590"/>
      <c r="N774" s="590"/>
      <c r="O774" s="590"/>
      <c r="P774" s="590"/>
      <c r="Q774" s="590"/>
      <c r="R774" s="590"/>
      <c r="S774" s="590"/>
      <c r="T774" s="590"/>
      <c r="U774" s="590"/>
      <c r="V774" s="590"/>
      <c r="W774" s="590"/>
      <c r="X774" s="590"/>
      <c r="Y774" s="590"/>
      <c r="Z774" s="590"/>
    </row>
    <row r="775" spans="1:26" ht="15.75" customHeight="1">
      <c r="A775" s="590"/>
      <c r="B775" s="590"/>
      <c r="C775" s="590"/>
      <c r="D775" s="590"/>
      <c r="E775" s="590"/>
      <c r="F775" s="590"/>
      <c r="G775" s="590"/>
      <c r="H775" s="590"/>
      <c r="I775" s="590"/>
      <c r="J775" s="590"/>
      <c r="K775" s="590"/>
      <c r="L775" s="590"/>
      <c r="M775" s="590"/>
      <c r="N775" s="590"/>
      <c r="O775" s="590"/>
      <c r="P775" s="590"/>
      <c r="Q775" s="590"/>
      <c r="R775" s="590"/>
      <c r="S775" s="590"/>
      <c r="T775" s="590"/>
      <c r="U775" s="590"/>
      <c r="V775" s="590"/>
      <c r="W775" s="590"/>
      <c r="X775" s="590"/>
      <c r="Y775" s="590"/>
      <c r="Z775" s="590"/>
    </row>
    <row r="776" spans="1:26" ht="15.75" customHeight="1">
      <c r="A776" s="590"/>
      <c r="B776" s="590"/>
      <c r="C776" s="590"/>
      <c r="D776" s="590"/>
      <c r="E776" s="590"/>
      <c r="F776" s="590"/>
      <c r="G776" s="590"/>
      <c r="H776" s="590"/>
      <c r="I776" s="590"/>
      <c r="J776" s="590"/>
      <c r="K776" s="590"/>
      <c r="L776" s="590"/>
      <c r="M776" s="590"/>
      <c r="N776" s="590"/>
      <c r="O776" s="590"/>
      <c r="P776" s="590"/>
      <c r="Q776" s="590"/>
      <c r="R776" s="590"/>
      <c r="S776" s="590"/>
      <c r="T776" s="590"/>
      <c r="U776" s="590"/>
      <c r="V776" s="590"/>
      <c r="W776" s="590"/>
      <c r="X776" s="590"/>
      <c r="Y776" s="590"/>
      <c r="Z776" s="590"/>
    </row>
    <row r="777" spans="1:26" ht="15.75" customHeight="1">
      <c r="A777" s="590"/>
      <c r="B777" s="590"/>
      <c r="C777" s="590"/>
      <c r="D777" s="590"/>
      <c r="E777" s="590"/>
      <c r="F777" s="590"/>
      <c r="G777" s="590"/>
      <c r="H777" s="590"/>
      <c r="I777" s="590"/>
      <c r="J777" s="590"/>
      <c r="K777" s="590"/>
      <c r="L777" s="590"/>
      <c r="M777" s="590"/>
      <c r="N777" s="590"/>
      <c r="O777" s="590"/>
      <c r="P777" s="590"/>
      <c r="Q777" s="590"/>
      <c r="R777" s="590"/>
      <c r="S777" s="590"/>
      <c r="T777" s="590"/>
      <c r="U777" s="590"/>
      <c r="V777" s="590"/>
      <c r="W777" s="590"/>
      <c r="X777" s="590"/>
      <c r="Y777" s="590"/>
      <c r="Z777" s="590"/>
    </row>
    <row r="778" spans="1:26" ht="15.75" customHeight="1">
      <c r="A778" s="590"/>
      <c r="B778" s="590"/>
      <c r="C778" s="590"/>
      <c r="D778" s="590"/>
      <c r="E778" s="590"/>
      <c r="F778" s="590"/>
      <c r="G778" s="590"/>
      <c r="H778" s="590"/>
      <c r="I778" s="590"/>
      <c r="J778" s="590"/>
      <c r="K778" s="590"/>
      <c r="L778" s="590"/>
      <c r="M778" s="590"/>
      <c r="N778" s="590"/>
      <c r="O778" s="590"/>
      <c r="P778" s="590"/>
      <c r="Q778" s="590"/>
      <c r="R778" s="590"/>
      <c r="S778" s="590"/>
      <c r="T778" s="590"/>
      <c r="U778" s="590"/>
      <c r="V778" s="590"/>
      <c r="W778" s="590"/>
      <c r="X778" s="590"/>
      <c r="Y778" s="590"/>
      <c r="Z778" s="590"/>
    </row>
    <row r="779" spans="1:26" ht="15.75" customHeight="1">
      <c r="A779" s="590"/>
      <c r="B779" s="590"/>
      <c r="C779" s="590"/>
      <c r="D779" s="590"/>
      <c r="E779" s="590"/>
      <c r="F779" s="590"/>
      <c r="G779" s="590"/>
      <c r="H779" s="590"/>
      <c r="I779" s="590"/>
      <c r="J779" s="590"/>
      <c r="K779" s="590"/>
      <c r="L779" s="590"/>
      <c r="M779" s="590"/>
      <c r="N779" s="590"/>
      <c r="O779" s="590"/>
      <c r="P779" s="590"/>
      <c r="Q779" s="590"/>
      <c r="R779" s="590"/>
      <c r="S779" s="590"/>
      <c r="T779" s="590"/>
      <c r="U779" s="590"/>
      <c r="V779" s="590"/>
      <c r="W779" s="590"/>
      <c r="X779" s="590"/>
      <c r="Y779" s="590"/>
      <c r="Z779" s="590"/>
    </row>
    <row r="780" spans="1:26" ht="15.75" customHeight="1">
      <c r="A780" s="590"/>
      <c r="B780" s="590"/>
      <c r="C780" s="590"/>
      <c r="D780" s="590"/>
      <c r="E780" s="590"/>
      <c r="F780" s="590"/>
      <c r="G780" s="590"/>
      <c r="H780" s="590"/>
      <c r="I780" s="590"/>
      <c r="J780" s="590"/>
      <c r="K780" s="590"/>
      <c r="L780" s="590"/>
      <c r="M780" s="590"/>
      <c r="N780" s="590"/>
      <c r="O780" s="590"/>
      <c r="P780" s="590"/>
      <c r="Q780" s="590"/>
      <c r="R780" s="590"/>
      <c r="S780" s="590"/>
      <c r="T780" s="590"/>
      <c r="U780" s="590"/>
      <c r="V780" s="590"/>
      <c r="W780" s="590"/>
      <c r="X780" s="590"/>
      <c r="Y780" s="590"/>
      <c r="Z780" s="590"/>
    </row>
    <row r="781" spans="1:26" ht="15.75" customHeight="1">
      <c r="A781" s="590"/>
      <c r="B781" s="590"/>
      <c r="C781" s="590"/>
      <c r="D781" s="590"/>
      <c r="E781" s="590"/>
      <c r="F781" s="590"/>
      <c r="G781" s="590"/>
      <c r="H781" s="590"/>
      <c r="I781" s="590"/>
      <c r="J781" s="590"/>
      <c r="K781" s="590"/>
      <c r="L781" s="590"/>
      <c r="M781" s="590"/>
      <c r="N781" s="590"/>
      <c r="O781" s="590"/>
      <c r="P781" s="590"/>
      <c r="Q781" s="590"/>
      <c r="R781" s="590"/>
      <c r="S781" s="590"/>
      <c r="T781" s="590"/>
      <c r="U781" s="590"/>
      <c r="V781" s="590"/>
      <c r="W781" s="590"/>
      <c r="X781" s="590"/>
      <c r="Y781" s="590"/>
      <c r="Z781" s="590"/>
    </row>
    <row r="782" spans="1:26" ht="15.75" customHeight="1">
      <c r="A782" s="590"/>
      <c r="B782" s="590"/>
      <c r="C782" s="590"/>
      <c r="D782" s="590"/>
      <c r="E782" s="590"/>
      <c r="F782" s="590"/>
      <c r="G782" s="590"/>
      <c r="H782" s="590"/>
      <c r="I782" s="590"/>
      <c r="J782" s="590"/>
      <c r="K782" s="590"/>
      <c r="L782" s="590"/>
      <c r="M782" s="590"/>
      <c r="N782" s="590"/>
      <c r="O782" s="590"/>
      <c r="P782" s="590"/>
      <c r="Q782" s="590"/>
      <c r="R782" s="590"/>
      <c r="S782" s="590"/>
      <c r="T782" s="590"/>
      <c r="U782" s="590"/>
      <c r="V782" s="590"/>
      <c r="W782" s="590"/>
      <c r="X782" s="590"/>
      <c r="Y782" s="590"/>
      <c r="Z782" s="590"/>
    </row>
    <row r="783" spans="1:26" ht="15.75" customHeight="1">
      <c r="A783" s="590"/>
      <c r="B783" s="590"/>
      <c r="C783" s="590"/>
      <c r="D783" s="590"/>
      <c r="E783" s="590"/>
      <c r="F783" s="590"/>
      <c r="G783" s="590"/>
      <c r="H783" s="590"/>
      <c r="I783" s="590"/>
      <c r="J783" s="590"/>
      <c r="K783" s="590"/>
      <c r="L783" s="590"/>
      <c r="M783" s="590"/>
      <c r="N783" s="590"/>
      <c r="O783" s="590"/>
      <c r="P783" s="590"/>
      <c r="Q783" s="590"/>
      <c r="R783" s="590"/>
      <c r="S783" s="590"/>
      <c r="T783" s="590"/>
      <c r="U783" s="590"/>
      <c r="V783" s="590"/>
      <c r="W783" s="590"/>
      <c r="X783" s="590"/>
      <c r="Y783" s="590"/>
      <c r="Z783" s="590"/>
    </row>
    <row r="784" spans="1:26" ht="15.75" customHeight="1">
      <c r="A784" s="590"/>
      <c r="B784" s="590"/>
      <c r="C784" s="590"/>
      <c r="D784" s="590"/>
      <c r="E784" s="590"/>
      <c r="F784" s="590"/>
      <c r="G784" s="590"/>
      <c r="H784" s="590"/>
      <c r="I784" s="590"/>
      <c r="J784" s="590"/>
      <c r="K784" s="590"/>
      <c r="L784" s="590"/>
      <c r="M784" s="590"/>
      <c r="N784" s="590"/>
      <c r="O784" s="590"/>
      <c r="P784" s="590"/>
      <c r="Q784" s="590"/>
      <c r="R784" s="590"/>
      <c r="S784" s="590"/>
      <c r="T784" s="590"/>
      <c r="U784" s="590"/>
      <c r="V784" s="590"/>
      <c r="W784" s="590"/>
      <c r="X784" s="590"/>
      <c r="Y784" s="590"/>
      <c r="Z784" s="590"/>
    </row>
    <row r="785" spans="1:26" ht="15.75" customHeight="1">
      <c r="A785" s="590"/>
      <c r="B785" s="590"/>
      <c r="C785" s="590"/>
      <c r="D785" s="590"/>
      <c r="E785" s="590"/>
      <c r="F785" s="590"/>
      <c r="G785" s="590"/>
      <c r="H785" s="590"/>
      <c r="I785" s="590"/>
      <c r="J785" s="590"/>
      <c r="K785" s="590"/>
      <c r="L785" s="590"/>
      <c r="M785" s="590"/>
      <c r="N785" s="590"/>
      <c r="O785" s="590"/>
      <c r="P785" s="590"/>
      <c r="Q785" s="590"/>
      <c r="R785" s="590"/>
      <c r="S785" s="590"/>
      <c r="T785" s="590"/>
      <c r="U785" s="590"/>
      <c r="V785" s="590"/>
      <c r="W785" s="590"/>
      <c r="X785" s="590"/>
      <c r="Y785" s="590"/>
      <c r="Z785" s="590"/>
    </row>
    <row r="786" spans="1:26" ht="15.75" customHeight="1">
      <c r="A786" s="590"/>
      <c r="B786" s="590"/>
      <c r="C786" s="590"/>
      <c r="D786" s="590"/>
      <c r="E786" s="590"/>
      <c r="F786" s="590"/>
      <c r="G786" s="590"/>
      <c r="H786" s="590"/>
      <c r="I786" s="590"/>
      <c r="J786" s="590"/>
      <c r="K786" s="590"/>
      <c r="L786" s="590"/>
      <c r="M786" s="590"/>
      <c r="N786" s="590"/>
      <c r="O786" s="590"/>
      <c r="P786" s="590"/>
      <c r="Q786" s="590"/>
      <c r="R786" s="590"/>
      <c r="S786" s="590"/>
      <c r="T786" s="590"/>
      <c r="U786" s="590"/>
      <c r="V786" s="590"/>
      <c r="W786" s="590"/>
      <c r="X786" s="590"/>
      <c r="Y786" s="590"/>
      <c r="Z786" s="590"/>
    </row>
    <row r="787" spans="1:26" ht="15.75" customHeight="1">
      <c r="A787" s="590"/>
      <c r="B787" s="590"/>
      <c r="C787" s="590"/>
      <c r="D787" s="590"/>
      <c r="E787" s="590"/>
      <c r="F787" s="590"/>
      <c r="G787" s="590"/>
      <c r="H787" s="590"/>
      <c r="I787" s="590"/>
      <c r="J787" s="590"/>
      <c r="K787" s="590"/>
      <c r="L787" s="590"/>
      <c r="M787" s="590"/>
      <c r="N787" s="590"/>
      <c r="O787" s="590"/>
      <c r="P787" s="590"/>
      <c r="Q787" s="590"/>
      <c r="R787" s="590"/>
      <c r="S787" s="590"/>
      <c r="T787" s="590"/>
      <c r="U787" s="590"/>
      <c r="V787" s="590"/>
      <c r="W787" s="590"/>
      <c r="X787" s="590"/>
      <c r="Y787" s="590"/>
      <c r="Z787" s="590"/>
    </row>
    <row r="788" spans="1:26" ht="15.75" customHeight="1">
      <c r="A788" s="590"/>
      <c r="B788" s="590"/>
      <c r="C788" s="590"/>
      <c r="D788" s="590"/>
      <c r="E788" s="590"/>
      <c r="F788" s="590"/>
      <c r="G788" s="590"/>
      <c r="H788" s="590"/>
      <c r="I788" s="590"/>
      <c r="J788" s="590"/>
      <c r="K788" s="590"/>
      <c r="L788" s="590"/>
      <c r="M788" s="590"/>
      <c r="N788" s="590"/>
      <c r="O788" s="590"/>
      <c r="P788" s="590"/>
      <c r="Q788" s="590"/>
      <c r="R788" s="590"/>
      <c r="S788" s="590"/>
      <c r="T788" s="590"/>
      <c r="U788" s="590"/>
      <c r="V788" s="590"/>
      <c r="W788" s="590"/>
      <c r="X788" s="590"/>
      <c r="Y788" s="590"/>
      <c r="Z788" s="590"/>
    </row>
    <row r="789" spans="1:26" ht="15.75" customHeight="1">
      <c r="A789" s="590"/>
      <c r="B789" s="590"/>
      <c r="C789" s="590"/>
      <c r="D789" s="590"/>
      <c r="E789" s="590"/>
      <c r="F789" s="590"/>
      <c r="G789" s="590"/>
      <c r="H789" s="590"/>
      <c r="I789" s="590"/>
      <c r="J789" s="590"/>
      <c r="K789" s="590"/>
      <c r="L789" s="590"/>
      <c r="M789" s="590"/>
      <c r="N789" s="590"/>
      <c r="O789" s="590"/>
      <c r="P789" s="590"/>
      <c r="Q789" s="590"/>
      <c r="R789" s="590"/>
      <c r="S789" s="590"/>
      <c r="T789" s="590"/>
      <c r="U789" s="590"/>
      <c r="V789" s="590"/>
      <c r="W789" s="590"/>
      <c r="X789" s="590"/>
      <c r="Y789" s="590"/>
      <c r="Z789" s="590"/>
    </row>
    <row r="790" spans="1:26" ht="15.75" customHeight="1">
      <c r="A790" s="590"/>
      <c r="B790" s="590"/>
      <c r="C790" s="590"/>
      <c r="D790" s="590"/>
      <c r="E790" s="590"/>
      <c r="F790" s="590"/>
      <c r="G790" s="590"/>
      <c r="H790" s="590"/>
      <c r="I790" s="590"/>
      <c r="J790" s="590"/>
      <c r="K790" s="590"/>
      <c r="L790" s="590"/>
      <c r="M790" s="590"/>
      <c r="N790" s="590"/>
      <c r="O790" s="590"/>
      <c r="P790" s="590"/>
      <c r="Q790" s="590"/>
      <c r="R790" s="590"/>
      <c r="S790" s="590"/>
      <c r="T790" s="590"/>
      <c r="U790" s="590"/>
      <c r="V790" s="590"/>
      <c r="W790" s="590"/>
      <c r="X790" s="590"/>
      <c r="Y790" s="590"/>
      <c r="Z790" s="590"/>
    </row>
    <row r="791" spans="1:26" ht="15.75" customHeight="1">
      <c r="A791" s="590"/>
      <c r="B791" s="590"/>
      <c r="C791" s="590"/>
      <c r="D791" s="590"/>
      <c r="E791" s="590"/>
      <c r="F791" s="590"/>
      <c r="G791" s="590"/>
      <c r="H791" s="590"/>
      <c r="I791" s="590"/>
      <c r="J791" s="590"/>
      <c r="K791" s="590"/>
      <c r="L791" s="590"/>
      <c r="M791" s="590"/>
      <c r="N791" s="590"/>
      <c r="O791" s="590"/>
      <c r="P791" s="590"/>
      <c r="Q791" s="590"/>
      <c r="R791" s="590"/>
      <c r="S791" s="590"/>
      <c r="T791" s="590"/>
      <c r="U791" s="590"/>
      <c r="V791" s="590"/>
      <c r="W791" s="590"/>
      <c r="X791" s="590"/>
      <c r="Y791" s="590"/>
      <c r="Z791" s="590"/>
    </row>
    <row r="792" spans="1:26" ht="15.75" customHeight="1">
      <c r="A792" s="590"/>
      <c r="B792" s="590"/>
      <c r="C792" s="590"/>
      <c r="D792" s="590"/>
      <c r="E792" s="590"/>
      <c r="F792" s="590"/>
      <c r="G792" s="590"/>
      <c r="H792" s="590"/>
      <c r="I792" s="590"/>
      <c r="J792" s="590"/>
      <c r="K792" s="590"/>
      <c r="L792" s="590"/>
      <c r="M792" s="590"/>
      <c r="N792" s="590"/>
      <c r="O792" s="590"/>
      <c r="P792" s="590"/>
      <c r="Q792" s="590"/>
      <c r="R792" s="590"/>
      <c r="S792" s="590"/>
      <c r="T792" s="590"/>
      <c r="U792" s="590"/>
      <c r="V792" s="590"/>
      <c r="W792" s="590"/>
      <c r="X792" s="590"/>
      <c r="Y792" s="590"/>
      <c r="Z792" s="590"/>
    </row>
    <row r="793" spans="1:26" ht="15.75" customHeight="1">
      <c r="A793" s="590"/>
      <c r="B793" s="590"/>
      <c r="C793" s="590"/>
      <c r="D793" s="590"/>
      <c r="E793" s="590"/>
      <c r="F793" s="590"/>
      <c r="G793" s="590"/>
      <c r="H793" s="590"/>
      <c r="I793" s="590"/>
      <c r="J793" s="590"/>
      <c r="K793" s="590"/>
      <c r="L793" s="590"/>
      <c r="M793" s="590"/>
      <c r="N793" s="590"/>
      <c r="O793" s="590"/>
      <c r="P793" s="590"/>
      <c r="Q793" s="590"/>
      <c r="R793" s="590"/>
      <c r="S793" s="590"/>
      <c r="T793" s="590"/>
      <c r="U793" s="590"/>
      <c r="V793" s="590"/>
      <c r="W793" s="590"/>
      <c r="X793" s="590"/>
      <c r="Y793" s="590"/>
      <c r="Z793" s="590"/>
    </row>
    <row r="794" spans="1:26" ht="15.75" customHeight="1">
      <c r="A794" s="590"/>
      <c r="B794" s="590"/>
      <c r="C794" s="590"/>
      <c r="D794" s="590"/>
      <c r="E794" s="590"/>
      <c r="F794" s="590"/>
      <c r="G794" s="590"/>
      <c r="H794" s="590"/>
      <c r="I794" s="590"/>
      <c r="J794" s="590"/>
      <c r="K794" s="590"/>
      <c r="L794" s="590"/>
      <c r="M794" s="590"/>
      <c r="N794" s="590"/>
      <c r="O794" s="590"/>
      <c r="P794" s="590"/>
      <c r="Q794" s="590"/>
      <c r="R794" s="590"/>
      <c r="S794" s="590"/>
      <c r="T794" s="590"/>
      <c r="U794" s="590"/>
      <c r="V794" s="590"/>
      <c r="W794" s="590"/>
      <c r="X794" s="590"/>
      <c r="Y794" s="590"/>
      <c r="Z794" s="590"/>
    </row>
    <row r="795" spans="1:26" ht="15.75" customHeight="1">
      <c r="A795" s="590"/>
      <c r="B795" s="590"/>
      <c r="C795" s="590"/>
      <c r="D795" s="590"/>
      <c r="E795" s="590"/>
      <c r="F795" s="590"/>
      <c r="G795" s="590"/>
      <c r="H795" s="590"/>
      <c r="I795" s="590"/>
      <c r="J795" s="590"/>
      <c r="K795" s="590"/>
      <c r="L795" s="590"/>
      <c r="M795" s="590"/>
      <c r="N795" s="590"/>
      <c r="O795" s="590"/>
      <c r="P795" s="590"/>
      <c r="Q795" s="590"/>
      <c r="R795" s="590"/>
      <c r="S795" s="590"/>
      <c r="T795" s="590"/>
      <c r="U795" s="590"/>
      <c r="V795" s="590"/>
      <c r="W795" s="590"/>
      <c r="X795" s="590"/>
      <c r="Y795" s="590"/>
      <c r="Z795" s="590"/>
    </row>
    <row r="796" spans="1:26" ht="15.75" customHeight="1">
      <c r="A796" s="590"/>
      <c r="B796" s="590"/>
      <c r="C796" s="590"/>
      <c r="D796" s="590"/>
      <c r="E796" s="590"/>
      <c r="F796" s="590"/>
      <c r="G796" s="590"/>
      <c r="H796" s="590"/>
      <c r="I796" s="590"/>
      <c r="J796" s="590"/>
      <c r="K796" s="590"/>
      <c r="L796" s="590"/>
      <c r="M796" s="590"/>
      <c r="N796" s="590"/>
      <c r="O796" s="590"/>
      <c r="P796" s="590"/>
      <c r="Q796" s="590"/>
      <c r="R796" s="590"/>
      <c r="S796" s="590"/>
      <c r="T796" s="590"/>
      <c r="U796" s="590"/>
      <c r="V796" s="590"/>
      <c r="W796" s="590"/>
      <c r="X796" s="590"/>
      <c r="Y796" s="590"/>
      <c r="Z796" s="590"/>
    </row>
    <row r="797" spans="1:26" ht="15.75" customHeight="1">
      <c r="A797" s="590"/>
      <c r="B797" s="590"/>
      <c r="C797" s="590"/>
      <c r="D797" s="590"/>
      <c r="E797" s="590"/>
      <c r="F797" s="590"/>
      <c r="G797" s="590"/>
      <c r="H797" s="590"/>
      <c r="I797" s="590"/>
      <c r="J797" s="590"/>
      <c r="K797" s="590"/>
      <c r="L797" s="590"/>
      <c r="M797" s="590"/>
      <c r="N797" s="590"/>
      <c r="O797" s="590"/>
      <c r="P797" s="590"/>
      <c r="Q797" s="590"/>
      <c r="R797" s="590"/>
      <c r="S797" s="590"/>
      <c r="T797" s="590"/>
      <c r="U797" s="590"/>
      <c r="V797" s="590"/>
      <c r="W797" s="590"/>
      <c r="X797" s="590"/>
      <c r="Y797" s="590"/>
      <c r="Z797" s="590"/>
    </row>
    <row r="798" spans="1:26" ht="15.75" customHeight="1">
      <c r="A798" s="590"/>
      <c r="B798" s="590"/>
      <c r="C798" s="590"/>
      <c r="D798" s="590"/>
      <c r="E798" s="590"/>
      <c r="F798" s="590"/>
      <c r="G798" s="590"/>
      <c r="H798" s="590"/>
      <c r="I798" s="590"/>
      <c r="J798" s="590"/>
      <c r="K798" s="590"/>
      <c r="L798" s="590"/>
      <c r="M798" s="590"/>
      <c r="N798" s="590"/>
      <c r="O798" s="590"/>
      <c r="P798" s="590"/>
      <c r="Q798" s="590"/>
      <c r="R798" s="590"/>
      <c r="S798" s="590"/>
      <c r="T798" s="590"/>
      <c r="U798" s="590"/>
      <c r="V798" s="590"/>
      <c r="W798" s="590"/>
      <c r="X798" s="590"/>
      <c r="Y798" s="590"/>
      <c r="Z798" s="590"/>
    </row>
    <row r="799" spans="1:26" ht="15.75" customHeight="1">
      <c r="A799" s="590"/>
      <c r="B799" s="590"/>
      <c r="C799" s="590"/>
      <c r="D799" s="590"/>
      <c r="E799" s="590"/>
      <c r="F799" s="590"/>
      <c r="G799" s="590"/>
      <c r="H799" s="590"/>
      <c r="I799" s="590"/>
      <c r="J799" s="590"/>
      <c r="K799" s="590"/>
      <c r="L799" s="590"/>
      <c r="M799" s="590"/>
      <c r="N799" s="590"/>
      <c r="O799" s="590"/>
      <c r="P799" s="590"/>
      <c r="Q799" s="590"/>
      <c r="R799" s="590"/>
      <c r="S799" s="590"/>
      <c r="T799" s="590"/>
      <c r="U799" s="590"/>
      <c r="V799" s="590"/>
      <c r="W799" s="590"/>
      <c r="X799" s="590"/>
      <c r="Y799" s="590"/>
      <c r="Z799" s="590"/>
    </row>
    <row r="800" spans="1:26" ht="15.75" customHeight="1">
      <c r="A800" s="590"/>
      <c r="B800" s="590"/>
      <c r="C800" s="590"/>
      <c r="D800" s="590"/>
      <c r="E800" s="590"/>
      <c r="F800" s="590"/>
      <c r="G800" s="590"/>
      <c r="H800" s="590"/>
      <c r="I800" s="590"/>
      <c r="J800" s="590"/>
      <c r="K800" s="590"/>
      <c r="L800" s="590"/>
      <c r="M800" s="590"/>
      <c r="N800" s="590"/>
      <c r="O800" s="590"/>
      <c r="P800" s="590"/>
      <c r="Q800" s="590"/>
      <c r="R800" s="590"/>
      <c r="S800" s="590"/>
      <c r="T800" s="590"/>
      <c r="U800" s="590"/>
      <c r="V800" s="590"/>
      <c r="W800" s="590"/>
      <c r="X800" s="590"/>
      <c r="Y800" s="590"/>
      <c r="Z800" s="590"/>
    </row>
    <row r="801" spans="1:26" ht="15.75" customHeight="1">
      <c r="A801" s="590"/>
      <c r="B801" s="590"/>
      <c r="C801" s="590"/>
      <c r="D801" s="590"/>
      <c r="E801" s="590"/>
      <c r="F801" s="590"/>
      <c r="G801" s="590"/>
      <c r="H801" s="590"/>
      <c r="I801" s="590"/>
      <c r="J801" s="590"/>
      <c r="K801" s="590"/>
      <c r="L801" s="590"/>
      <c r="M801" s="590"/>
      <c r="N801" s="590"/>
      <c r="O801" s="590"/>
      <c r="P801" s="590"/>
      <c r="Q801" s="590"/>
      <c r="R801" s="590"/>
      <c r="S801" s="590"/>
      <c r="T801" s="590"/>
      <c r="U801" s="590"/>
      <c r="V801" s="590"/>
      <c r="W801" s="590"/>
      <c r="X801" s="590"/>
      <c r="Y801" s="590"/>
      <c r="Z801" s="590"/>
    </row>
    <row r="802" spans="1:26" ht="15.75" customHeight="1">
      <c r="A802" s="590"/>
      <c r="B802" s="590"/>
      <c r="C802" s="590"/>
      <c r="D802" s="590"/>
      <c r="E802" s="590"/>
      <c r="F802" s="590"/>
      <c r="G802" s="590"/>
      <c r="H802" s="590"/>
      <c r="I802" s="590"/>
      <c r="J802" s="590"/>
      <c r="K802" s="590"/>
      <c r="L802" s="590"/>
      <c r="M802" s="590"/>
      <c r="N802" s="590"/>
      <c r="O802" s="590"/>
      <c r="P802" s="590"/>
      <c r="Q802" s="590"/>
      <c r="R802" s="590"/>
      <c r="S802" s="590"/>
      <c r="T802" s="590"/>
      <c r="U802" s="590"/>
      <c r="V802" s="590"/>
      <c r="W802" s="590"/>
      <c r="X802" s="590"/>
      <c r="Y802" s="590"/>
      <c r="Z802" s="590"/>
    </row>
    <row r="803" spans="1:26" ht="15.75" customHeight="1">
      <c r="A803" s="590"/>
      <c r="B803" s="590"/>
      <c r="C803" s="590"/>
      <c r="D803" s="590"/>
      <c r="E803" s="590"/>
      <c r="F803" s="590"/>
      <c r="G803" s="590"/>
      <c r="H803" s="590"/>
      <c r="I803" s="590"/>
      <c r="J803" s="590"/>
      <c r="K803" s="590"/>
      <c r="L803" s="590"/>
      <c r="M803" s="590"/>
      <c r="N803" s="590"/>
      <c r="O803" s="590"/>
      <c r="P803" s="590"/>
      <c r="Q803" s="590"/>
      <c r="R803" s="590"/>
      <c r="S803" s="590"/>
      <c r="T803" s="590"/>
      <c r="U803" s="590"/>
      <c r="V803" s="590"/>
      <c r="W803" s="590"/>
      <c r="X803" s="590"/>
      <c r="Y803" s="590"/>
      <c r="Z803" s="590"/>
    </row>
    <row r="804" spans="1:26" ht="15.75" customHeight="1">
      <c r="A804" s="590"/>
      <c r="B804" s="590"/>
      <c r="C804" s="590"/>
      <c r="D804" s="590"/>
      <c r="E804" s="590"/>
      <c r="F804" s="590"/>
      <c r="G804" s="590"/>
      <c r="H804" s="590"/>
      <c r="I804" s="590"/>
      <c r="J804" s="590"/>
      <c r="K804" s="590"/>
      <c r="L804" s="590"/>
      <c r="M804" s="590"/>
      <c r="N804" s="590"/>
      <c r="O804" s="590"/>
      <c r="P804" s="590"/>
      <c r="Q804" s="590"/>
      <c r="R804" s="590"/>
      <c r="S804" s="590"/>
      <c r="T804" s="590"/>
      <c r="U804" s="590"/>
      <c r="V804" s="590"/>
      <c r="W804" s="590"/>
      <c r="X804" s="590"/>
      <c r="Y804" s="590"/>
      <c r="Z804" s="590"/>
    </row>
    <row r="805" spans="1:26" ht="15.75" customHeight="1">
      <c r="A805" s="590"/>
      <c r="B805" s="590"/>
      <c r="C805" s="590"/>
      <c r="D805" s="590"/>
      <c r="E805" s="590"/>
      <c r="F805" s="590"/>
      <c r="G805" s="590"/>
      <c r="H805" s="590"/>
      <c r="I805" s="590"/>
      <c r="J805" s="590"/>
      <c r="K805" s="590"/>
      <c r="L805" s="590"/>
      <c r="M805" s="590"/>
      <c r="N805" s="590"/>
      <c r="O805" s="590"/>
      <c r="P805" s="590"/>
      <c r="Q805" s="590"/>
      <c r="R805" s="590"/>
      <c r="S805" s="590"/>
      <c r="T805" s="590"/>
      <c r="U805" s="590"/>
      <c r="V805" s="590"/>
      <c r="W805" s="590"/>
      <c r="X805" s="590"/>
      <c r="Y805" s="590"/>
      <c r="Z805" s="590"/>
    </row>
    <row r="806" spans="1:26" ht="15.75" customHeight="1">
      <c r="A806" s="590"/>
      <c r="B806" s="590"/>
      <c r="C806" s="590"/>
      <c r="D806" s="590"/>
      <c r="E806" s="590"/>
      <c r="F806" s="590"/>
      <c r="G806" s="590"/>
      <c r="H806" s="590"/>
      <c r="I806" s="590"/>
      <c r="J806" s="590"/>
      <c r="K806" s="590"/>
      <c r="L806" s="590"/>
      <c r="M806" s="590"/>
      <c r="N806" s="590"/>
      <c r="O806" s="590"/>
      <c r="P806" s="590"/>
      <c r="Q806" s="590"/>
      <c r="R806" s="590"/>
      <c r="S806" s="590"/>
      <c r="T806" s="590"/>
      <c r="U806" s="590"/>
      <c r="V806" s="590"/>
      <c r="W806" s="590"/>
      <c r="X806" s="590"/>
      <c r="Y806" s="590"/>
      <c r="Z806" s="590"/>
    </row>
    <row r="807" spans="1:26" ht="15.75" customHeight="1">
      <c r="A807" s="590"/>
      <c r="B807" s="590"/>
      <c r="C807" s="590"/>
      <c r="D807" s="590"/>
      <c r="E807" s="590"/>
      <c r="F807" s="590"/>
      <c r="G807" s="590"/>
      <c r="H807" s="590"/>
      <c r="I807" s="590"/>
      <c r="J807" s="590"/>
      <c r="K807" s="590"/>
      <c r="L807" s="590"/>
      <c r="M807" s="590"/>
      <c r="N807" s="590"/>
      <c r="O807" s="590"/>
      <c r="P807" s="590"/>
      <c r="Q807" s="590"/>
      <c r="R807" s="590"/>
      <c r="S807" s="590"/>
      <c r="T807" s="590"/>
      <c r="U807" s="590"/>
      <c r="V807" s="590"/>
      <c r="W807" s="590"/>
      <c r="X807" s="590"/>
      <c r="Y807" s="590"/>
      <c r="Z807" s="590"/>
    </row>
    <row r="808" spans="1:26" ht="15.75" customHeight="1">
      <c r="A808" s="590"/>
      <c r="B808" s="590"/>
      <c r="C808" s="590"/>
      <c r="D808" s="590"/>
      <c r="E808" s="590"/>
      <c r="F808" s="590"/>
      <c r="G808" s="590"/>
      <c r="H808" s="590"/>
      <c r="I808" s="590"/>
      <c r="J808" s="590"/>
      <c r="K808" s="590"/>
      <c r="L808" s="590"/>
      <c r="M808" s="590"/>
      <c r="N808" s="590"/>
      <c r="O808" s="590"/>
      <c r="P808" s="590"/>
      <c r="Q808" s="590"/>
      <c r="R808" s="590"/>
      <c r="S808" s="590"/>
      <c r="T808" s="590"/>
      <c r="U808" s="590"/>
      <c r="V808" s="590"/>
      <c r="W808" s="590"/>
      <c r="X808" s="590"/>
      <c r="Y808" s="590"/>
      <c r="Z808" s="590"/>
    </row>
    <row r="809" spans="1:26" ht="15.75" customHeight="1">
      <c r="A809" s="590"/>
      <c r="B809" s="590"/>
      <c r="C809" s="590"/>
      <c r="D809" s="590"/>
      <c r="E809" s="590"/>
      <c r="F809" s="590"/>
      <c r="G809" s="590"/>
      <c r="H809" s="590"/>
      <c r="I809" s="590"/>
      <c r="J809" s="590"/>
      <c r="K809" s="590"/>
      <c r="L809" s="590"/>
      <c r="M809" s="590"/>
      <c r="N809" s="590"/>
      <c r="O809" s="590"/>
      <c r="P809" s="590"/>
      <c r="Q809" s="590"/>
      <c r="R809" s="590"/>
      <c r="S809" s="590"/>
      <c r="T809" s="590"/>
      <c r="U809" s="590"/>
      <c r="V809" s="590"/>
      <c r="W809" s="590"/>
      <c r="X809" s="590"/>
      <c r="Y809" s="590"/>
      <c r="Z809" s="590"/>
    </row>
    <row r="810" spans="1:26" ht="15.75" customHeight="1">
      <c r="A810" s="590"/>
      <c r="B810" s="590"/>
      <c r="C810" s="590"/>
      <c r="D810" s="590"/>
      <c r="E810" s="590"/>
      <c r="F810" s="590"/>
      <c r="G810" s="590"/>
      <c r="H810" s="590"/>
      <c r="I810" s="590"/>
      <c r="J810" s="590"/>
      <c r="K810" s="590"/>
      <c r="L810" s="590"/>
      <c r="M810" s="590"/>
      <c r="N810" s="590"/>
      <c r="O810" s="590"/>
      <c r="P810" s="590"/>
      <c r="Q810" s="590"/>
      <c r="R810" s="590"/>
      <c r="S810" s="590"/>
      <c r="T810" s="590"/>
      <c r="U810" s="590"/>
      <c r="V810" s="590"/>
      <c r="W810" s="590"/>
      <c r="X810" s="590"/>
      <c r="Y810" s="590"/>
      <c r="Z810" s="590"/>
    </row>
    <row r="811" spans="1:26" ht="15.75" customHeight="1">
      <c r="A811" s="590"/>
      <c r="B811" s="590"/>
      <c r="C811" s="590"/>
      <c r="D811" s="590"/>
      <c r="E811" s="590"/>
      <c r="F811" s="590"/>
      <c r="G811" s="590"/>
      <c r="H811" s="590"/>
      <c r="I811" s="590"/>
      <c r="J811" s="590"/>
      <c r="K811" s="590"/>
      <c r="L811" s="590"/>
      <c r="M811" s="590"/>
      <c r="N811" s="590"/>
      <c r="O811" s="590"/>
      <c r="P811" s="590"/>
      <c r="Q811" s="590"/>
      <c r="R811" s="590"/>
      <c r="S811" s="590"/>
      <c r="T811" s="590"/>
      <c r="U811" s="590"/>
      <c r="V811" s="590"/>
      <c r="W811" s="590"/>
      <c r="X811" s="590"/>
      <c r="Y811" s="590"/>
      <c r="Z811" s="590"/>
    </row>
    <row r="812" spans="1:26" ht="15.75" customHeight="1">
      <c r="A812" s="590"/>
      <c r="B812" s="590"/>
      <c r="C812" s="590"/>
      <c r="D812" s="590"/>
      <c r="E812" s="590"/>
      <c r="F812" s="590"/>
      <c r="G812" s="590"/>
      <c r="H812" s="590"/>
      <c r="I812" s="590"/>
      <c r="J812" s="590"/>
      <c r="K812" s="590"/>
      <c r="L812" s="590"/>
      <c r="M812" s="590"/>
      <c r="N812" s="590"/>
      <c r="O812" s="590"/>
      <c r="P812" s="590"/>
      <c r="Q812" s="590"/>
      <c r="R812" s="590"/>
      <c r="S812" s="590"/>
      <c r="T812" s="590"/>
      <c r="U812" s="590"/>
      <c r="V812" s="590"/>
      <c r="W812" s="590"/>
      <c r="X812" s="590"/>
      <c r="Y812" s="590"/>
      <c r="Z812" s="590"/>
    </row>
    <row r="813" spans="1:26" ht="15.75" customHeight="1">
      <c r="A813" s="590"/>
      <c r="B813" s="590"/>
      <c r="C813" s="590"/>
      <c r="D813" s="590"/>
      <c r="E813" s="590"/>
      <c r="F813" s="590"/>
      <c r="G813" s="590"/>
      <c r="H813" s="590"/>
      <c r="I813" s="590"/>
      <c r="J813" s="590"/>
      <c r="K813" s="590"/>
      <c r="L813" s="590"/>
      <c r="M813" s="590"/>
      <c r="N813" s="590"/>
      <c r="O813" s="590"/>
      <c r="P813" s="590"/>
      <c r="Q813" s="590"/>
      <c r="R813" s="590"/>
      <c r="S813" s="590"/>
      <c r="T813" s="590"/>
      <c r="U813" s="590"/>
      <c r="V813" s="590"/>
      <c r="W813" s="590"/>
      <c r="X813" s="590"/>
      <c r="Y813" s="590"/>
      <c r="Z813" s="590"/>
    </row>
    <row r="814" spans="1:26" ht="15.75" customHeight="1">
      <c r="A814" s="590"/>
      <c r="B814" s="590"/>
      <c r="C814" s="590"/>
      <c r="D814" s="590"/>
      <c r="E814" s="590"/>
      <c r="F814" s="590"/>
      <c r="G814" s="590"/>
      <c r="H814" s="590"/>
      <c r="I814" s="590"/>
      <c r="J814" s="590"/>
      <c r="K814" s="590"/>
      <c r="L814" s="590"/>
      <c r="M814" s="590"/>
      <c r="N814" s="590"/>
      <c r="O814" s="590"/>
      <c r="P814" s="590"/>
      <c r="Q814" s="590"/>
      <c r="R814" s="590"/>
      <c r="S814" s="590"/>
      <c r="T814" s="590"/>
      <c r="U814" s="590"/>
      <c r="V814" s="590"/>
      <c r="W814" s="590"/>
      <c r="X814" s="590"/>
      <c r="Y814" s="590"/>
      <c r="Z814" s="590"/>
    </row>
    <row r="815" spans="1:26" ht="15.75" customHeight="1">
      <c r="A815" s="590"/>
      <c r="B815" s="590"/>
      <c r="C815" s="590"/>
      <c r="D815" s="590"/>
      <c r="E815" s="590"/>
      <c r="F815" s="590"/>
      <c r="G815" s="590"/>
      <c r="H815" s="590"/>
      <c r="I815" s="590"/>
      <c r="J815" s="590"/>
      <c r="K815" s="590"/>
      <c r="L815" s="590"/>
      <c r="M815" s="590"/>
      <c r="N815" s="590"/>
      <c r="O815" s="590"/>
      <c r="P815" s="590"/>
      <c r="Q815" s="590"/>
      <c r="R815" s="590"/>
      <c r="S815" s="590"/>
      <c r="T815" s="590"/>
      <c r="U815" s="590"/>
      <c r="V815" s="590"/>
      <c r="W815" s="590"/>
      <c r="X815" s="590"/>
      <c r="Y815" s="590"/>
      <c r="Z815" s="590"/>
    </row>
    <row r="816" spans="1:26" ht="15.75" customHeight="1">
      <c r="A816" s="590"/>
      <c r="B816" s="590"/>
      <c r="C816" s="590"/>
      <c r="D816" s="590"/>
      <c r="E816" s="590"/>
      <c r="F816" s="590"/>
      <c r="G816" s="590"/>
      <c r="H816" s="590"/>
      <c r="I816" s="590"/>
      <c r="J816" s="590"/>
      <c r="K816" s="590"/>
      <c r="L816" s="590"/>
      <c r="M816" s="590"/>
      <c r="N816" s="590"/>
      <c r="O816" s="590"/>
      <c r="P816" s="590"/>
      <c r="Q816" s="590"/>
      <c r="R816" s="590"/>
      <c r="S816" s="590"/>
      <c r="T816" s="590"/>
      <c r="U816" s="590"/>
      <c r="V816" s="590"/>
      <c r="W816" s="590"/>
      <c r="X816" s="590"/>
      <c r="Y816" s="590"/>
      <c r="Z816" s="590"/>
    </row>
    <row r="817" spans="1:26" ht="15.75" customHeight="1">
      <c r="A817" s="590"/>
      <c r="B817" s="590"/>
      <c r="C817" s="590"/>
      <c r="D817" s="590"/>
      <c r="E817" s="590"/>
      <c r="F817" s="590"/>
      <c r="G817" s="590"/>
      <c r="H817" s="590"/>
      <c r="I817" s="590"/>
      <c r="J817" s="590"/>
      <c r="K817" s="590"/>
      <c r="L817" s="590"/>
      <c r="M817" s="590"/>
      <c r="N817" s="590"/>
      <c r="O817" s="590"/>
      <c r="P817" s="590"/>
      <c r="Q817" s="590"/>
      <c r="R817" s="590"/>
      <c r="S817" s="590"/>
      <c r="T817" s="590"/>
      <c r="U817" s="590"/>
      <c r="V817" s="590"/>
      <c r="W817" s="590"/>
      <c r="X817" s="590"/>
      <c r="Y817" s="590"/>
      <c r="Z817" s="590"/>
    </row>
    <row r="818" spans="1:26" ht="15.75" customHeight="1">
      <c r="A818" s="590"/>
      <c r="B818" s="590"/>
      <c r="C818" s="590"/>
      <c r="D818" s="590"/>
      <c r="E818" s="590"/>
      <c r="F818" s="590"/>
      <c r="G818" s="590"/>
      <c r="H818" s="590"/>
      <c r="I818" s="590"/>
      <c r="J818" s="590"/>
      <c r="K818" s="590"/>
      <c r="L818" s="590"/>
      <c r="M818" s="590"/>
      <c r="N818" s="590"/>
      <c r="O818" s="590"/>
      <c r="P818" s="590"/>
      <c r="Q818" s="590"/>
      <c r="R818" s="590"/>
      <c r="S818" s="590"/>
      <c r="T818" s="590"/>
      <c r="U818" s="590"/>
      <c r="V818" s="590"/>
      <c r="W818" s="590"/>
      <c r="X818" s="590"/>
      <c r="Y818" s="590"/>
      <c r="Z818" s="590"/>
    </row>
    <row r="819" spans="1:26" ht="15.75" customHeight="1">
      <c r="A819" s="590"/>
      <c r="B819" s="590"/>
      <c r="C819" s="590"/>
      <c r="D819" s="590"/>
      <c r="E819" s="590"/>
      <c r="F819" s="590"/>
      <c r="G819" s="590"/>
      <c r="H819" s="590"/>
      <c r="I819" s="590"/>
      <c r="J819" s="590"/>
      <c r="K819" s="590"/>
      <c r="L819" s="590"/>
      <c r="M819" s="590"/>
      <c r="N819" s="590"/>
      <c r="O819" s="590"/>
      <c r="P819" s="590"/>
      <c r="Q819" s="590"/>
      <c r="R819" s="590"/>
      <c r="S819" s="590"/>
      <c r="T819" s="590"/>
      <c r="U819" s="590"/>
      <c r="V819" s="590"/>
      <c r="W819" s="590"/>
      <c r="X819" s="590"/>
      <c r="Y819" s="590"/>
      <c r="Z819" s="590"/>
    </row>
    <row r="820" spans="1:26" ht="15.75" customHeight="1">
      <c r="A820" s="590"/>
      <c r="B820" s="590"/>
      <c r="C820" s="590"/>
      <c r="D820" s="590"/>
      <c r="E820" s="590"/>
      <c r="F820" s="590"/>
      <c r="G820" s="590"/>
      <c r="H820" s="590"/>
      <c r="I820" s="590"/>
      <c r="J820" s="590"/>
      <c r="K820" s="590"/>
      <c r="L820" s="590"/>
      <c r="M820" s="590"/>
      <c r="N820" s="590"/>
      <c r="O820" s="590"/>
      <c r="P820" s="590"/>
      <c r="Q820" s="590"/>
      <c r="R820" s="590"/>
      <c r="S820" s="590"/>
      <c r="T820" s="590"/>
      <c r="U820" s="590"/>
      <c r="V820" s="590"/>
      <c r="W820" s="590"/>
      <c r="X820" s="590"/>
      <c r="Y820" s="590"/>
      <c r="Z820" s="590"/>
    </row>
    <row r="821" spans="1:26" ht="15.75" customHeight="1">
      <c r="A821" s="590"/>
      <c r="B821" s="590"/>
      <c r="C821" s="590"/>
      <c r="D821" s="590"/>
      <c r="E821" s="590"/>
      <c r="F821" s="590"/>
      <c r="G821" s="590"/>
      <c r="H821" s="590"/>
      <c r="I821" s="590"/>
      <c r="J821" s="590"/>
      <c r="K821" s="590"/>
      <c r="L821" s="590"/>
      <c r="M821" s="590"/>
      <c r="N821" s="590"/>
      <c r="O821" s="590"/>
      <c r="P821" s="590"/>
      <c r="Q821" s="590"/>
      <c r="R821" s="590"/>
      <c r="S821" s="590"/>
      <c r="T821" s="590"/>
      <c r="U821" s="590"/>
      <c r="V821" s="590"/>
      <c r="W821" s="590"/>
      <c r="X821" s="590"/>
      <c r="Y821" s="590"/>
      <c r="Z821" s="590"/>
    </row>
    <row r="822" spans="1:26" ht="15.75" customHeight="1">
      <c r="A822" s="590"/>
      <c r="B822" s="590"/>
      <c r="C822" s="590"/>
      <c r="D822" s="590"/>
      <c r="E822" s="590"/>
      <c r="F822" s="590"/>
      <c r="G822" s="590"/>
      <c r="H822" s="590"/>
      <c r="I822" s="590"/>
      <c r="J822" s="590"/>
      <c r="K822" s="590"/>
      <c r="L822" s="590"/>
      <c r="M822" s="590"/>
      <c r="N822" s="590"/>
      <c r="O822" s="590"/>
      <c r="P822" s="590"/>
      <c r="Q822" s="590"/>
      <c r="R822" s="590"/>
      <c r="S822" s="590"/>
      <c r="T822" s="590"/>
      <c r="U822" s="590"/>
      <c r="V822" s="590"/>
      <c r="W822" s="590"/>
      <c r="X822" s="590"/>
      <c r="Y822" s="590"/>
      <c r="Z822" s="590"/>
    </row>
    <row r="823" spans="1:26" ht="15.75" customHeight="1">
      <c r="A823" s="590"/>
      <c r="B823" s="590"/>
      <c r="C823" s="590"/>
      <c r="D823" s="590"/>
      <c r="E823" s="590"/>
      <c r="F823" s="590"/>
      <c r="G823" s="590"/>
      <c r="H823" s="590"/>
      <c r="I823" s="590"/>
      <c r="J823" s="590"/>
      <c r="K823" s="590"/>
      <c r="L823" s="590"/>
      <c r="M823" s="590"/>
      <c r="N823" s="590"/>
      <c r="O823" s="590"/>
      <c r="P823" s="590"/>
      <c r="Q823" s="590"/>
      <c r="R823" s="590"/>
      <c r="S823" s="590"/>
      <c r="T823" s="590"/>
      <c r="U823" s="590"/>
      <c r="V823" s="590"/>
      <c r="W823" s="590"/>
      <c r="X823" s="590"/>
      <c r="Y823" s="590"/>
      <c r="Z823" s="590"/>
    </row>
    <row r="824" spans="1:26" ht="15.75" customHeight="1">
      <c r="A824" s="590"/>
      <c r="B824" s="590"/>
      <c r="C824" s="590"/>
      <c r="D824" s="590"/>
      <c r="E824" s="590"/>
      <c r="F824" s="590"/>
      <c r="G824" s="590"/>
      <c r="H824" s="590"/>
      <c r="I824" s="590"/>
      <c r="J824" s="590"/>
      <c r="K824" s="590"/>
      <c r="L824" s="590"/>
      <c r="M824" s="590"/>
      <c r="N824" s="590"/>
      <c r="O824" s="590"/>
      <c r="P824" s="590"/>
      <c r="Q824" s="590"/>
      <c r="R824" s="590"/>
      <c r="S824" s="590"/>
      <c r="T824" s="590"/>
      <c r="U824" s="590"/>
      <c r="V824" s="590"/>
      <c r="W824" s="590"/>
      <c r="X824" s="590"/>
      <c r="Y824" s="590"/>
      <c r="Z824" s="590"/>
    </row>
    <row r="825" spans="1:26" ht="15.75" customHeight="1">
      <c r="A825" s="590"/>
      <c r="B825" s="590"/>
      <c r="C825" s="590"/>
      <c r="D825" s="590"/>
      <c r="E825" s="590"/>
      <c r="F825" s="590"/>
      <c r="G825" s="590"/>
      <c r="H825" s="590"/>
      <c r="I825" s="590"/>
      <c r="J825" s="590"/>
      <c r="K825" s="590"/>
      <c r="L825" s="590"/>
      <c r="M825" s="590"/>
      <c r="N825" s="590"/>
      <c r="O825" s="590"/>
      <c r="P825" s="590"/>
      <c r="Q825" s="590"/>
      <c r="R825" s="590"/>
      <c r="S825" s="590"/>
      <c r="T825" s="590"/>
      <c r="U825" s="590"/>
      <c r="V825" s="590"/>
      <c r="W825" s="590"/>
      <c r="X825" s="590"/>
      <c r="Y825" s="590"/>
      <c r="Z825" s="590"/>
    </row>
    <row r="826" spans="1:26" ht="15.75" customHeight="1">
      <c r="A826" s="590"/>
      <c r="B826" s="590"/>
      <c r="C826" s="590"/>
      <c r="D826" s="590"/>
      <c r="E826" s="590"/>
      <c r="F826" s="590"/>
      <c r="G826" s="590"/>
      <c r="H826" s="590"/>
      <c r="I826" s="590"/>
      <c r="J826" s="590"/>
      <c r="K826" s="590"/>
      <c r="L826" s="590"/>
      <c r="M826" s="590"/>
      <c r="N826" s="590"/>
      <c r="O826" s="590"/>
      <c r="P826" s="590"/>
      <c r="Q826" s="590"/>
      <c r="R826" s="590"/>
      <c r="S826" s="590"/>
      <c r="T826" s="590"/>
      <c r="U826" s="590"/>
      <c r="V826" s="590"/>
      <c r="W826" s="590"/>
      <c r="X826" s="590"/>
      <c r="Y826" s="590"/>
      <c r="Z826" s="590"/>
    </row>
    <row r="827" spans="1:26" ht="15.75" customHeight="1">
      <c r="A827" s="590"/>
      <c r="B827" s="590"/>
      <c r="C827" s="590"/>
      <c r="D827" s="590"/>
      <c r="E827" s="590"/>
      <c r="F827" s="590"/>
      <c r="G827" s="590"/>
      <c r="H827" s="590"/>
      <c r="I827" s="590"/>
      <c r="J827" s="590"/>
      <c r="K827" s="590"/>
      <c r="L827" s="590"/>
      <c r="M827" s="590"/>
      <c r="N827" s="590"/>
      <c r="O827" s="590"/>
      <c r="P827" s="590"/>
      <c r="Q827" s="590"/>
      <c r="R827" s="590"/>
      <c r="S827" s="590"/>
      <c r="T827" s="590"/>
      <c r="U827" s="590"/>
      <c r="V827" s="590"/>
      <c r="W827" s="590"/>
      <c r="X827" s="590"/>
      <c r="Y827" s="590"/>
      <c r="Z827" s="590"/>
    </row>
    <row r="828" spans="1:26" ht="15.75" customHeight="1">
      <c r="A828" s="590"/>
      <c r="B828" s="590"/>
      <c r="C828" s="590"/>
      <c r="D828" s="590"/>
      <c r="E828" s="590"/>
      <c r="F828" s="590"/>
      <c r="G828" s="590"/>
      <c r="H828" s="590"/>
      <c r="I828" s="590"/>
      <c r="J828" s="590"/>
      <c r="K828" s="590"/>
      <c r="L828" s="590"/>
      <c r="M828" s="590"/>
      <c r="N828" s="590"/>
      <c r="O828" s="590"/>
      <c r="P828" s="590"/>
      <c r="Q828" s="590"/>
      <c r="R828" s="590"/>
      <c r="S828" s="590"/>
      <c r="T828" s="590"/>
      <c r="U828" s="590"/>
      <c r="V828" s="590"/>
      <c r="W828" s="590"/>
      <c r="X828" s="590"/>
      <c r="Y828" s="590"/>
      <c r="Z828" s="590"/>
    </row>
    <row r="829" spans="1:26" ht="15.75" customHeight="1">
      <c r="A829" s="590"/>
      <c r="B829" s="590"/>
      <c r="C829" s="590"/>
      <c r="D829" s="590"/>
      <c r="E829" s="590"/>
      <c r="F829" s="590"/>
      <c r="G829" s="590"/>
      <c r="H829" s="590"/>
      <c r="I829" s="590"/>
      <c r="J829" s="590"/>
      <c r="K829" s="590"/>
      <c r="L829" s="590"/>
      <c r="M829" s="590"/>
      <c r="N829" s="590"/>
      <c r="O829" s="590"/>
      <c r="P829" s="590"/>
      <c r="Q829" s="590"/>
      <c r="R829" s="590"/>
      <c r="S829" s="590"/>
      <c r="T829" s="590"/>
      <c r="U829" s="590"/>
      <c r="V829" s="590"/>
      <c r="W829" s="590"/>
      <c r="X829" s="590"/>
      <c r="Y829" s="590"/>
      <c r="Z829" s="590"/>
    </row>
    <row r="830" spans="1:26" ht="15.75" customHeight="1">
      <c r="A830" s="590"/>
      <c r="B830" s="590"/>
      <c r="C830" s="590"/>
      <c r="D830" s="590"/>
      <c r="E830" s="590"/>
      <c r="F830" s="590"/>
      <c r="G830" s="590"/>
      <c r="H830" s="590"/>
      <c r="I830" s="590"/>
      <c r="J830" s="590"/>
      <c r="K830" s="590"/>
      <c r="L830" s="590"/>
      <c r="M830" s="590"/>
      <c r="N830" s="590"/>
      <c r="O830" s="590"/>
      <c r="P830" s="590"/>
      <c r="Q830" s="590"/>
      <c r="R830" s="590"/>
      <c r="S830" s="590"/>
      <c r="T830" s="590"/>
      <c r="U830" s="590"/>
      <c r="V830" s="590"/>
      <c r="W830" s="590"/>
      <c r="X830" s="590"/>
      <c r="Y830" s="590"/>
      <c r="Z830" s="590"/>
    </row>
    <row r="831" spans="1:26" ht="15.75" customHeight="1">
      <c r="A831" s="590"/>
      <c r="B831" s="590"/>
      <c r="C831" s="590"/>
      <c r="D831" s="590"/>
      <c r="E831" s="590"/>
      <c r="F831" s="590"/>
      <c r="G831" s="590"/>
      <c r="H831" s="590"/>
      <c r="I831" s="590"/>
      <c r="J831" s="590"/>
      <c r="K831" s="590"/>
      <c r="L831" s="590"/>
      <c r="M831" s="590"/>
      <c r="N831" s="590"/>
      <c r="O831" s="590"/>
      <c r="P831" s="590"/>
      <c r="Q831" s="590"/>
      <c r="R831" s="590"/>
      <c r="S831" s="590"/>
      <c r="T831" s="590"/>
      <c r="U831" s="590"/>
      <c r="V831" s="590"/>
      <c r="W831" s="590"/>
      <c r="X831" s="590"/>
      <c r="Y831" s="590"/>
      <c r="Z831" s="590"/>
    </row>
    <row r="832" spans="1:26" ht="15.75" customHeight="1">
      <c r="A832" s="590"/>
      <c r="B832" s="590"/>
      <c r="C832" s="590"/>
      <c r="D832" s="590"/>
      <c r="E832" s="590"/>
      <c r="F832" s="590"/>
      <c r="G832" s="590"/>
      <c r="H832" s="590"/>
      <c r="I832" s="590"/>
      <c r="J832" s="590"/>
      <c r="K832" s="590"/>
      <c r="L832" s="590"/>
      <c r="M832" s="590"/>
      <c r="N832" s="590"/>
      <c r="O832" s="590"/>
      <c r="P832" s="590"/>
      <c r="Q832" s="590"/>
      <c r="R832" s="590"/>
      <c r="S832" s="590"/>
      <c r="T832" s="590"/>
      <c r="U832" s="590"/>
      <c r="V832" s="590"/>
      <c r="W832" s="590"/>
      <c r="X832" s="590"/>
      <c r="Y832" s="590"/>
      <c r="Z832" s="590"/>
    </row>
    <row r="833" spans="1:26" ht="15.75" customHeight="1">
      <c r="A833" s="590"/>
      <c r="B833" s="590"/>
      <c r="C833" s="590"/>
      <c r="D833" s="590"/>
      <c r="E833" s="590"/>
      <c r="F833" s="590"/>
      <c r="G833" s="590"/>
      <c r="H833" s="590"/>
      <c r="I833" s="590"/>
      <c r="J833" s="590"/>
      <c r="K833" s="590"/>
      <c r="L833" s="590"/>
      <c r="M833" s="590"/>
      <c r="N833" s="590"/>
      <c r="O833" s="590"/>
      <c r="P833" s="590"/>
      <c r="Q833" s="590"/>
      <c r="R833" s="590"/>
      <c r="S833" s="590"/>
      <c r="T833" s="590"/>
      <c r="U833" s="590"/>
      <c r="V833" s="590"/>
      <c r="W833" s="590"/>
      <c r="X833" s="590"/>
      <c r="Y833" s="590"/>
      <c r="Z833" s="590"/>
    </row>
    <row r="834" spans="1:26" ht="15.75" customHeight="1">
      <c r="A834" s="590"/>
      <c r="B834" s="590"/>
      <c r="C834" s="590"/>
      <c r="D834" s="590"/>
      <c r="E834" s="590"/>
      <c r="F834" s="590"/>
      <c r="G834" s="590"/>
      <c r="H834" s="590"/>
      <c r="I834" s="590"/>
      <c r="J834" s="590"/>
      <c r="K834" s="590"/>
      <c r="L834" s="590"/>
      <c r="M834" s="590"/>
      <c r="N834" s="590"/>
      <c r="O834" s="590"/>
      <c r="P834" s="590"/>
      <c r="Q834" s="590"/>
      <c r="R834" s="590"/>
      <c r="S834" s="590"/>
      <c r="T834" s="590"/>
      <c r="U834" s="590"/>
      <c r="V834" s="590"/>
      <c r="W834" s="590"/>
      <c r="X834" s="590"/>
      <c r="Y834" s="590"/>
      <c r="Z834" s="590"/>
    </row>
    <row r="835" spans="1:26" ht="15.75" customHeight="1">
      <c r="A835" s="590"/>
      <c r="B835" s="590"/>
      <c r="C835" s="590"/>
      <c r="D835" s="590"/>
      <c r="E835" s="590"/>
      <c r="F835" s="590"/>
      <c r="G835" s="590"/>
      <c r="H835" s="590"/>
      <c r="I835" s="590"/>
      <c r="J835" s="590"/>
      <c r="K835" s="590"/>
      <c r="L835" s="590"/>
      <c r="M835" s="590"/>
      <c r="N835" s="590"/>
      <c r="O835" s="590"/>
      <c r="P835" s="590"/>
      <c r="Q835" s="590"/>
      <c r="R835" s="590"/>
      <c r="S835" s="590"/>
      <c r="T835" s="590"/>
      <c r="U835" s="590"/>
      <c r="V835" s="590"/>
      <c r="W835" s="590"/>
      <c r="X835" s="590"/>
      <c r="Y835" s="590"/>
      <c r="Z835" s="590"/>
    </row>
    <row r="836" spans="1:26" ht="15.75" customHeight="1">
      <c r="A836" s="590"/>
      <c r="B836" s="590"/>
      <c r="C836" s="590"/>
      <c r="D836" s="590"/>
      <c r="E836" s="590"/>
      <c r="F836" s="590"/>
      <c r="G836" s="590"/>
      <c r="H836" s="590"/>
      <c r="I836" s="590"/>
      <c r="J836" s="590"/>
      <c r="K836" s="590"/>
      <c r="L836" s="590"/>
      <c r="M836" s="590"/>
      <c r="N836" s="590"/>
      <c r="O836" s="590"/>
      <c r="P836" s="590"/>
      <c r="Q836" s="590"/>
      <c r="R836" s="590"/>
      <c r="S836" s="590"/>
      <c r="T836" s="590"/>
      <c r="U836" s="590"/>
      <c r="V836" s="590"/>
      <c r="W836" s="590"/>
      <c r="X836" s="590"/>
      <c r="Y836" s="590"/>
      <c r="Z836" s="590"/>
    </row>
    <row r="837" spans="1:26" ht="15.75" customHeight="1">
      <c r="A837" s="590"/>
      <c r="B837" s="590"/>
      <c r="C837" s="590"/>
      <c r="D837" s="590"/>
      <c r="E837" s="590"/>
      <c r="F837" s="590"/>
      <c r="G837" s="590"/>
      <c r="H837" s="590"/>
      <c r="I837" s="590"/>
      <c r="J837" s="590"/>
      <c r="K837" s="590"/>
      <c r="L837" s="590"/>
      <c r="M837" s="590"/>
      <c r="N837" s="590"/>
      <c r="O837" s="590"/>
      <c r="P837" s="590"/>
      <c r="Q837" s="590"/>
      <c r="R837" s="590"/>
      <c r="S837" s="590"/>
      <c r="T837" s="590"/>
      <c r="U837" s="590"/>
      <c r="V837" s="590"/>
      <c r="W837" s="590"/>
      <c r="X837" s="590"/>
      <c r="Y837" s="590"/>
      <c r="Z837" s="590"/>
    </row>
    <row r="838" spans="1:26" ht="15.75" customHeight="1">
      <c r="A838" s="590"/>
      <c r="B838" s="590"/>
      <c r="C838" s="590"/>
      <c r="D838" s="590"/>
      <c r="E838" s="590"/>
      <c r="F838" s="590"/>
      <c r="G838" s="590"/>
      <c r="H838" s="590"/>
      <c r="I838" s="590"/>
      <c r="J838" s="590"/>
      <c r="K838" s="590"/>
      <c r="L838" s="590"/>
      <c r="M838" s="590"/>
      <c r="N838" s="590"/>
      <c r="O838" s="590"/>
      <c r="P838" s="590"/>
      <c r="Q838" s="590"/>
      <c r="R838" s="590"/>
      <c r="S838" s="590"/>
      <c r="T838" s="590"/>
      <c r="U838" s="590"/>
      <c r="V838" s="590"/>
      <c r="W838" s="590"/>
      <c r="X838" s="590"/>
      <c r="Y838" s="590"/>
      <c r="Z838" s="590"/>
    </row>
    <row r="839" spans="1:26" ht="15.75" customHeight="1">
      <c r="A839" s="590"/>
      <c r="B839" s="590"/>
      <c r="C839" s="590"/>
      <c r="D839" s="590"/>
      <c r="E839" s="590"/>
      <c r="F839" s="590"/>
      <c r="G839" s="590"/>
      <c r="H839" s="590"/>
      <c r="I839" s="590"/>
      <c r="J839" s="590"/>
      <c r="K839" s="590"/>
      <c r="L839" s="590"/>
      <c r="M839" s="590"/>
      <c r="N839" s="590"/>
      <c r="O839" s="590"/>
      <c r="P839" s="590"/>
      <c r="Q839" s="590"/>
      <c r="R839" s="590"/>
      <c r="S839" s="590"/>
      <c r="T839" s="590"/>
      <c r="U839" s="590"/>
      <c r="V839" s="590"/>
      <c r="W839" s="590"/>
      <c r="X839" s="590"/>
      <c r="Y839" s="590"/>
      <c r="Z839" s="590"/>
    </row>
    <row r="840" spans="1:26" ht="15.75" customHeight="1">
      <c r="A840" s="590"/>
      <c r="B840" s="590"/>
      <c r="C840" s="590"/>
      <c r="D840" s="590"/>
      <c r="E840" s="590"/>
      <c r="F840" s="590"/>
      <c r="G840" s="590"/>
      <c r="H840" s="590"/>
      <c r="I840" s="590"/>
      <c r="J840" s="590"/>
      <c r="K840" s="590"/>
      <c r="L840" s="590"/>
      <c r="M840" s="590"/>
      <c r="N840" s="590"/>
      <c r="O840" s="590"/>
      <c r="P840" s="590"/>
      <c r="Q840" s="590"/>
      <c r="R840" s="590"/>
      <c r="S840" s="590"/>
      <c r="T840" s="590"/>
      <c r="U840" s="590"/>
      <c r="V840" s="590"/>
      <c r="W840" s="590"/>
      <c r="X840" s="590"/>
      <c r="Y840" s="590"/>
      <c r="Z840" s="590"/>
    </row>
    <row r="841" spans="1:26" ht="15.75" customHeight="1">
      <c r="A841" s="590"/>
      <c r="B841" s="590"/>
      <c r="C841" s="590"/>
      <c r="D841" s="590"/>
      <c r="E841" s="590"/>
      <c r="F841" s="590"/>
      <c r="G841" s="590"/>
      <c r="H841" s="590"/>
      <c r="I841" s="590"/>
      <c r="J841" s="590"/>
      <c r="K841" s="590"/>
      <c r="L841" s="590"/>
      <c r="M841" s="590"/>
      <c r="N841" s="590"/>
      <c r="O841" s="590"/>
      <c r="P841" s="590"/>
      <c r="Q841" s="590"/>
      <c r="R841" s="590"/>
      <c r="S841" s="590"/>
      <c r="T841" s="590"/>
      <c r="U841" s="590"/>
      <c r="V841" s="590"/>
      <c r="W841" s="590"/>
      <c r="X841" s="590"/>
      <c r="Y841" s="590"/>
      <c r="Z841" s="590"/>
    </row>
    <row r="842" spans="1:26" ht="15.75" customHeight="1">
      <c r="A842" s="590"/>
      <c r="B842" s="590"/>
      <c r="C842" s="590"/>
      <c r="D842" s="590"/>
      <c r="E842" s="590"/>
      <c r="F842" s="590"/>
      <c r="G842" s="590"/>
      <c r="H842" s="590"/>
      <c r="I842" s="590"/>
      <c r="J842" s="590"/>
      <c r="K842" s="590"/>
      <c r="L842" s="590"/>
      <c r="M842" s="590"/>
      <c r="N842" s="590"/>
      <c r="O842" s="590"/>
      <c r="P842" s="590"/>
      <c r="Q842" s="590"/>
      <c r="R842" s="590"/>
      <c r="S842" s="590"/>
      <c r="T842" s="590"/>
      <c r="U842" s="590"/>
      <c r="V842" s="590"/>
      <c r="W842" s="590"/>
      <c r="X842" s="590"/>
      <c r="Y842" s="590"/>
      <c r="Z842" s="590"/>
    </row>
    <row r="843" spans="1:26" ht="15.75" customHeight="1">
      <c r="A843" s="590"/>
      <c r="B843" s="590"/>
      <c r="C843" s="590"/>
      <c r="D843" s="590"/>
      <c r="E843" s="590"/>
      <c r="F843" s="590"/>
      <c r="G843" s="590"/>
      <c r="H843" s="590"/>
      <c r="I843" s="590"/>
      <c r="J843" s="590"/>
      <c r="K843" s="590"/>
      <c r="L843" s="590"/>
      <c r="M843" s="590"/>
      <c r="N843" s="590"/>
      <c r="O843" s="590"/>
      <c r="P843" s="590"/>
      <c r="Q843" s="590"/>
      <c r="R843" s="590"/>
      <c r="S843" s="590"/>
      <c r="T843" s="590"/>
      <c r="U843" s="590"/>
      <c r="V843" s="590"/>
      <c r="W843" s="590"/>
      <c r="X843" s="590"/>
      <c r="Y843" s="590"/>
      <c r="Z843" s="590"/>
    </row>
    <row r="844" spans="1:26" ht="15.75" customHeight="1">
      <c r="A844" s="590"/>
      <c r="B844" s="590"/>
      <c r="C844" s="590"/>
      <c r="D844" s="590"/>
      <c r="E844" s="590"/>
      <c r="F844" s="590"/>
      <c r="G844" s="590"/>
      <c r="H844" s="590"/>
      <c r="I844" s="590"/>
      <c r="J844" s="590"/>
      <c r="K844" s="590"/>
      <c r="L844" s="590"/>
      <c r="M844" s="590"/>
      <c r="N844" s="590"/>
      <c r="O844" s="590"/>
      <c r="P844" s="590"/>
      <c r="Q844" s="590"/>
      <c r="R844" s="590"/>
      <c r="S844" s="590"/>
      <c r="T844" s="590"/>
      <c r="U844" s="590"/>
      <c r="V844" s="590"/>
      <c r="W844" s="590"/>
      <c r="X844" s="590"/>
      <c r="Y844" s="590"/>
      <c r="Z844" s="590"/>
    </row>
    <row r="845" spans="1:26" ht="15.75" customHeight="1">
      <c r="A845" s="590"/>
      <c r="B845" s="590"/>
      <c r="C845" s="590"/>
      <c r="D845" s="590"/>
      <c r="E845" s="590"/>
      <c r="F845" s="590"/>
      <c r="G845" s="590"/>
      <c r="H845" s="590"/>
      <c r="I845" s="590"/>
      <c r="J845" s="590"/>
      <c r="K845" s="590"/>
      <c r="L845" s="590"/>
      <c r="M845" s="590"/>
      <c r="N845" s="590"/>
      <c r="O845" s="590"/>
      <c r="P845" s="590"/>
      <c r="Q845" s="590"/>
      <c r="R845" s="590"/>
      <c r="S845" s="590"/>
      <c r="T845" s="590"/>
      <c r="U845" s="590"/>
      <c r="V845" s="590"/>
      <c r="W845" s="590"/>
      <c r="X845" s="590"/>
      <c r="Y845" s="590"/>
      <c r="Z845" s="590"/>
    </row>
    <row r="846" spans="1:26" ht="15.75" customHeight="1">
      <c r="A846" s="590"/>
      <c r="B846" s="590"/>
      <c r="C846" s="590"/>
      <c r="D846" s="590"/>
      <c r="E846" s="590"/>
      <c r="F846" s="590"/>
      <c r="G846" s="590"/>
      <c r="H846" s="590"/>
      <c r="I846" s="590"/>
      <c r="J846" s="590"/>
      <c r="K846" s="590"/>
      <c r="L846" s="590"/>
      <c r="M846" s="590"/>
      <c r="N846" s="590"/>
      <c r="O846" s="590"/>
      <c r="P846" s="590"/>
      <c r="Q846" s="590"/>
      <c r="R846" s="590"/>
      <c r="S846" s="590"/>
      <c r="T846" s="590"/>
      <c r="U846" s="590"/>
      <c r="V846" s="590"/>
      <c r="W846" s="590"/>
      <c r="X846" s="590"/>
      <c r="Y846" s="590"/>
      <c r="Z846" s="590"/>
    </row>
    <row r="847" spans="1:26" ht="15.75" customHeight="1">
      <c r="A847" s="590"/>
      <c r="B847" s="590"/>
      <c r="C847" s="590"/>
      <c r="D847" s="590"/>
      <c r="E847" s="590"/>
      <c r="F847" s="590"/>
      <c r="G847" s="590"/>
      <c r="H847" s="590"/>
      <c r="I847" s="590"/>
      <c r="J847" s="590"/>
      <c r="K847" s="590"/>
      <c r="L847" s="590"/>
      <c r="M847" s="590"/>
      <c r="N847" s="590"/>
      <c r="O847" s="590"/>
      <c r="P847" s="590"/>
      <c r="Q847" s="590"/>
      <c r="R847" s="590"/>
      <c r="S847" s="590"/>
      <c r="T847" s="590"/>
      <c r="U847" s="590"/>
      <c r="V847" s="590"/>
      <c r="W847" s="590"/>
      <c r="X847" s="590"/>
      <c r="Y847" s="590"/>
      <c r="Z847" s="590"/>
    </row>
    <row r="848" spans="1:26" ht="15.75" customHeight="1">
      <c r="A848" s="590"/>
      <c r="B848" s="590"/>
      <c r="C848" s="590"/>
      <c r="D848" s="590"/>
      <c r="E848" s="590"/>
      <c r="F848" s="590"/>
      <c r="G848" s="590"/>
      <c r="H848" s="590"/>
      <c r="I848" s="590"/>
      <c r="J848" s="590"/>
      <c r="K848" s="590"/>
      <c r="L848" s="590"/>
      <c r="M848" s="590"/>
      <c r="N848" s="590"/>
      <c r="O848" s="590"/>
      <c r="P848" s="590"/>
      <c r="Q848" s="590"/>
      <c r="R848" s="590"/>
      <c r="S848" s="590"/>
      <c r="T848" s="590"/>
      <c r="U848" s="590"/>
      <c r="V848" s="590"/>
      <c r="W848" s="590"/>
      <c r="X848" s="590"/>
      <c r="Y848" s="590"/>
      <c r="Z848" s="590"/>
    </row>
    <row r="849" spans="1:26" ht="15.75" customHeight="1">
      <c r="A849" s="590"/>
      <c r="B849" s="590"/>
      <c r="C849" s="590"/>
      <c r="D849" s="590"/>
      <c r="E849" s="590"/>
      <c r="F849" s="590"/>
      <c r="G849" s="590"/>
      <c r="H849" s="590"/>
      <c r="I849" s="590"/>
      <c r="J849" s="590"/>
      <c r="K849" s="590"/>
      <c r="L849" s="590"/>
      <c r="M849" s="590"/>
      <c r="N849" s="590"/>
      <c r="O849" s="590"/>
      <c r="P849" s="590"/>
      <c r="Q849" s="590"/>
      <c r="R849" s="590"/>
      <c r="S849" s="590"/>
      <c r="T849" s="590"/>
      <c r="U849" s="590"/>
      <c r="V849" s="590"/>
      <c r="W849" s="590"/>
      <c r="X849" s="590"/>
      <c r="Y849" s="590"/>
      <c r="Z849" s="590"/>
    </row>
    <row r="850" spans="1:26" ht="15.75" customHeight="1">
      <c r="A850" s="590"/>
      <c r="B850" s="590"/>
      <c r="C850" s="590"/>
      <c r="D850" s="590"/>
      <c r="E850" s="590"/>
      <c r="F850" s="590"/>
      <c r="G850" s="590"/>
      <c r="H850" s="590"/>
      <c r="I850" s="590"/>
      <c r="J850" s="590"/>
      <c r="K850" s="590"/>
      <c r="L850" s="590"/>
      <c r="M850" s="590"/>
      <c r="N850" s="590"/>
      <c r="O850" s="590"/>
      <c r="P850" s="590"/>
      <c r="Q850" s="590"/>
      <c r="R850" s="590"/>
      <c r="S850" s="590"/>
      <c r="T850" s="590"/>
      <c r="U850" s="590"/>
      <c r="V850" s="590"/>
      <c r="W850" s="590"/>
      <c r="X850" s="590"/>
      <c r="Y850" s="590"/>
      <c r="Z850" s="590"/>
    </row>
    <row r="851" spans="1:26" ht="15.75" customHeight="1">
      <c r="A851" s="590"/>
      <c r="B851" s="590"/>
      <c r="C851" s="590"/>
      <c r="D851" s="590"/>
      <c r="E851" s="590"/>
      <c r="F851" s="590"/>
      <c r="G851" s="590"/>
      <c r="H851" s="590"/>
      <c r="I851" s="590"/>
      <c r="J851" s="590"/>
      <c r="K851" s="590"/>
      <c r="L851" s="590"/>
      <c r="M851" s="590"/>
      <c r="N851" s="590"/>
      <c r="O851" s="590"/>
      <c r="P851" s="590"/>
      <c r="Q851" s="590"/>
      <c r="R851" s="590"/>
      <c r="S851" s="590"/>
      <c r="T851" s="590"/>
      <c r="U851" s="590"/>
      <c r="V851" s="590"/>
      <c r="W851" s="590"/>
      <c r="X851" s="590"/>
      <c r="Y851" s="590"/>
      <c r="Z851" s="590"/>
    </row>
    <row r="852" spans="1:26" ht="15.75" customHeight="1">
      <c r="A852" s="590"/>
      <c r="B852" s="590"/>
      <c r="C852" s="590"/>
      <c r="D852" s="590"/>
      <c r="E852" s="590"/>
      <c r="F852" s="590"/>
      <c r="G852" s="590"/>
      <c r="H852" s="590"/>
      <c r="I852" s="590"/>
      <c r="J852" s="590"/>
      <c r="K852" s="590"/>
      <c r="L852" s="590"/>
      <c r="M852" s="590"/>
      <c r="N852" s="590"/>
      <c r="O852" s="590"/>
      <c r="P852" s="590"/>
      <c r="Q852" s="590"/>
      <c r="R852" s="590"/>
      <c r="S852" s="590"/>
      <c r="T852" s="590"/>
      <c r="U852" s="590"/>
      <c r="V852" s="590"/>
      <c r="W852" s="590"/>
      <c r="X852" s="590"/>
      <c r="Y852" s="590"/>
      <c r="Z852" s="590"/>
    </row>
    <row r="853" spans="1:26" ht="15.75" customHeight="1">
      <c r="A853" s="590"/>
      <c r="B853" s="590"/>
      <c r="C853" s="590"/>
      <c r="D853" s="590"/>
      <c r="E853" s="590"/>
      <c r="F853" s="590"/>
      <c r="G853" s="590"/>
      <c r="H853" s="590"/>
      <c r="I853" s="590"/>
      <c r="J853" s="590"/>
      <c r="K853" s="590"/>
      <c r="L853" s="590"/>
      <c r="M853" s="590"/>
      <c r="N853" s="590"/>
      <c r="O853" s="590"/>
      <c r="P853" s="590"/>
      <c r="Q853" s="590"/>
      <c r="R853" s="590"/>
      <c r="S853" s="590"/>
      <c r="T853" s="590"/>
      <c r="U853" s="590"/>
      <c r="V853" s="590"/>
      <c r="W853" s="590"/>
      <c r="X853" s="590"/>
      <c r="Y853" s="590"/>
      <c r="Z853" s="590"/>
    </row>
    <row r="854" spans="1:26" ht="15.75" customHeight="1">
      <c r="A854" s="590"/>
      <c r="B854" s="590"/>
      <c r="C854" s="590"/>
      <c r="D854" s="590"/>
      <c r="E854" s="590"/>
      <c r="F854" s="590"/>
      <c r="G854" s="590"/>
      <c r="H854" s="590"/>
      <c r="I854" s="590"/>
      <c r="J854" s="590"/>
      <c r="K854" s="590"/>
      <c r="L854" s="590"/>
      <c r="M854" s="590"/>
      <c r="N854" s="590"/>
      <c r="O854" s="590"/>
      <c r="P854" s="590"/>
      <c r="Q854" s="590"/>
      <c r="R854" s="590"/>
      <c r="S854" s="590"/>
      <c r="T854" s="590"/>
      <c r="U854" s="590"/>
      <c r="V854" s="590"/>
      <c r="W854" s="590"/>
      <c r="X854" s="590"/>
      <c r="Y854" s="590"/>
      <c r="Z854" s="590"/>
    </row>
    <row r="855" spans="1:26" ht="15.75" customHeight="1">
      <c r="A855" s="590"/>
      <c r="B855" s="590"/>
      <c r="C855" s="590"/>
      <c r="D855" s="590"/>
      <c r="E855" s="590"/>
      <c r="F855" s="590"/>
      <c r="G855" s="590"/>
      <c r="H855" s="590"/>
      <c r="I855" s="590"/>
      <c r="J855" s="590"/>
      <c r="K855" s="590"/>
      <c r="L855" s="590"/>
      <c r="M855" s="590"/>
      <c r="N855" s="590"/>
      <c r="O855" s="590"/>
      <c r="P855" s="590"/>
      <c r="Q855" s="590"/>
      <c r="R855" s="590"/>
      <c r="S855" s="590"/>
      <c r="T855" s="590"/>
      <c r="U855" s="590"/>
      <c r="V855" s="590"/>
      <c r="W855" s="590"/>
      <c r="X855" s="590"/>
      <c r="Y855" s="590"/>
      <c r="Z855" s="590"/>
    </row>
    <row r="856" spans="1:26" ht="15.75" customHeight="1">
      <c r="A856" s="590"/>
      <c r="B856" s="590"/>
      <c r="C856" s="590"/>
      <c r="D856" s="590"/>
      <c r="E856" s="590"/>
      <c r="F856" s="590"/>
      <c r="G856" s="590"/>
      <c r="H856" s="590"/>
      <c r="I856" s="590"/>
      <c r="J856" s="590"/>
      <c r="K856" s="590"/>
      <c r="L856" s="590"/>
      <c r="M856" s="590"/>
      <c r="N856" s="590"/>
      <c r="O856" s="590"/>
      <c r="P856" s="590"/>
      <c r="Q856" s="590"/>
      <c r="R856" s="590"/>
      <c r="S856" s="590"/>
      <c r="T856" s="590"/>
      <c r="U856" s="590"/>
      <c r="V856" s="590"/>
      <c r="W856" s="590"/>
      <c r="X856" s="590"/>
      <c r="Y856" s="590"/>
      <c r="Z856" s="590"/>
    </row>
    <row r="857" spans="1:26" ht="15.75" customHeight="1">
      <c r="A857" s="590"/>
      <c r="B857" s="590"/>
      <c r="C857" s="590"/>
      <c r="D857" s="590"/>
      <c r="E857" s="590"/>
      <c r="F857" s="590"/>
      <c r="G857" s="590"/>
      <c r="H857" s="590"/>
      <c r="I857" s="590"/>
      <c r="J857" s="590"/>
      <c r="K857" s="590"/>
      <c r="L857" s="590"/>
      <c r="M857" s="590"/>
      <c r="N857" s="590"/>
      <c r="O857" s="590"/>
      <c r="P857" s="590"/>
      <c r="Q857" s="590"/>
      <c r="R857" s="590"/>
      <c r="S857" s="590"/>
      <c r="T857" s="590"/>
      <c r="U857" s="590"/>
      <c r="V857" s="590"/>
      <c r="W857" s="590"/>
      <c r="X857" s="590"/>
      <c r="Y857" s="590"/>
      <c r="Z857" s="590"/>
    </row>
    <row r="858" spans="1:26" ht="15.75" customHeight="1">
      <c r="A858" s="590"/>
      <c r="B858" s="590"/>
      <c r="C858" s="590"/>
      <c r="D858" s="590"/>
      <c r="E858" s="590"/>
      <c r="F858" s="590"/>
      <c r="G858" s="590"/>
      <c r="H858" s="590"/>
      <c r="I858" s="590"/>
      <c r="J858" s="590"/>
      <c r="K858" s="590"/>
      <c r="L858" s="590"/>
      <c r="M858" s="590"/>
      <c r="N858" s="590"/>
      <c r="O858" s="590"/>
      <c r="P858" s="590"/>
      <c r="Q858" s="590"/>
      <c r="R858" s="590"/>
      <c r="S858" s="590"/>
      <c r="T858" s="590"/>
      <c r="U858" s="590"/>
      <c r="V858" s="590"/>
      <c r="W858" s="590"/>
      <c r="X858" s="590"/>
      <c r="Y858" s="590"/>
      <c r="Z858" s="590"/>
    </row>
    <row r="859" spans="1:26" ht="15.75" customHeight="1">
      <c r="A859" s="590"/>
      <c r="B859" s="590"/>
      <c r="C859" s="590"/>
      <c r="D859" s="590"/>
      <c r="E859" s="590"/>
      <c r="F859" s="590"/>
      <c r="G859" s="590"/>
      <c r="H859" s="590"/>
      <c r="I859" s="590"/>
      <c r="J859" s="590"/>
      <c r="K859" s="590"/>
      <c r="L859" s="590"/>
      <c r="M859" s="590"/>
      <c r="N859" s="590"/>
      <c r="O859" s="590"/>
      <c r="P859" s="590"/>
      <c r="Q859" s="590"/>
      <c r="R859" s="590"/>
      <c r="S859" s="590"/>
      <c r="T859" s="590"/>
      <c r="U859" s="590"/>
      <c r="V859" s="590"/>
      <c r="W859" s="590"/>
      <c r="X859" s="590"/>
      <c r="Y859" s="590"/>
      <c r="Z859" s="590"/>
    </row>
    <row r="860" spans="1:26" ht="15.75" customHeight="1">
      <c r="A860" s="590"/>
      <c r="B860" s="590"/>
      <c r="C860" s="590"/>
      <c r="D860" s="590"/>
      <c r="E860" s="590"/>
      <c r="F860" s="590"/>
      <c r="G860" s="590"/>
      <c r="H860" s="590"/>
      <c r="I860" s="590"/>
      <c r="J860" s="590"/>
      <c r="K860" s="590"/>
      <c r="L860" s="590"/>
      <c r="M860" s="590"/>
      <c r="N860" s="590"/>
      <c r="O860" s="590"/>
      <c r="P860" s="590"/>
      <c r="Q860" s="590"/>
      <c r="R860" s="590"/>
      <c r="S860" s="590"/>
      <c r="T860" s="590"/>
      <c r="U860" s="590"/>
      <c r="V860" s="590"/>
      <c r="W860" s="590"/>
      <c r="X860" s="590"/>
      <c r="Y860" s="590"/>
      <c r="Z860" s="590"/>
    </row>
    <row r="861" spans="1:26" ht="15.75" customHeight="1">
      <c r="A861" s="590"/>
      <c r="B861" s="590"/>
      <c r="C861" s="590"/>
      <c r="D861" s="590"/>
      <c r="E861" s="590"/>
      <c r="F861" s="590"/>
      <c r="G861" s="590"/>
      <c r="H861" s="590"/>
      <c r="I861" s="590"/>
      <c r="J861" s="590"/>
      <c r="K861" s="590"/>
      <c r="L861" s="590"/>
      <c r="M861" s="590"/>
      <c r="N861" s="590"/>
      <c r="O861" s="590"/>
      <c r="P861" s="590"/>
      <c r="Q861" s="590"/>
      <c r="R861" s="590"/>
      <c r="S861" s="590"/>
      <c r="T861" s="590"/>
      <c r="U861" s="590"/>
      <c r="V861" s="590"/>
      <c r="W861" s="590"/>
      <c r="X861" s="590"/>
      <c r="Y861" s="590"/>
      <c r="Z861" s="590"/>
    </row>
    <row r="862" spans="1:26" ht="15.75" customHeight="1">
      <c r="A862" s="590"/>
      <c r="B862" s="590"/>
      <c r="C862" s="590"/>
      <c r="D862" s="590"/>
      <c r="E862" s="590"/>
      <c r="F862" s="590"/>
      <c r="G862" s="590"/>
      <c r="H862" s="590"/>
      <c r="I862" s="590"/>
      <c r="J862" s="590"/>
      <c r="K862" s="590"/>
      <c r="L862" s="590"/>
      <c r="M862" s="590"/>
      <c r="N862" s="590"/>
      <c r="O862" s="590"/>
      <c r="P862" s="590"/>
      <c r="Q862" s="590"/>
      <c r="R862" s="590"/>
      <c r="S862" s="590"/>
      <c r="T862" s="590"/>
      <c r="U862" s="590"/>
      <c r="V862" s="590"/>
      <c r="W862" s="590"/>
      <c r="X862" s="590"/>
      <c r="Y862" s="590"/>
      <c r="Z862" s="590"/>
    </row>
    <row r="863" spans="1:26" ht="15.75" customHeight="1">
      <c r="A863" s="590"/>
      <c r="B863" s="590"/>
      <c r="C863" s="590"/>
      <c r="D863" s="590"/>
      <c r="E863" s="590"/>
      <c r="F863" s="590"/>
      <c r="G863" s="590"/>
      <c r="H863" s="590"/>
      <c r="I863" s="590"/>
      <c r="J863" s="590"/>
      <c r="K863" s="590"/>
      <c r="L863" s="590"/>
      <c r="M863" s="590"/>
      <c r="N863" s="590"/>
      <c r="O863" s="590"/>
      <c r="P863" s="590"/>
      <c r="Q863" s="590"/>
      <c r="R863" s="590"/>
      <c r="S863" s="590"/>
      <c r="T863" s="590"/>
      <c r="U863" s="590"/>
      <c r="V863" s="590"/>
      <c r="W863" s="590"/>
      <c r="X863" s="590"/>
      <c r="Y863" s="590"/>
      <c r="Z863" s="590"/>
    </row>
    <row r="864" spans="1:26" ht="15.75" customHeight="1">
      <c r="A864" s="590"/>
      <c r="B864" s="590"/>
      <c r="C864" s="590"/>
      <c r="D864" s="590"/>
      <c r="E864" s="590"/>
      <c r="F864" s="590"/>
      <c r="G864" s="590"/>
      <c r="H864" s="590"/>
      <c r="I864" s="590"/>
      <c r="J864" s="590"/>
      <c r="K864" s="590"/>
      <c r="L864" s="590"/>
      <c r="M864" s="590"/>
      <c r="N864" s="590"/>
      <c r="O864" s="590"/>
      <c r="P864" s="590"/>
      <c r="Q864" s="590"/>
      <c r="R864" s="590"/>
      <c r="S864" s="590"/>
      <c r="T864" s="590"/>
      <c r="U864" s="590"/>
      <c r="V864" s="590"/>
      <c r="W864" s="590"/>
      <c r="X864" s="590"/>
      <c r="Y864" s="590"/>
      <c r="Z864" s="590"/>
    </row>
    <row r="865" spans="1:26" ht="15.75" customHeight="1">
      <c r="A865" s="590"/>
      <c r="B865" s="590"/>
      <c r="C865" s="590"/>
      <c r="D865" s="590"/>
      <c r="E865" s="590"/>
      <c r="F865" s="590"/>
      <c r="G865" s="590"/>
      <c r="H865" s="590"/>
      <c r="I865" s="590"/>
      <c r="J865" s="590"/>
      <c r="K865" s="590"/>
      <c r="L865" s="590"/>
      <c r="M865" s="590"/>
      <c r="N865" s="590"/>
      <c r="O865" s="590"/>
      <c r="P865" s="590"/>
      <c r="Q865" s="590"/>
      <c r="R865" s="590"/>
      <c r="S865" s="590"/>
      <c r="T865" s="590"/>
      <c r="U865" s="590"/>
      <c r="V865" s="590"/>
      <c r="W865" s="590"/>
      <c r="X865" s="590"/>
      <c r="Y865" s="590"/>
      <c r="Z865" s="590"/>
    </row>
    <row r="866" spans="1:26" ht="15.75" customHeight="1">
      <c r="A866" s="590"/>
      <c r="B866" s="590"/>
      <c r="C866" s="590"/>
      <c r="D866" s="590"/>
      <c r="E866" s="590"/>
      <c r="F866" s="590"/>
      <c r="G866" s="590"/>
      <c r="H866" s="590"/>
      <c r="I866" s="590"/>
      <c r="J866" s="590"/>
      <c r="K866" s="590"/>
      <c r="L866" s="590"/>
      <c r="M866" s="590"/>
      <c r="N866" s="590"/>
      <c r="O866" s="590"/>
      <c r="P866" s="590"/>
      <c r="Q866" s="590"/>
      <c r="R866" s="590"/>
      <c r="S866" s="590"/>
      <c r="T866" s="590"/>
      <c r="U866" s="590"/>
      <c r="V866" s="590"/>
      <c r="W866" s="590"/>
      <c r="X866" s="590"/>
      <c r="Y866" s="590"/>
      <c r="Z866" s="590"/>
    </row>
    <row r="867" spans="1:26" ht="15.75" customHeight="1">
      <c r="A867" s="590"/>
      <c r="B867" s="590"/>
      <c r="C867" s="590"/>
      <c r="D867" s="590"/>
      <c r="E867" s="590"/>
      <c r="F867" s="590"/>
      <c r="G867" s="590"/>
      <c r="H867" s="590"/>
      <c r="I867" s="590"/>
      <c r="J867" s="590"/>
      <c r="K867" s="590"/>
      <c r="L867" s="590"/>
      <c r="M867" s="590"/>
      <c r="N867" s="590"/>
      <c r="O867" s="590"/>
      <c r="P867" s="590"/>
      <c r="Q867" s="590"/>
      <c r="R867" s="590"/>
      <c r="S867" s="590"/>
      <c r="T867" s="590"/>
      <c r="U867" s="590"/>
      <c r="V867" s="590"/>
      <c r="W867" s="590"/>
      <c r="X867" s="590"/>
      <c r="Y867" s="590"/>
      <c r="Z867" s="590"/>
    </row>
    <row r="868" spans="1:26" ht="15.75" customHeight="1">
      <c r="A868" s="590"/>
      <c r="B868" s="590"/>
      <c r="C868" s="590"/>
      <c r="D868" s="590"/>
      <c r="E868" s="590"/>
      <c r="F868" s="590"/>
      <c r="G868" s="590"/>
      <c r="H868" s="590"/>
      <c r="I868" s="590"/>
      <c r="J868" s="590"/>
      <c r="K868" s="590"/>
      <c r="L868" s="590"/>
      <c r="M868" s="590"/>
      <c r="N868" s="590"/>
      <c r="O868" s="590"/>
      <c r="P868" s="590"/>
      <c r="Q868" s="590"/>
      <c r="R868" s="590"/>
      <c r="S868" s="590"/>
      <c r="T868" s="590"/>
      <c r="U868" s="590"/>
      <c r="V868" s="590"/>
      <c r="W868" s="590"/>
      <c r="X868" s="590"/>
      <c r="Y868" s="590"/>
      <c r="Z868" s="590"/>
    </row>
    <row r="869" spans="1:26" ht="15.75" customHeight="1">
      <c r="A869" s="590"/>
      <c r="B869" s="590"/>
      <c r="C869" s="590"/>
      <c r="D869" s="590"/>
      <c r="E869" s="590"/>
      <c r="F869" s="590"/>
      <c r="G869" s="590"/>
      <c r="H869" s="590"/>
      <c r="I869" s="590"/>
      <c r="J869" s="590"/>
      <c r="K869" s="590"/>
      <c r="L869" s="590"/>
      <c r="M869" s="590"/>
      <c r="N869" s="590"/>
      <c r="O869" s="590"/>
      <c r="P869" s="590"/>
      <c r="Q869" s="590"/>
      <c r="R869" s="590"/>
      <c r="S869" s="590"/>
      <c r="T869" s="590"/>
      <c r="U869" s="590"/>
      <c r="V869" s="590"/>
      <c r="W869" s="590"/>
      <c r="X869" s="590"/>
      <c r="Y869" s="590"/>
      <c r="Z869" s="590"/>
    </row>
    <row r="870" spans="1:26" ht="15.75" customHeight="1">
      <c r="A870" s="590"/>
      <c r="B870" s="590"/>
      <c r="C870" s="590"/>
      <c r="D870" s="590"/>
      <c r="E870" s="590"/>
      <c r="F870" s="590"/>
      <c r="G870" s="590"/>
      <c r="H870" s="590"/>
      <c r="I870" s="590"/>
      <c r="J870" s="590"/>
      <c r="K870" s="590"/>
      <c r="L870" s="590"/>
      <c r="M870" s="590"/>
      <c r="N870" s="590"/>
      <c r="O870" s="590"/>
      <c r="P870" s="590"/>
      <c r="Q870" s="590"/>
      <c r="R870" s="590"/>
      <c r="S870" s="590"/>
      <c r="T870" s="590"/>
      <c r="U870" s="590"/>
      <c r="V870" s="590"/>
      <c r="W870" s="590"/>
      <c r="X870" s="590"/>
      <c r="Y870" s="590"/>
      <c r="Z870" s="590"/>
    </row>
    <row r="871" spans="1:26" ht="15.75" customHeight="1">
      <c r="A871" s="590"/>
      <c r="B871" s="590"/>
      <c r="C871" s="590"/>
      <c r="D871" s="590"/>
      <c r="E871" s="590"/>
      <c r="F871" s="590"/>
      <c r="G871" s="590"/>
      <c r="H871" s="590"/>
      <c r="I871" s="590"/>
      <c r="J871" s="590"/>
      <c r="K871" s="590"/>
      <c r="L871" s="590"/>
      <c r="M871" s="590"/>
      <c r="N871" s="590"/>
      <c r="O871" s="590"/>
      <c r="P871" s="590"/>
      <c r="Q871" s="590"/>
      <c r="R871" s="590"/>
      <c r="S871" s="590"/>
      <c r="T871" s="590"/>
      <c r="U871" s="590"/>
      <c r="V871" s="590"/>
      <c r="W871" s="590"/>
      <c r="X871" s="590"/>
      <c r="Y871" s="590"/>
      <c r="Z871" s="590"/>
    </row>
    <row r="872" spans="1:26" ht="15.75" customHeight="1">
      <c r="A872" s="590"/>
      <c r="B872" s="590"/>
      <c r="C872" s="590"/>
      <c r="D872" s="590"/>
      <c r="E872" s="590"/>
      <c r="F872" s="590"/>
      <c r="G872" s="590"/>
      <c r="H872" s="590"/>
      <c r="I872" s="590"/>
      <c r="J872" s="590"/>
      <c r="K872" s="590"/>
      <c r="L872" s="590"/>
      <c r="M872" s="590"/>
      <c r="N872" s="590"/>
      <c r="O872" s="590"/>
      <c r="P872" s="590"/>
      <c r="Q872" s="590"/>
      <c r="R872" s="590"/>
      <c r="S872" s="590"/>
      <c r="T872" s="590"/>
      <c r="U872" s="590"/>
      <c r="V872" s="590"/>
      <c r="W872" s="590"/>
      <c r="X872" s="590"/>
      <c r="Y872" s="590"/>
      <c r="Z872" s="590"/>
    </row>
    <row r="873" spans="1:26" ht="15.75" customHeight="1">
      <c r="A873" s="590"/>
      <c r="B873" s="590"/>
      <c r="C873" s="590"/>
      <c r="D873" s="590"/>
      <c r="E873" s="590"/>
      <c r="F873" s="590"/>
      <c r="G873" s="590"/>
      <c r="H873" s="590"/>
      <c r="I873" s="590"/>
      <c r="J873" s="590"/>
      <c r="K873" s="590"/>
      <c r="L873" s="590"/>
      <c r="M873" s="590"/>
      <c r="N873" s="590"/>
      <c r="O873" s="590"/>
      <c r="P873" s="590"/>
      <c r="Q873" s="590"/>
      <c r="R873" s="590"/>
      <c r="S873" s="590"/>
      <c r="T873" s="590"/>
      <c r="U873" s="590"/>
      <c r="V873" s="590"/>
      <c r="W873" s="590"/>
      <c r="X873" s="590"/>
      <c r="Y873" s="590"/>
      <c r="Z873" s="590"/>
    </row>
    <row r="874" spans="1:26" ht="15.75" customHeight="1">
      <c r="A874" s="590"/>
      <c r="B874" s="590"/>
      <c r="C874" s="590"/>
      <c r="D874" s="590"/>
      <c r="E874" s="590"/>
      <c r="F874" s="590"/>
      <c r="G874" s="590"/>
      <c r="H874" s="590"/>
      <c r="I874" s="590"/>
      <c r="J874" s="590"/>
      <c r="K874" s="590"/>
      <c r="L874" s="590"/>
      <c r="M874" s="590"/>
      <c r="N874" s="590"/>
      <c r="O874" s="590"/>
      <c r="P874" s="590"/>
      <c r="Q874" s="590"/>
      <c r="R874" s="590"/>
      <c r="S874" s="590"/>
      <c r="T874" s="590"/>
      <c r="U874" s="590"/>
      <c r="V874" s="590"/>
      <c r="W874" s="590"/>
      <c r="X874" s="590"/>
      <c r="Y874" s="590"/>
      <c r="Z874" s="590"/>
    </row>
    <row r="875" spans="1:26" ht="15.75" customHeight="1">
      <c r="A875" s="590"/>
      <c r="B875" s="590"/>
      <c r="C875" s="590"/>
      <c r="D875" s="590"/>
      <c r="E875" s="590"/>
      <c r="F875" s="590"/>
      <c r="G875" s="590"/>
      <c r="H875" s="590"/>
      <c r="I875" s="590"/>
      <c r="J875" s="590"/>
      <c r="K875" s="590"/>
      <c r="L875" s="590"/>
      <c r="M875" s="590"/>
      <c r="N875" s="590"/>
      <c r="O875" s="590"/>
      <c r="P875" s="590"/>
      <c r="Q875" s="590"/>
      <c r="R875" s="590"/>
      <c r="S875" s="590"/>
      <c r="T875" s="590"/>
      <c r="U875" s="590"/>
      <c r="V875" s="590"/>
      <c r="W875" s="590"/>
      <c r="X875" s="590"/>
      <c r="Y875" s="590"/>
      <c r="Z875" s="590"/>
    </row>
    <row r="876" spans="1:26" ht="15.75" customHeight="1">
      <c r="A876" s="590"/>
      <c r="B876" s="590"/>
      <c r="C876" s="590"/>
      <c r="D876" s="590"/>
      <c r="E876" s="590"/>
      <c r="F876" s="590"/>
      <c r="G876" s="590"/>
      <c r="H876" s="590"/>
      <c r="I876" s="590"/>
      <c r="J876" s="590"/>
      <c r="K876" s="590"/>
      <c r="L876" s="590"/>
      <c r="M876" s="590"/>
      <c r="N876" s="590"/>
      <c r="O876" s="590"/>
      <c r="P876" s="590"/>
      <c r="Q876" s="590"/>
      <c r="R876" s="590"/>
      <c r="S876" s="590"/>
      <c r="T876" s="590"/>
      <c r="U876" s="590"/>
      <c r="V876" s="590"/>
      <c r="W876" s="590"/>
      <c r="X876" s="590"/>
      <c r="Y876" s="590"/>
      <c r="Z876" s="590"/>
    </row>
    <row r="877" spans="1:26" ht="15.75" customHeight="1">
      <c r="A877" s="590"/>
      <c r="B877" s="590"/>
      <c r="C877" s="590"/>
      <c r="D877" s="590"/>
      <c r="E877" s="590"/>
      <c r="F877" s="590"/>
      <c r="G877" s="590"/>
      <c r="H877" s="590"/>
      <c r="I877" s="590"/>
      <c r="J877" s="590"/>
      <c r="K877" s="590"/>
      <c r="L877" s="590"/>
      <c r="M877" s="590"/>
      <c r="N877" s="590"/>
      <c r="O877" s="590"/>
      <c r="P877" s="590"/>
      <c r="Q877" s="590"/>
      <c r="R877" s="590"/>
      <c r="S877" s="590"/>
      <c r="T877" s="590"/>
      <c r="U877" s="590"/>
      <c r="V877" s="590"/>
      <c r="W877" s="590"/>
      <c r="X877" s="590"/>
      <c r="Y877" s="590"/>
      <c r="Z877" s="590"/>
    </row>
    <row r="878" spans="1:26" ht="15.75" customHeight="1">
      <c r="A878" s="590"/>
      <c r="B878" s="590"/>
      <c r="C878" s="590"/>
      <c r="D878" s="590"/>
      <c r="E878" s="590"/>
      <c r="F878" s="590"/>
      <c r="G878" s="590"/>
      <c r="H878" s="590"/>
      <c r="I878" s="590"/>
      <c r="J878" s="590"/>
      <c r="K878" s="590"/>
      <c r="L878" s="590"/>
      <c r="M878" s="590"/>
      <c r="N878" s="590"/>
      <c r="O878" s="590"/>
      <c r="P878" s="590"/>
      <c r="Q878" s="590"/>
      <c r="R878" s="590"/>
      <c r="S878" s="590"/>
      <c r="T878" s="590"/>
      <c r="U878" s="590"/>
      <c r="V878" s="590"/>
      <c r="W878" s="590"/>
      <c r="X878" s="590"/>
      <c r="Y878" s="590"/>
      <c r="Z878" s="590"/>
    </row>
    <row r="879" spans="1:26" ht="15.75" customHeight="1">
      <c r="A879" s="590"/>
      <c r="B879" s="590"/>
      <c r="C879" s="590"/>
      <c r="D879" s="590"/>
      <c r="E879" s="590"/>
      <c r="F879" s="590"/>
      <c r="G879" s="590"/>
      <c r="H879" s="590"/>
      <c r="I879" s="590"/>
      <c r="J879" s="590"/>
      <c r="K879" s="590"/>
      <c r="L879" s="590"/>
      <c r="M879" s="590"/>
      <c r="N879" s="590"/>
      <c r="O879" s="590"/>
      <c r="P879" s="590"/>
      <c r="Q879" s="590"/>
      <c r="R879" s="590"/>
      <c r="S879" s="590"/>
      <c r="T879" s="590"/>
      <c r="U879" s="590"/>
      <c r="V879" s="590"/>
      <c r="W879" s="590"/>
      <c r="X879" s="590"/>
      <c r="Y879" s="590"/>
      <c r="Z879" s="590"/>
    </row>
    <row r="880" spans="1:26" ht="15.75" customHeight="1">
      <c r="A880" s="590"/>
      <c r="B880" s="590"/>
      <c r="C880" s="590"/>
      <c r="D880" s="590"/>
      <c r="E880" s="590"/>
      <c r="F880" s="590"/>
      <c r="G880" s="590"/>
      <c r="H880" s="590"/>
      <c r="I880" s="590"/>
      <c r="J880" s="590"/>
      <c r="K880" s="590"/>
      <c r="L880" s="590"/>
      <c r="M880" s="590"/>
      <c r="N880" s="590"/>
      <c r="O880" s="590"/>
      <c r="P880" s="590"/>
      <c r="Q880" s="590"/>
      <c r="R880" s="590"/>
      <c r="S880" s="590"/>
      <c r="T880" s="590"/>
      <c r="U880" s="590"/>
      <c r="V880" s="590"/>
      <c r="W880" s="590"/>
      <c r="X880" s="590"/>
      <c r="Y880" s="590"/>
      <c r="Z880" s="590"/>
    </row>
    <row r="881" spans="1:26" ht="15.75" customHeight="1">
      <c r="A881" s="590"/>
      <c r="B881" s="590"/>
      <c r="C881" s="590"/>
      <c r="D881" s="590"/>
      <c r="E881" s="590"/>
      <c r="F881" s="590"/>
      <c r="G881" s="590"/>
      <c r="H881" s="590"/>
      <c r="I881" s="590"/>
      <c r="J881" s="590"/>
      <c r="K881" s="590"/>
      <c r="L881" s="590"/>
      <c r="M881" s="590"/>
      <c r="N881" s="590"/>
      <c r="O881" s="590"/>
      <c r="P881" s="590"/>
      <c r="Q881" s="590"/>
      <c r="R881" s="590"/>
      <c r="S881" s="590"/>
      <c r="T881" s="590"/>
      <c r="U881" s="590"/>
      <c r="V881" s="590"/>
      <c r="W881" s="590"/>
      <c r="X881" s="590"/>
      <c r="Y881" s="590"/>
      <c r="Z881" s="590"/>
    </row>
    <row r="882" spans="1:26" ht="15.75" customHeight="1">
      <c r="A882" s="590"/>
      <c r="B882" s="590"/>
      <c r="C882" s="590"/>
      <c r="D882" s="590"/>
      <c r="E882" s="590"/>
      <c r="F882" s="590"/>
      <c r="G882" s="590"/>
      <c r="H882" s="590"/>
      <c r="I882" s="590"/>
      <c r="J882" s="590"/>
      <c r="K882" s="590"/>
      <c r="L882" s="590"/>
      <c r="M882" s="590"/>
      <c r="N882" s="590"/>
      <c r="O882" s="590"/>
      <c r="P882" s="590"/>
      <c r="Q882" s="590"/>
      <c r="R882" s="590"/>
      <c r="S882" s="590"/>
      <c r="T882" s="590"/>
      <c r="U882" s="590"/>
      <c r="V882" s="590"/>
      <c r="W882" s="590"/>
      <c r="X882" s="590"/>
      <c r="Y882" s="590"/>
      <c r="Z882" s="590"/>
    </row>
    <row r="883" spans="1:26" ht="15.75" customHeight="1">
      <c r="A883" s="590"/>
      <c r="B883" s="590"/>
      <c r="C883" s="590"/>
      <c r="D883" s="590"/>
      <c r="E883" s="590"/>
      <c r="F883" s="590"/>
      <c r="G883" s="590"/>
      <c r="H883" s="590"/>
      <c r="I883" s="590"/>
      <c r="J883" s="590"/>
      <c r="K883" s="590"/>
      <c r="L883" s="590"/>
      <c r="M883" s="590"/>
      <c r="N883" s="590"/>
      <c r="O883" s="590"/>
      <c r="P883" s="590"/>
      <c r="Q883" s="590"/>
      <c r="R883" s="590"/>
      <c r="S883" s="590"/>
      <c r="T883" s="590"/>
      <c r="U883" s="590"/>
      <c r="V883" s="590"/>
      <c r="W883" s="590"/>
      <c r="X883" s="590"/>
      <c r="Y883" s="590"/>
      <c r="Z883" s="590"/>
    </row>
    <row r="884" spans="1:26" ht="15.75" customHeight="1">
      <c r="A884" s="590"/>
      <c r="B884" s="590"/>
      <c r="C884" s="590"/>
      <c r="D884" s="590"/>
      <c r="E884" s="590"/>
      <c r="F884" s="590"/>
      <c r="G884" s="590"/>
      <c r="H884" s="590"/>
      <c r="I884" s="590"/>
      <c r="J884" s="590"/>
      <c r="K884" s="590"/>
      <c r="L884" s="590"/>
      <c r="M884" s="590"/>
      <c r="N884" s="590"/>
      <c r="O884" s="590"/>
      <c r="P884" s="590"/>
      <c r="Q884" s="590"/>
      <c r="R884" s="590"/>
      <c r="S884" s="590"/>
      <c r="T884" s="590"/>
      <c r="U884" s="590"/>
      <c r="V884" s="590"/>
      <c r="W884" s="590"/>
      <c r="X884" s="590"/>
      <c r="Y884" s="590"/>
      <c r="Z884" s="590"/>
    </row>
    <row r="885" spans="1:26" ht="15.75" customHeight="1">
      <c r="A885" s="590"/>
      <c r="B885" s="590"/>
      <c r="C885" s="590"/>
      <c r="D885" s="590"/>
      <c r="E885" s="590"/>
      <c r="F885" s="590"/>
      <c r="G885" s="590"/>
      <c r="H885" s="590"/>
      <c r="I885" s="590"/>
      <c r="J885" s="590"/>
      <c r="K885" s="590"/>
      <c r="L885" s="590"/>
      <c r="M885" s="590"/>
      <c r="N885" s="590"/>
      <c r="O885" s="590"/>
      <c r="P885" s="590"/>
      <c r="Q885" s="590"/>
      <c r="R885" s="590"/>
      <c r="S885" s="590"/>
      <c r="T885" s="590"/>
      <c r="U885" s="590"/>
      <c r="V885" s="590"/>
      <c r="W885" s="590"/>
      <c r="X885" s="590"/>
      <c r="Y885" s="590"/>
      <c r="Z885" s="590"/>
    </row>
    <row r="886" spans="1:26" ht="15.75" customHeight="1">
      <c r="A886" s="590"/>
      <c r="B886" s="590"/>
      <c r="C886" s="590"/>
      <c r="D886" s="590"/>
      <c r="E886" s="590"/>
      <c r="F886" s="590"/>
      <c r="G886" s="590"/>
      <c r="H886" s="590"/>
      <c r="I886" s="590"/>
      <c r="J886" s="590"/>
      <c r="K886" s="590"/>
      <c r="L886" s="590"/>
      <c r="M886" s="590"/>
      <c r="N886" s="590"/>
      <c r="O886" s="590"/>
      <c r="P886" s="590"/>
      <c r="Q886" s="590"/>
      <c r="R886" s="590"/>
      <c r="S886" s="590"/>
      <c r="T886" s="590"/>
      <c r="U886" s="590"/>
      <c r="V886" s="590"/>
      <c r="W886" s="590"/>
      <c r="X886" s="590"/>
      <c r="Y886" s="590"/>
      <c r="Z886" s="590"/>
    </row>
    <row r="887" spans="1:26" ht="15.75" customHeight="1">
      <c r="A887" s="590"/>
      <c r="B887" s="590"/>
      <c r="C887" s="590"/>
      <c r="D887" s="590"/>
      <c r="E887" s="590"/>
      <c r="F887" s="590"/>
      <c r="G887" s="590"/>
      <c r="H887" s="590"/>
      <c r="I887" s="590"/>
      <c r="J887" s="590"/>
      <c r="K887" s="590"/>
      <c r="L887" s="590"/>
      <c r="M887" s="590"/>
      <c r="N887" s="590"/>
      <c r="O887" s="590"/>
      <c r="P887" s="590"/>
      <c r="Q887" s="590"/>
      <c r="R887" s="590"/>
      <c r="S887" s="590"/>
      <c r="T887" s="590"/>
      <c r="U887" s="590"/>
      <c r="V887" s="590"/>
      <c r="W887" s="590"/>
      <c r="X887" s="590"/>
      <c r="Y887" s="590"/>
      <c r="Z887" s="590"/>
    </row>
    <row r="888" spans="1:26" ht="15.75" customHeight="1">
      <c r="A888" s="590"/>
      <c r="B888" s="590"/>
      <c r="C888" s="590"/>
      <c r="D888" s="590"/>
      <c r="E888" s="590"/>
      <c r="F888" s="590"/>
      <c r="G888" s="590"/>
      <c r="H888" s="590"/>
      <c r="I888" s="590"/>
      <c r="J888" s="590"/>
      <c r="K888" s="590"/>
      <c r="L888" s="590"/>
      <c r="M888" s="590"/>
      <c r="N888" s="590"/>
      <c r="O888" s="590"/>
      <c r="P888" s="590"/>
      <c r="Q888" s="590"/>
      <c r="R888" s="590"/>
      <c r="S888" s="590"/>
      <c r="T888" s="590"/>
      <c r="U888" s="590"/>
      <c r="V888" s="590"/>
      <c r="W888" s="590"/>
      <c r="X888" s="590"/>
      <c r="Y888" s="590"/>
      <c r="Z888" s="590"/>
    </row>
    <row r="889" spans="1:26" ht="15.75" customHeight="1">
      <c r="A889" s="590"/>
      <c r="B889" s="590"/>
      <c r="C889" s="590"/>
      <c r="D889" s="590"/>
      <c r="E889" s="590"/>
      <c r="F889" s="590"/>
      <c r="G889" s="590"/>
      <c r="H889" s="590"/>
      <c r="I889" s="590"/>
      <c r="J889" s="590"/>
      <c r="K889" s="590"/>
      <c r="L889" s="590"/>
      <c r="M889" s="590"/>
      <c r="N889" s="590"/>
      <c r="O889" s="590"/>
      <c r="P889" s="590"/>
      <c r="Q889" s="590"/>
      <c r="R889" s="590"/>
      <c r="S889" s="590"/>
      <c r="T889" s="590"/>
      <c r="U889" s="590"/>
      <c r="V889" s="590"/>
      <c r="W889" s="590"/>
      <c r="X889" s="590"/>
      <c r="Y889" s="590"/>
      <c r="Z889" s="590"/>
    </row>
    <row r="890" spans="1:26" ht="15.75" customHeight="1">
      <c r="A890" s="590"/>
      <c r="B890" s="590"/>
      <c r="C890" s="590"/>
      <c r="D890" s="590"/>
      <c r="E890" s="590"/>
      <c r="F890" s="590"/>
      <c r="G890" s="590"/>
      <c r="H890" s="590"/>
      <c r="I890" s="590"/>
      <c r="J890" s="590"/>
      <c r="K890" s="590"/>
      <c r="L890" s="590"/>
      <c r="M890" s="590"/>
      <c r="N890" s="590"/>
      <c r="O890" s="590"/>
      <c r="P890" s="590"/>
      <c r="Q890" s="590"/>
      <c r="R890" s="590"/>
      <c r="S890" s="590"/>
      <c r="T890" s="590"/>
      <c r="U890" s="590"/>
      <c r="V890" s="590"/>
      <c r="W890" s="590"/>
      <c r="X890" s="590"/>
      <c r="Y890" s="590"/>
      <c r="Z890" s="590"/>
    </row>
    <row r="891" spans="1:26" ht="15.75" customHeight="1">
      <c r="A891" s="590"/>
      <c r="B891" s="590"/>
      <c r="C891" s="590"/>
      <c r="D891" s="590"/>
      <c r="E891" s="590"/>
      <c r="F891" s="590"/>
      <c r="G891" s="590"/>
      <c r="H891" s="590"/>
      <c r="I891" s="590"/>
      <c r="J891" s="590"/>
      <c r="K891" s="590"/>
      <c r="L891" s="590"/>
      <c r="M891" s="590"/>
      <c r="N891" s="590"/>
      <c r="O891" s="590"/>
      <c r="P891" s="590"/>
      <c r="Q891" s="590"/>
      <c r="R891" s="590"/>
      <c r="S891" s="590"/>
      <c r="T891" s="590"/>
      <c r="U891" s="590"/>
      <c r="V891" s="590"/>
      <c r="W891" s="590"/>
      <c r="X891" s="590"/>
      <c r="Y891" s="590"/>
      <c r="Z891" s="590"/>
    </row>
    <row r="892" spans="1:26" ht="15.75" customHeight="1">
      <c r="A892" s="590"/>
      <c r="B892" s="590"/>
      <c r="C892" s="590"/>
      <c r="D892" s="590"/>
      <c r="E892" s="590"/>
      <c r="F892" s="590"/>
      <c r="G892" s="590"/>
      <c r="H892" s="590"/>
      <c r="I892" s="590"/>
      <c r="J892" s="590"/>
      <c r="K892" s="590"/>
      <c r="L892" s="590"/>
      <c r="M892" s="590"/>
      <c r="N892" s="590"/>
      <c r="O892" s="590"/>
      <c r="P892" s="590"/>
      <c r="Q892" s="590"/>
      <c r="R892" s="590"/>
      <c r="S892" s="590"/>
      <c r="T892" s="590"/>
      <c r="U892" s="590"/>
      <c r="V892" s="590"/>
      <c r="W892" s="590"/>
      <c r="X892" s="590"/>
      <c r="Y892" s="590"/>
      <c r="Z892" s="590"/>
    </row>
    <row r="893" spans="1:26" ht="15.75" customHeight="1">
      <c r="A893" s="590"/>
      <c r="B893" s="590"/>
      <c r="C893" s="590"/>
      <c r="D893" s="590"/>
      <c r="E893" s="590"/>
      <c r="F893" s="590"/>
      <c r="G893" s="590"/>
      <c r="H893" s="590"/>
      <c r="I893" s="590"/>
      <c r="J893" s="590"/>
      <c r="K893" s="590"/>
      <c r="L893" s="590"/>
      <c r="M893" s="590"/>
      <c r="N893" s="590"/>
      <c r="O893" s="590"/>
      <c r="P893" s="590"/>
      <c r="Q893" s="590"/>
      <c r="R893" s="590"/>
      <c r="S893" s="590"/>
      <c r="T893" s="590"/>
      <c r="U893" s="590"/>
      <c r="V893" s="590"/>
      <c r="W893" s="590"/>
      <c r="X893" s="590"/>
      <c r="Y893" s="590"/>
      <c r="Z893" s="590"/>
    </row>
    <row r="894" spans="1:26" ht="15.75" customHeight="1">
      <c r="A894" s="590"/>
      <c r="B894" s="590"/>
      <c r="C894" s="590"/>
      <c r="D894" s="590"/>
      <c r="E894" s="590"/>
      <c r="F894" s="590"/>
      <c r="G894" s="590"/>
      <c r="H894" s="590"/>
      <c r="I894" s="590"/>
      <c r="J894" s="590"/>
      <c r="K894" s="590"/>
      <c r="L894" s="590"/>
      <c r="M894" s="590"/>
      <c r="N894" s="590"/>
      <c r="O894" s="590"/>
      <c r="P894" s="590"/>
      <c r="Q894" s="590"/>
      <c r="R894" s="590"/>
      <c r="S894" s="590"/>
      <c r="T894" s="590"/>
      <c r="U894" s="590"/>
      <c r="V894" s="590"/>
      <c r="W894" s="590"/>
      <c r="X894" s="590"/>
      <c r="Y894" s="590"/>
      <c r="Z894" s="590"/>
    </row>
    <row r="895" spans="1:26" ht="15.75" customHeight="1">
      <c r="A895" s="590"/>
      <c r="B895" s="590"/>
      <c r="C895" s="590"/>
      <c r="D895" s="590"/>
      <c r="E895" s="590"/>
      <c r="F895" s="590"/>
      <c r="G895" s="590"/>
      <c r="H895" s="590"/>
      <c r="I895" s="590"/>
      <c r="J895" s="590"/>
      <c r="K895" s="590"/>
      <c r="L895" s="590"/>
      <c r="M895" s="590"/>
      <c r="N895" s="590"/>
      <c r="O895" s="590"/>
      <c r="P895" s="590"/>
      <c r="Q895" s="590"/>
      <c r="R895" s="590"/>
      <c r="S895" s="590"/>
      <c r="T895" s="590"/>
      <c r="U895" s="590"/>
      <c r="V895" s="590"/>
      <c r="W895" s="590"/>
      <c r="X895" s="590"/>
      <c r="Y895" s="590"/>
      <c r="Z895" s="590"/>
    </row>
    <row r="896" spans="1:26" ht="15.75" customHeight="1">
      <c r="A896" s="590"/>
      <c r="B896" s="590"/>
      <c r="C896" s="590"/>
      <c r="D896" s="590"/>
      <c r="E896" s="590"/>
      <c r="F896" s="590"/>
      <c r="G896" s="590"/>
      <c r="H896" s="590"/>
      <c r="I896" s="590"/>
      <c r="J896" s="590"/>
      <c r="K896" s="590"/>
      <c r="L896" s="590"/>
      <c r="M896" s="590"/>
      <c r="N896" s="590"/>
      <c r="O896" s="590"/>
      <c r="P896" s="590"/>
      <c r="Q896" s="590"/>
      <c r="R896" s="590"/>
      <c r="S896" s="590"/>
      <c r="T896" s="590"/>
      <c r="U896" s="590"/>
      <c r="V896" s="590"/>
      <c r="W896" s="590"/>
      <c r="X896" s="590"/>
      <c r="Y896" s="590"/>
      <c r="Z896" s="590"/>
    </row>
    <row r="897" spans="1:26" ht="15.75" customHeight="1">
      <c r="A897" s="590"/>
      <c r="B897" s="590"/>
      <c r="C897" s="590"/>
      <c r="D897" s="590"/>
      <c r="E897" s="590"/>
      <c r="F897" s="590"/>
      <c r="G897" s="590"/>
      <c r="H897" s="590"/>
      <c r="I897" s="590"/>
      <c r="J897" s="590"/>
      <c r="K897" s="590"/>
      <c r="L897" s="590"/>
      <c r="M897" s="590"/>
      <c r="N897" s="590"/>
      <c r="O897" s="590"/>
      <c r="P897" s="590"/>
      <c r="Q897" s="590"/>
      <c r="R897" s="590"/>
      <c r="S897" s="590"/>
      <c r="T897" s="590"/>
      <c r="U897" s="590"/>
      <c r="V897" s="590"/>
      <c r="W897" s="590"/>
      <c r="X897" s="590"/>
      <c r="Y897" s="590"/>
      <c r="Z897" s="590"/>
    </row>
    <row r="898" spans="1:26" ht="15.75" customHeight="1">
      <c r="A898" s="590"/>
      <c r="B898" s="590"/>
      <c r="C898" s="590"/>
      <c r="D898" s="590"/>
      <c r="E898" s="590"/>
      <c r="F898" s="590"/>
      <c r="G898" s="590"/>
      <c r="H898" s="590"/>
      <c r="I898" s="590"/>
      <c r="J898" s="590"/>
      <c r="K898" s="590"/>
      <c r="L898" s="590"/>
      <c r="M898" s="590"/>
      <c r="N898" s="590"/>
      <c r="O898" s="590"/>
      <c r="P898" s="590"/>
      <c r="Q898" s="590"/>
      <c r="R898" s="590"/>
      <c r="S898" s="590"/>
      <c r="T898" s="590"/>
      <c r="U898" s="590"/>
      <c r="V898" s="590"/>
      <c r="W898" s="590"/>
      <c r="X898" s="590"/>
      <c r="Y898" s="590"/>
      <c r="Z898" s="590"/>
    </row>
    <row r="899" spans="1:26" ht="15.75" customHeight="1">
      <c r="A899" s="590"/>
      <c r="B899" s="590"/>
      <c r="C899" s="590"/>
      <c r="D899" s="590"/>
      <c r="E899" s="590"/>
      <c r="F899" s="590"/>
      <c r="G899" s="590"/>
      <c r="H899" s="590"/>
      <c r="I899" s="590"/>
      <c r="J899" s="590"/>
      <c r="K899" s="590"/>
      <c r="L899" s="590"/>
      <c r="M899" s="590"/>
      <c r="N899" s="590"/>
      <c r="O899" s="590"/>
      <c r="P899" s="590"/>
      <c r="Q899" s="590"/>
      <c r="R899" s="590"/>
      <c r="S899" s="590"/>
      <c r="T899" s="590"/>
      <c r="U899" s="590"/>
      <c r="V899" s="590"/>
      <c r="W899" s="590"/>
      <c r="X899" s="590"/>
      <c r="Y899" s="590"/>
      <c r="Z899" s="590"/>
    </row>
    <row r="900" spans="1:26" ht="15.75" customHeight="1">
      <c r="A900" s="590"/>
      <c r="B900" s="590"/>
      <c r="C900" s="590"/>
      <c r="D900" s="590"/>
      <c r="E900" s="590"/>
      <c r="F900" s="590"/>
      <c r="G900" s="590"/>
      <c r="H900" s="590"/>
      <c r="I900" s="590"/>
      <c r="J900" s="590"/>
      <c r="K900" s="590"/>
      <c r="L900" s="590"/>
      <c r="M900" s="590"/>
      <c r="N900" s="590"/>
      <c r="O900" s="590"/>
      <c r="P900" s="590"/>
      <c r="Q900" s="590"/>
      <c r="R900" s="590"/>
      <c r="S900" s="590"/>
      <c r="T900" s="590"/>
      <c r="U900" s="590"/>
      <c r="V900" s="590"/>
      <c r="W900" s="590"/>
      <c r="X900" s="590"/>
      <c r="Y900" s="590"/>
      <c r="Z900" s="590"/>
    </row>
    <row r="901" spans="1:26" ht="15.75" customHeight="1">
      <c r="A901" s="590"/>
      <c r="B901" s="590"/>
      <c r="C901" s="590"/>
      <c r="D901" s="590"/>
      <c r="E901" s="590"/>
      <c r="F901" s="590"/>
      <c r="G901" s="590"/>
      <c r="H901" s="590"/>
      <c r="I901" s="590"/>
      <c r="J901" s="590"/>
      <c r="K901" s="590"/>
      <c r="L901" s="590"/>
      <c r="M901" s="590"/>
      <c r="N901" s="590"/>
      <c r="O901" s="590"/>
      <c r="P901" s="590"/>
      <c r="Q901" s="590"/>
      <c r="R901" s="590"/>
      <c r="S901" s="590"/>
      <c r="T901" s="590"/>
      <c r="U901" s="590"/>
      <c r="V901" s="590"/>
      <c r="W901" s="590"/>
      <c r="X901" s="590"/>
      <c r="Y901" s="590"/>
      <c r="Z901" s="590"/>
    </row>
    <row r="902" spans="1:26" ht="15.75" customHeight="1">
      <c r="A902" s="590"/>
      <c r="B902" s="590"/>
      <c r="C902" s="590"/>
      <c r="D902" s="590"/>
      <c r="E902" s="590"/>
      <c r="F902" s="590"/>
      <c r="G902" s="590"/>
      <c r="H902" s="590"/>
      <c r="I902" s="590"/>
      <c r="J902" s="590"/>
      <c r="K902" s="590"/>
      <c r="L902" s="590"/>
      <c r="M902" s="590"/>
      <c r="N902" s="590"/>
      <c r="O902" s="590"/>
      <c r="P902" s="590"/>
      <c r="Q902" s="590"/>
      <c r="R902" s="590"/>
      <c r="S902" s="590"/>
      <c r="T902" s="590"/>
      <c r="U902" s="590"/>
      <c r="V902" s="590"/>
      <c r="W902" s="590"/>
      <c r="X902" s="590"/>
      <c r="Y902" s="590"/>
      <c r="Z902" s="590"/>
    </row>
    <row r="903" spans="1:26" ht="15.75" customHeight="1">
      <c r="A903" s="590"/>
      <c r="B903" s="590"/>
      <c r="C903" s="590"/>
      <c r="D903" s="590"/>
      <c r="E903" s="590"/>
      <c r="F903" s="590"/>
      <c r="G903" s="590"/>
      <c r="H903" s="590"/>
      <c r="I903" s="590"/>
      <c r="J903" s="590"/>
      <c r="K903" s="590"/>
      <c r="L903" s="590"/>
      <c r="M903" s="590"/>
      <c r="N903" s="590"/>
      <c r="O903" s="590"/>
      <c r="P903" s="590"/>
      <c r="Q903" s="590"/>
      <c r="R903" s="590"/>
      <c r="S903" s="590"/>
      <c r="T903" s="590"/>
      <c r="U903" s="590"/>
      <c r="V903" s="590"/>
      <c r="W903" s="590"/>
      <c r="X903" s="590"/>
      <c r="Y903" s="590"/>
      <c r="Z903" s="590"/>
    </row>
    <row r="904" spans="1:26" ht="15.75" customHeight="1">
      <c r="A904" s="590"/>
      <c r="B904" s="590"/>
      <c r="C904" s="590"/>
      <c r="D904" s="590"/>
      <c r="E904" s="590"/>
      <c r="F904" s="590"/>
      <c r="G904" s="590"/>
      <c r="H904" s="590"/>
      <c r="I904" s="590"/>
      <c r="J904" s="590"/>
      <c r="K904" s="590"/>
      <c r="L904" s="590"/>
      <c r="M904" s="590"/>
      <c r="N904" s="590"/>
      <c r="O904" s="590"/>
      <c r="P904" s="590"/>
      <c r="Q904" s="590"/>
      <c r="R904" s="590"/>
      <c r="S904" s="590"/>
      <c r="T904" s="590"/>
      <c r="U904" s="590"/>
      <c r="V904" s="590"/>
      <c r="W904" s="590"/>
      <c r="X904" s="590"/>
      <c r="Y904" s="590"/>
      <c r="Z904" s="590"/>
    </row>
    <row r="905" spans="1:26" ht="15.75" customHeight="1">
      <c r="A905" s="590"/>
      <c r="B905" s="590"/>
      <c r="C905" s="590"/>
      <c r="D905" s="590"/>
      <c r="E905" s="590"/>
      <c r="F905" s="590"/>
      <c r="G905" s="590"/>
      <c r="H905" s="590"/>
      <c r="I905" s="590"/>
      <c r="J905" s="590"/>
      <c r="K905" s="590"/>
      <c r="L905" s="590"/>
      <c r="M905" s="590"/>
      <c r="N905" s="590"/>
      <c r="O905" s="590"/>
      <c r="P905" s="590"/>
      <c r="Q905" s="590"/>
      <c r="R905" s="590"/>
      <c r="S905" s="590"/>
      <c r="T905" s="590"/>
      <c r="U905" s="590"/>
      <c r="V905" s="590"/>
      <c r="W905" s="590"/>
      <c r="X905" s="590"/>
      <c r="Y905" s="590"/>
      <c r="Z905" s="590"/>
    </row>
    <row r="906" spans="1:26" ht="15.75" customHeight="1">
      <c r="A906" s="590"/>
      <c r="B906" s="590"/>
      <c r="C906" s="590"/>
      <c r="D906" s="590"/>
      <c r="E906" s="590"/>
      <c r="F906" s="590"/>
      <c r="G906" s="590"/>
      <c r="H906" s="590"/>
      <c r="I906" s="590"/>
      <c r="J906" s="590"/>
      <c r="K906" s="590"/>
      <c r="L906" s="590"/>
      <c r="M906" s="590"/>
      <c r="N906" s="590"/>
      <c r="O906" s="590"/>
      <c r="P906" s="590"/>
      <c r="Q906" s="590"/>
      <c r="R906" s="590"/>
      <c r="S906" s="590"/>
      <c r="T906" s="590"/>
      <c r="U906" s="590"/>
      <c r="V906" s="590"/>
      <c r="W906" s="590"/>
      <c r="X906" s="590"/>
      <c r="Y906" s="590"/>
      <c r="Z906" s="590"/>
    </row>
    <row r="907" spans="1:26" ht="15.75" customHeight="1">
      <c r="A907" s="590"/>
      <c r="B907" s="590"/>
      <c r="C907" s="590"/>
      <c r="D907" s="590"/>
      <c r="E907" s="590"/>
      <c r="F907" s="590"/>
      <c r="G907" s="590"/>
      <c r="H907" s="590"/>
      <c r="I907" s="590"/>
      <c r="J907" s="590"/>
      <c r="K907" s="590"/>
      <c r="L907" s="590"/>
      <c r="M907" s="590"/>
      <c r="N907" s="590"/>
      <c r="O907" s="590"/>
      <c r="P907" s="590"/>
      <c r="Q907" s="590"/>
      <c r="R907" s="590"/>
      <c r="S907" s="590"/>
      <c r="T907" s="590"/>
      <c r="U907" s="590"/>
      <c r="V907" s="590"/>
      <c r="W907" s="590"/>
      <c r="X907" s="590"/>
      <c r="Y907" s="590"/>
      <c r="Z907" s="590"/>
    </row>
    <row r="908" spans="1:26" ht="15.75" customHeight="1">
      <c r="A908" s="590"/>
      <c r="B908" s="590"/>
      <c r="C908" s="590"/>
      <c r="D908" s="590"/>
      <c r="E908" s="590"/>
      <c r="F908" s="590"/>
      <c r="G908" s="590"/>
      <c r="H908" s="590"/>
      <c r="I908" s="590"/>
      <c r="J908" s="590"/>
      <c r="K908" s="590"/>
      <c r="L908" s="590"/>
      <c r="M908" s="590"/>
      <c r="N908" s="590"/>
      <c r="O908" s="590"/>
      <c r="P908" s="590"/>
      <c r="Q908" s="590"/>
      <c r="R908" s="590"/>
      <c r="S908" s="590"/>
      <c r="T908" s="590"/>
      <c r="U908" s="590"/>
      <c r="V908" s="590"/>
      <c r="W908" s="590"/>
      <c r="X908" s="590"/>
      <c r="Y908" s="590"/>
      <c r="Z908" s="590"/>
    </row>
    <row r="909" spans="1:26" ht="15.75" customHeight="1">
      <c r="A909" s="590"/>
      <c r="B909" s="590"/>
      <c r="C909" s="590"/>
      <c r="D909" s="590"/>
      <c r="E909" s="590"/>
      <c r="F909" s="590"/>
      <c r="G909" s="590"/>
      <c r="H909" s="590"/>
      <c r="I909" s="590"/>
      <c r="J909" s="590"/>
      <c r="K909" s="590"/>
      <c r="L909" s="590"/>
      <c r="M909" s="590"/>
      <c r="N909" s="590"/>
      <c r="O909" s="590"/>
      <c r="P909" s="590"/>
      <c r="Q909" s="590"/>
      <c r="R909" s="590"/>
      <c r="S909" s="590"/>
      <c r="T909" s="590"/>
      <c r="U909" s="590"/>
      <c r="V909" s="590"/>
      <c r="W909" s="590"/>
      <c r="X909" s="590"/>
      <c r="Y909" s="590"/>
      <c r="Z909" s="590"/>
    </row>
    <row r="910" spans="1:26" ht="15.75" customHeight="1">
      <c r="A910" s="590"/>
      <c r="B910" s="590"/>
      <c r="C910" s="590"/>
      <c r="D910" s="590"/>
      <c r="E910" s="590"/>
      <c r="F910" s="590"/>
      <c r="G910" s="590"/>
      <c r="H910" s="590"/>
      <c r="I910" s="590"/>
      <c r="J910" s="590"/>
      <c r="K910" s="590"/>
      <c r="L910" s="590"/>
      <c r="M910" s="590"/>
      <c r="N910" s="590"/>
      <c r="O910" s="590"/>
      <c r="P910" s="590"/>
      <c r="Q910" s="590"/>
      <c r="R910" s="590"/>
      <c r="S910" s="590"/>
      <c r="T910" s="590"/>
      <c r="U910" s="590"/>
      <c r="V910" s="590"/>
      <c r="W910" s="590"/>
      <c r="X910" s="590"/>
      <c r="Y910" s="590"/>
      <c r="Z910" s="590"/>
    </row>
    <row r="911" spans="1:26" ht="15.75" customHeight="1">
      <c r="A911" s="590"/>
      <c r="B911" s="590"/>
      <c r="C911" s="590"/>
      <c r="D911" s="590"/>
      <c r="E911" s="590"/>
      <c r="F911" s="590"/>
      <c r="G911" s="590"/>
      <c r="H911" s="590"/>
      <c r="I911" s="590"/>
      <c r="J911" s="590"/>
      <c r="K911" s="590"/>
      <c r="L911" s="590"/>
      <c r="M911" s="590"/>
      <c r="N911" s="590"/>
      <c r="O911" s="590"/>
      <c r="P911" s="590"/>
      <c r="Q911" s="590"/>
      <c r="R911" s="590"/>
      <c r="S911" s="590"/>
      <c r="T911" s="590"/>
      <c r="U911" s="590"/>
      <c r="V911" s="590"/>
      <c r="W911" s="590"/>
      <c r="X911" s="590"/>
      <c r="Y911" s="590"/>
      <c r="Z911" s="590"/>
    </row>
    <row r="912" spans="1:26" ht="15.75" customHeight="1">
      <c r="A912" s="590"/>
      <c r="B912" s="590"/>
      <c r="C912" s="590"/>
      <c r="D912" s="590"/>
      <c r="E912" s="590"/>
      <c r="F912" s="590"/>
      <c r="G912" s="590"/>
      <c r="H912" s="590"/>
      <c r="I912" s="590"/>
      <c r="J912" s="590"/>
      <c r="K912" s="590"/>
      <c r="L912" s="590"/>
      <c r="M912" s="590"/>
      <c r="N912" s="590"/>
      <c r="O912" s="590"/>
      <c r="P912" s="590"/>
      <c r="Q912" s="590"/>
      <c r="R912" s="590"/>
      <c r="S912" s="590"/>
      <c r="T912" s="590"/>
      <c r="U912" s="590"/>
      <c r="V912" s="590"/>
      <c r="W912" s="590"/>
      <c r="X912" s="590"/>
      <c r="Y912" s="590"/>
      <c r="Z912" s="590"/>
    </row>
    <row r="913" spans="1:26" ht="15.75" customHeight="1">
      <c r="A913" s="590"/>
      <c r="B913" s="590"/>
      <c r="C913" s="590"/>
      <c r="D913" s="590"/>
      <c r="E913" s="590"/>
      <c r="F913" s="590"/>
      <c r="G913" s="590"/>
      <c r="H913" s="590"/>
      <c r="I913" s="590"/>
      <c r="J913" s="590"/>
      <c r="K913" s="590"/>
      <c r="L913" s="590"/>
      <c r="M913" s="590"/>
      <c r="N913" s="590"/>
      <c r="O913" s="590"/>
      <c r="P913" s="590"/>
      <c r="Q913" s="590"/>
      <c r="R913" s="590"/>
      <c r="S913" s="590"/>
      <c r="T913" s="590"/>
      <c r="U913" s="590"/>
      <c r="V913" s="590"/>
      <c r="W913" s="590"/>
      <c r="X913" s="590"/>
      <c r="Y913" s="590"/>
      <c r="Z913" s="590"/>
    </row>
    <row r="914" spans="1:26" ht="15.75" customHeight="1">
      <c r="A914" s="590"/>
      <c r="B914" s="590"/>
      <c r="C914" s="590"/>
      <c r="D914" s="590"/>
      <c r="E914" s="590"/>
      <c r="F914" s="590"/>
      <c r="G914" s="590"/>
      <c r="H914" s="590"/>
      <c r="I914" s="590"/>
      <c r="J914" s="590"/>
      <c r="K914" s="590"/>
      <c r="L914" s="590"/>
      <c r="M914" s="590"/>
      <c r="N914" s="590"/>
      <c r="O914" s="590"/>
      <c r="P914" s="590"/>
      <c r="Q914" s="590"/>
      <c r="R914" s="590"/>
      <c r="S914" s="590"/>
      <c r="T914" s="590"/>
      <c r="U914" s="590"/>
      <c r="V914" s="590"/>
      <c r="W914" s="590"/>
      <c r="X914" s="590"/>
      <c r="Y914" s="590"/>
      <c r="Z914" s="590"/>
    </row>
    <row r="915" spans="1:26" ht="15.75" customHeight="1">
      <c r="A915" s="590"/>
      <c r="B915" s="590"/>
      <c r="C915" s="590"/>
      <c r="D915" s="590"/>
      <c r="E915" s="590"/>
      <c r="F915" s="590"/>
      <c r="G915" s="590"/>
      <c r="H915" s="590"/>
      <c r="I915" s="590"/>
      <c r="J915" s="590"/>
      <c r="K915" s="590"/>
      <c r="L915" s="590"/>
      <c r="M915" s="590"/>
      <c r="N915" s="590"/>
      <c r="O915" s="590"/>
      <c r="P915" s="590"/>
      <c r="Q915" s="590"/>
      <c r="R915" s="590"/>
      <c r="S915" s="590"/>
      <c r="T915" s="590"/>
      <c r="U915" s="590"/>
      <c r="V915" s="590"/>
      <c r="W915" s="590"/>
      <c r="X915" s="590"/>
      <c r="Y915" s="590"/>
      <c r="Z915" s="590"/>
    </row>
    <row r="916" spans="1:26" ht="15.75" customHeight="1">
      <c r="A916" s="590"/>
      <c r="B916" s="590"/>
      <c r="C916" s="590"/>
      <c r="D916" s="590"/>
      <c r="E916" s="590"/>
      <c r="F916" s="590"/>
      <c r="G916" s="590"/>
      <c r="H916" s="590"/>
      <c r="I916" s="590"/>
      <c r="J916" s="590"/>
      <c r="K916" s="590"/>
      <c r="L916" s="590"/>
      <c r="M916" s="590"/>
      <c r="N916" s="590"/>
      <c r="O916" s="590"/>
      <c r="P916" s="590"/>
      <c r="Q916" s="590"/>
      <c r="R916" s="590"/>
      <c r="S916" s="590"/>
      <c r="T916" s="590"/>
      <c r="U916" s="590"/>
      <c r="V916" s="590"/>
      <c r="W916" s="590"/>
      <c r="X916" s="590"/>
      <c r="Y916" s="590"/>
      <c r="Z916" s="590"/>
    </row>
    <row r="917" spans="1:26" ht="15.75" customHeight="1">
      <c r="A917" s="590"/>
      <c r="B917" s="590"/>
      <c r="C917" s="590"/>
      <c r="D917" s="590"/>
      <c r="E917" s="590"/>
      <c r="F917" s="590"/>
      <c r="G917" s="590"/>
      <c r="H917" s="590"/>
      <c r="I917" s="590"/>
      <c r="J917" s="590"/>
      <c r="K917" s="590"/>
      <c r="L917" s="590"/>
      <c r="M917" s="590"/>
      <c r="N917" s="590"/>
      <c r="O917" s="590"/>
      <c r="P917" s="590"/>
      <c r="Q917" s="590"/>
      <c r="R917" s="590"/>
      <c r="S917" s="590"/>
      <c r="T917" s="590"/>
      <c r="U917" s="590"/>
      <c r="V917" s="590"/>
      <c r="W917" s="590"/>
      <c r="X917" s="590"/>
      <c r="Y917" s="590"/>
      <c r="Z917" s="590"/>
    </row>
    <row r="918" spans="1:26" ht="15.75" customHeight="1">
      <c r="A918" s="590"/>
      <c r="B918" s="590"/>
      <c r="C918" s="590"/>
      <c r="D918" s="590"/>
      <c r="E918" s="590"/>
      <c r="F918" s="590"/>
      <c r="G918" s="590"/>
      <c r="H918" s="590"/>
      <c r="I918" s="590"/>
      <c r="J918" s="590"/>
      <c r="K918" s="590"/>
      <c r="L918" s="590"/>
      <c r="M918" s="590"/>
      <c r="N918" s="590"/>
      <c r="O918" s="590"/>
      <c r="P918" s="590"/>
      <c r="Q918" s="590"/>
      <c r="R918" s="590"/>
      <c r="S918" s="590"/>
      <c r="T918" s="590"/>
      <c r="U918" s="590"/>
      <c r="V918" s="590"/>
      <c r="W918" s="590"/>
      <c r="X918" s="590"/>
      <c r="Y918" s="590"/>
      <c r="Z918" s="590"/>
    </row>
    <row r="919" spans="1:26" ht="15.75" customHeight="1">
      <c r="A919" s="590"/>
      <c r="B919" s="590"/>
      <c r="C919" s="590"/>
      <c r="D919" s="590"/>
      <c r="E919" s="590"/>
      <c r="F919" s="590"/>
      <c r="G919" s="590"/>
      <c r="H919" s="590"/>
      <c r="I919" s="590"/>
      <c r="J919" s="590"/>
      <c r="K919" s="590"/>
      <c r="L919" s="590"/>
      <c r="M919" s="590"/>
      <c r="N919" s="590"/>
      <c r="O919" s="590"/>
      <c r="P919" s="590"/>
      <c r="Q919" s="590"/>
      <c r="R919" s="590"/>
      <c r="S919" s="590"/>
      <c r="T919" s="590"/>
      <c r="U919" s="590"/>
      <c r="V919" s="590"/>
      <c r="W919" s="590"/>
      <c r="X919" s="590"/>
      <c r="Y919" s="590"/>
      <c r="Z919" s="590"/>
    </row>
    <row r="920" spans="1:26" ht="15.75" customHeight="1">
      <c r="A920" s="590"/>
      <c r="B920" s="590"/>
      <c r="C920" s="590"/>
      <c r="D920" s="590"/>
      <c r="E920" s="590"/>
      <c r="F920" s="590"/>
      <c r="G920" s="590"/>
      <c r="H920" s="590"/>
      <c r="I920" s="590"/>
      <c r="J920" s="590"/>
      <c r="K920" s="590"/>
      <c r="L920" s="590"/>
      <c r="M920" s="590"/>
      <c r="N920" s="590"/>
      <c r="O920" s="590"/>
      <c r="P920" s="590"/>
      <c r="Q920" s="590"/>
      <c r="R920" s="590"/>
      <c r="S920" s="590"/>
      <c r="T920" s="590"/>
      <c r="U920" s="590"/>
      <c r="V920" s="590"/>
      <c r="W920" s="590"/>
      <c r="X920" s="590"/>
      <c r="Y920" s="590"/>
      <c r="Z920" s="590"/>
    </row>
    <row r="921" spans="1:26" ht="15.75" customHeight="1">
      <c r="A921" s="590"/>
      <c r="B921" s="590"/>
      <c r="C921" s="590"/>
      <c r="D921" s="590"/>
      <c r="E921" s="590"/>
      <c r="F921" s="590"/>
      <c r="G921" s="590"/>
      <c r="H921" s="590"/>
      <c r="I921" s="590"/>
      <c r="J921" s="590"/>
      <c r="K921" s="590"/>
      <c r="L921" s="590"/>
      <c r="M921" s="590"/>
      <c r="N921" s="590"/>
      <c r="O921" s="590"/>
      <c r="P921" s="590"/>
      <c r="Q921" s="590"/>
      <c r="R921" s="590"/>
      <c r="S921" s="590"/>
      <c r="T921" s="590"/>
      <c r="U921" s="590"/>
      <c r="V921" s="590"/>
      <c r="W921" s="590"/>
      <c r="X921" s="590"/>
      <c r="Y921" s="590"/>
      <c r="Z921" s="590"/>
    </row>
    <row r="922" spans="1:26" ht="15.75" customHeight="1">
      <c r="A922" s="590"/>
      <c r="B922" s="590"/>
      <c r="C922" s="590"/>
      <c r="D922" s="590"/>
      <c r="E922" s="590"/>
      <c r="F922" s="590"/>
      <c r="G922" s="590"/>
      <c r="H922" s="590"/>
      <c r="I922" s="590"/>
      <c r="J922" s="590"/>
      <c r="K922" s="590"/>
      <c r="L922" s="590"/>
      <c r="M922" s="590"/>
      <c r="N922" s="590"/>
      <c r="O922" s="590"/>
      <c r="P922" s="590"/>
      <c r="Q922" s="590"/>
      <c r="R922" s="590"/>
      <c r="S922" s="590"/>
      <c r="T922" s="590"/>
      <c r="U922" s="590"/>
      <c r="V922" s="590"/>
      <c r="W922" s="590"/>
      <c r="X922" s="590"/>
      <c r="Y922" s="590"/>
      <c r="Z922" s="590"/>
    </row>
    <row r="923" spans="1:26" ht="15.75" customHeight="1">
      <c r="A923" s="590"/>
      <c r="B923" s="590"/>
      <c r="C923" s="590"/>
      <c r="D923" s="590"/>
      <c r="E923" s="590"/>
      <c r="F923" s="590"/>
      <c r="G923" s="590"/>
      <c r="H923" s="590"/>
      <c r="I923" s="590"/>
      <c r="J923" s="590"/>
      <c r="K923" s="590"/>
      <c r="L923" s="590"/>
      <c r="M923" s="590"/>
      <c r="N923" s="590"/>
      <c r="O923" s="590"/>
      <c r="P923" s="590"/>
      <c r="Q923" s="590"/>
      <c r="R923" s="590"/>
      <c r="S923" s="590"/>
      <c r="T923" s="590"/>
      <c r="U923" s="590"/>
      <c r="V923" s="590"/>
      <c r="W923" s="590"/>
      <c r="X923" s="590"/>
      <c r="Y923" s="590"/>
      <c r="Z923" s="590"/>
    </row>
    <row r="924" spans="1:26" ht="15.75" customHeight="1">
      <c r="A924" s="590"/>
      <c r="B924" s="590"/>
      <c r="C924" s="590"/>
      <c r="D924" s="590"/>
      <c r="E924" s="590"/>
      <c r="F924" s="590"/>
      <c r="G924" s="590"/>
      <c r="H924" s="590"/>
      <c r="I924" s="590"/>
      <c r="J924" s="590"/>
      <c r="K924" s="590"/>
      <c r="L924" s="590"/>
      <c r="M924" s="590"/>
      <c r="N924" s="590"/>
      <c r="O924" s="590"/>
      <c r="P924" s="590"/>
      <c r="Q924" s="590"/>
      <c r="R924" s="590"/>
      <c r="S924" s="590"/>
      <c r="T924" s="590"/>
      <c r="U924" s="590"/>
      <c r="V924" s="590"/>
      <c r="W924" s="590"/>
      <c r="X924" s="590"/>
      <c r="Y924" s="590"/>
      <c r="Z924" s="590"/>
    </row>
    <row r="925" spans="1:26" ht="15.75" customHeight="1">
      <c r="A925" s="590"/>
      <c r="B925" s="590"/>
      <c r="C925" s="590"/>
      <c r="D925" s="590"/>
      <c r="E925" s="590"/>
      <c r="F925" s="590"/>
      <c r="G925" s="590"/>
      <c r="H925" s="590"/>
      <c r="I925" s="590"/>
      <c r="J925" s="590"/>
      <c r="K925" s="590"/>
      <c r="L925" s="590"/>
      <c r="M925" s="590"/>
      <c r="N925" s="590"/>
      <c r="O925" s="590"/>
      <c r="P925" s="590"/>
      <c r="Q925" s="590"/>
      <c r="R925" s="590"/>
      <c r="S925" s="590"/>
      <c r="T925" s="590"/>
      <c r="U925" s="590"/>
      <c r="V925" s="590"/>
      <c r="W925" s="590"/>
      <c r="X925" s="590"/>
      <c r="Y925" s="590"/>
      <c r="Z925" s="590"/>
    </row>
    <row r="926" spans="1:26" ht="15.75" customHeight="1">
      <c r="A926" s="590"/>
      <c r="B926" s="590"/>
      <c r="C926" s="590"/>
      <c r="D926" s="590"/>
      <c r="E926" s="590"/>
      <c r="F926" s="590"/>
      <c r="G926" s="590"/>
      <c r="H926" s="590"/>
      <c r="I926" s="590"/>
      <c r="J926" s="590"/>
      <c r="K926" s="590"/>
      <c r="L926" s="590"/>
      <c r="M926" s="590"/>
      <c r="N926" s="590"/>
      <c r="O926" s="590"/>
      <c r="P926" s="590"/>
      <c r="Q926" s="590"/>
      <c r="R926" s="590"/>
      <c r="S926" s="590"/>
      <c r="T926" s="590"/>
      <c r="U926" s="590"/>
      <c r="V926" s="590"/>
      <c r="W926" s="590"/>
      <c r="X926" s="590"/>
      <c r="Y926" s="590"/>
      <c r="Z926" s="590"/>
    </row>
    <row r="927" spans="1:26" ht="15.75" customHeight="1">
      <c r="A927" s="590"/>
      <c r="B927" s="590"/>
      <c r="C927" s="590"/>
      <c r="D927" s="590"/>
      <c r="E927" s="590"/>
      <c r="F927" s="590"/>
      <c r="G927" s="590"/>
      <c r="H927" s="590"/>
      <c r="I927" s="590"/>
      <c r="J927" s="590"/>
      <c r="K927" s="590"/>
      <c r="L927" s="590"/>
      <c r="M927" s="590"/>
      <c r="N927" s="590"/>
      <c r="O927" s="590"/>
      <c r="P927" s="590"/>
      <c r="Q927" s="590"/>
      <c r="R927" s="590"/>
      <c r="S927" s="590"/>
      <c r="T927" s="590"/>
      <c r="U927" s="590"/>
      <c r="V927" s="590"/>
      <c r="W927" s="590"/>
      <c r="X927" s="590"/>
      <c r="Y927" s="590"/>
      <c r="Z927" s="590"/>
    </row>
    <row r="928" spans="1:26" ht="15.75" customHeight="1">
      <c r="A928" s="590"/>
      <c r="B928" s="590"/>
      <c r="C928" s="590"/>
      <c r="D928" s="590"/>
      <c r="E928" s="590"/>
      <c r="F928" s="590"/>
      <c r="G928" s="590"/>
      <c r="H928" s="590"/>
      <c r="I928" s="590"/>
      <c r="J928" s="590"/>
      <c r="K928" s="590"/>
      <c r="L928" s="590"/>
      <c r="M928" s="590"/>
      <c r="N928" s="590"/>
      <c r="O928" s="590"/>
      <c r="P928" s="590"/>
      <c r="Q928" s="590"/>
      <c r="R928" s="590"/>
      <c r="S928" s="590"/>
      <c r="T928" s="590"/>
      <c r="U928" s="590"/>
      <c r="V928" s="590"/>
      <c r="W928" s="590"/>
      <c r="X928" s="590"/>
      <c r="Y928" s="590"/>
      <c r="Z928" s="590"/>
    </row>
    <row r="929" spans="1:26" ht="15.75" customHeight="1">
      <c r="A929" s="590"/>
      <c r="B929" s="590"/>
      <c r="C929" s="590"/>
      <c r="D929" s="590"/>
      <c r="E929" s="590"/>
      <c r="F929" s="590"/>
      <c r="G929" s="590"/>
      <c r="H929" s="590"/>
      <c r="I929" s="590"/>
      <c r="J929" s="590"/>
      <c r="K929" s="590"/>
      <c r="L929" s="590"/>
      <c r="M929" s="590"/>
      <c r="N929" s="590"/>
      <c r="O929" s="590"/>
      <c r="P929" s="590"/>
      <c r="Q929" s="590"/>
      <c r="R929" s="590"/>
      <c r="S929" s="590"/>
      <c r="T929" s="590"/>
      <c r="U929" s="590"/>
      <c r="V929" s="590"/>
      <c r="W929" s="590"/>
      <c r="X929" s="590"/>
      <c r="Y929" s="590"/>
      <c r="Z929" s="590"/>
    </row>
    <row r="930" spans="1:26" ht="15.75" customHeight="1">
      <c r="A930" s="590"/>
      <c r="B930" s="590"/>
      <c r="C930" s="590"/>
      <c r="D930" s="590"/>
      <c r="E930" s="590"/>
      <c r="F930" s="590"/>
      <c r="G930" s="590"/>
      <c r="H930" s="590"/>
      <c r="I930" s="590"/>
      <c r="J930" s="590"/>
      <c r="K930" s="590"/>
      <c r="L930" s="590"/>
      <c r="M930" s="590"/>
      <c r="N930" s="590"/>
      <c r="O930" s="590"/>
      <c r="P930" s="590"/>
      <c r="Q930" s="590"/>
      <c r="R930" s="590"/>
      <c r="S930" s="590"/>
      <c r="T930" s="590"/>
      <c r="U930" s="590"/>
      <c r="V930" s="590"/>
      <c r="W930" s="590"/>
      <c r="X930" s="590"/>
      <c r="Y930" s="590"/>
      <c r="Z930" s="590"/>
    </row>
    <row r="931" spans="1:26" ht="15.75" customHeight="1">
      <c r="A931" s="590"/>
      <c r="B931" s="590"/>
      <c r="C931" s="590"/>
      <c r="D931" s="590"/>
      <c r="E931" s="590"/>
      <c r="F931" s="590"/>
      <c r="G931" s="590"/>
      <c r="H931" s="590"/>
      <c r="I931" s="590"/>
      <c r="J931" s="590"/>
      <c r="K931" s="590"/>
      <c r="L931" s="590"/>
      <c r="M931" s="590"/>
      <c r="N931" s="590"/>
      <c r="O931" s="590"/>
      <c r="P931" s="590"/>
      <c r="Q931" s="590"/>
      <c r="R931" s="590"/>
      <c r="S931" s="590"/>
      <c r="T931" s="590"/>
      <c r="U931" s="590"/>
      <c r="V931" s="590"/>
      <c r="W931" s="590"/>
      <c r="X931" s="590"/>
      <c r="Y931" s="590"/>
      <c r="Z931" s="590"/>
    </row>
    <row r="932" spans="1:26" ht="15.75" customHeight="1">
      <c r="A932" s="590"/>
      <c r="B932" s="590"/>
      <c r="C932" s="590"/>
      <c r="D932" s="590"/>
      <c r="E932" s="590"/>
      <c r="F932" s="590"/>
      <c r="G932" s="590"/>
      <c r="H932" s="590"/>
      <c r="I932" s="590"/>
      <c r="J932" s="590"/>
      <c r="K932" s="590"/>
      <c r="L932" s="590"/>
      <c r="M932" s="590"/>
      <c r="N932" s="590"/>
      <c r="O932" s="590"/>
      <c r="P932" s="590"/>
      <c r="Q932" s="590"/>
      <c r="R932" s="590"/>
      <c r="S932" s="590"/>
      <c r="T932" s="590"/>
      <c r="U932" s="590"/>
      <c r="V932" s="590"/>
      <c r="W932" s="590"/>
      <c r="X932" s="590"/>
      <c r="Y932" s="590"/>
      <c r="Z932" s="590"/>
    </row>
    <row r="933" spans="1:26" ht="15.75" customHeight="1">
      <c r="A933" s="590"/>
      <c r="B933" s="590"/>
      <c r="C933" s="590"/>
      <c r="D933" s="590"/>
      <c r="E933" s="590"/>
      <c r="F933" s="590"/>
      <c r="G933" s="590"/>
      <c r="H933" s="590"/>
      <c r="I933" s="590"/>
      <c r="J933" s="590"/>
      <c r="K933" s="590"/>
      <c r="L933" s="590"/>
      <c r="M933" s="590"/>
      <c r="N933" s="590"/>
      <c r="O933" s="590"/>
      <c r="P933" s="590"/>
      <c r="Q933" s="590"/>
      <c r="R933" s="590"/>
      <c r="S933" s="590"/>
      <c r="T933" s="590"/>
      <c r="U933" s="590"/>
      <c r="V933" s="590"/>
      <c r="W933" s="590"/>
      <c r="X933" s="590"/>
      <c r="Y933" s="590"/>
      <c r="Z933" s="590"/>
    </row>
    <row r="934" spans="1:26" ht="15.75" customHeight="1">
      <c r="A934" s="590"/>
      <c r="B934" s="590"/>
      <c r="C934" s="590"/>
      <c r="D934" s="590"/>
      <c r="E934" s="590"/>
      <c r="F934" s="590"/>
      <c r="G934" s="590"/>
      <c r="H934" s="590"/>
      <c r="I934" s="590"/>
      <c r="J934" s="590"/>
      <c r="K934" s="590"/>
      <c r="L934" s="590"/>
      <c r="M934" s="590"/>
      <c r="N934" s="590"/>
      <c r="O934" s="590"/>
      <c r="P934" s="590"/>
      <c r="Q934" s="590"/>
      <c r="R934" s="590"/>
      <c r="S934" s="590"/>
      <c r="T934" s="590"/>
      <c r="U934" s="590"/>
      <c r="V934" s="590"/>
      <c r="W934" s="590"/>
      <c r="X934" s="590"/>
      <c r="Y934" s="590"/>
      <c r="Z934" s="590"/>
    </row>
    <row r="935" spans="1:26" ht="15.75" customHeight="1">
      <c r="A935" s="590"/>
      <c r="B935" s="590"/>
      <c r="C935" s="590"/>
      <c r="D935" s="590"/>
      <c r="E935" s="590"/>
      <c r="F935" s="590"/>
      <c r="G935" s="590"/>
      <c r="H935" s="590"/>
      <c r="I935" s="590"/>
      <c r="J935" s="590"/>
      <c r="K935" s="590"/>
      <c r="L935" s="590"/>
      <c r="M935" s="590"/>
      <c r="N935" s="590"/>
      <c r="O935" s="590"/>
      <c r="P935" s="590"/>
      <c r="Q935" s="590"/>
      <c r="R935" s="590"/>
      <c r="S935" s="590"/>
      <c r="T935" s="590"/>
      <c r="U935" s="590"/>
      <c r="V935" s="590"/>
      <c r="W935" s="590"/>
      <c r="X935" s="590"/>
      <c r="Y935" s="590"/>
      <c r="Z935" s="590"/>
    </row>
    <row r="936" spans="1:26" ht="15.75" customHeight="1">
      <c r="A936" s="590"/>
      <c r="B936" s="590"/>
      <c r="C936" s="590"/>
      <c r="D936" s="590"/>
      <c r="E936" s="590"/>
      <c r="F936" s="590"/>
      <c r="G936" s="590"/>
      <c r="H936" s="590"/>
      <c r="I936" s="590"/>
      <c r="J936" s="590"/>
      <c r="K936" s="590"/>
      <c r="L936" s="590"/>
      <c r="M936" s="590"/>
      <c r="N936" s="590"/>
      <c r="O936" s="590"/>
      <c r="P936" s="590"/>
      <c r="Q936" s="590"/>
      <c r="R936" s="590"/>
      <c r="S936" s="590"/>
      <c r="T936" s="590"/>
      <c r="U936" s="590"/>
      <c r="V936" s="590"/>
      <c r="W936" s="590"/>
      <c r="X936" s="590"/>
      <c r="Y936" s="590"/>
      <c r="Z936" s="590"/>
    </row>
    <row r="937" spans="1:26" ht="15.75" customHeight="1">
      <c r="A937" s="590"/>
      <c r="B937" s="590"/>
      <c r="C937" s="590"/>
      <c r="D937" s="590"/>
      <c r="E937" s="590"/>
      <c r="F937" s="590"/>
      <c r="G937" s="590"/>
      <c r="H937" s="590"/>
      <c r="I937" s="590"/>
      <c r="J937" s="590"/>
      <c r="K937" s="590"/>
      <c r="L937" s="590"/>
      <c r="M937" s="590"/>
      <c r="N937" s="590"/>
      <c r="O937" s="590"/>
      <c r="P937" s="590"/>
      <c r="Q937" s="590"/>
      <c r="R937" s="590"/>
      <c r="S937" s="590"/>
      <c r="T937" s="590"/>
      <c r="U937" s="590"/>
      <c r="V937" s="590"/>
      <c r="W937" s="590"/>
      <c r="X937" s="590"/>
      <c r="Y937" s="590"/>
      <c r="Z937" s="590"/>
    </row>
    <row r="938" spans="1:26" ht="15.75" customHeight="1">
      <c r="A938" s="590"/>
      <c r="B938" s="590"/>
      <c r="C938" s="590"/>
      <c r="D938" s="590"/>
      <c r="E938" s="590"/>
      <c r="F938" s="590"/>
      <c r="G938" s="590"/>
      <c r="H938" s="590"/>
      <c r="I938" s="590"/>
      <c r="J938" s="590"/>
      <c r="K938" s="590"/>
      <c r="L938" s="590"/>
      <c r="M938" s="590"/>
      <c r="N938" s="590"/>
      <c r="O938" s="590"/>
      <c r="P938" s="590"/>
      <c r="Q938" s="590"/>
      <c r="R938" s="590"/>
      <c r="S938" s="590"/>
      <c r="T938" s="590"/>
      <c r="U938" s="590"/>
      <c r="V938" s="590"/>
      <c r="W938" s="590"/>
      <c r="X938" s="590"/>
      <c r="Y938" s="590"/>
      <c r="Z938" s="590"/>
    </row>
    <row r="939" spans="1:26" ht="15.75" customHeight="1">
      <c r="A939" s="590"/>
      <c r="B939" s="590"/>
      <c r="C939" s="590"/>
      <c r="D939" s="590"/>
      <c r="E939" s="590"/>
      <c r="F939" s="590"/>
      <c r="G939" s="590"/>
      <c r="H939" s="590"/>
      <c r="I939" s="590"/>
      <c r="J939" s="590"/>
      <c r="K939" s="590"/>
      <c r="L939" s="590"/>
      <c r="M939" s="590"/>
      <c r="N939" s="590"/>
      <c r="O939" s="590"/>
      <c r="P939" s="590"/>
      <c r="Q939" s="590"/>
      <c r="R939" s="590"/>
      <c r="S939" s="590"/>
      <c r="T939" s="590"/>
      <c r="U939" s="590"/>
      <c r="V939" s="590"/>
      <c r="W939" s="590"/>
      <c r="X939" s="590"/>
      <c r="Y939" s="590"/>
      <c r="Z939" s="590"/>
    </row>
    <row r="940" spans="1:26" ht="15.75" customHeight="1">
      <c r="A940" s="590"/>
      <c r="B940" s="590"/>
      <c r="C940" s="590"/>
      <c r="D940" s="590"/>
      <c r="E940" s="590"/>
      <c r="F940" s="590"/>
      <c r="G940" s="590"/>
      <c r="H940" s="590"/>
      <c r="I940" s="590"/>
      <c r="J940" s="590"/>
      <c r="K940" s="590"/>
      <c r="L940" s="590"/>
      <c r="M940" s="590"/>
      <c r="N940" s="590"/>
      <c r="O940" s="590"/>
      <c r="P940" s="590"/>
      <c r="Q940" s="590"/>
      <c r="R940" s="590"/>
      <c r="S940" s="590"/>
      <c r="T940" s="590"/>
      <c r="U940" s="590"/>
      <c r="V940" s="590"/>
      <c r="W940" s="590"/>
      <c r="X940" s="590"/>
      <c r="Y940" s="590"/>
      <c r="Z940" s="590"/>
    </row>
    <row r="941" spans="1:26" ht="15.75" customHeight="1">
      <c r="A941" s="590"/>
      <c r="B941" s="590"/>
      <c r="C941" s="590"/>
      <c r="D941" s="590"/>
      <c r="E941" s="590"/>
      <c r="F941" s="590"/>
      <c r="G941" s="590"/>
      <c r="H941" s="590"/>
      <c r="I941" s="590"/>
      <c r="J941" s="590"/>
      <c r="K941" s="590"/>
      <c r="L941" s="590"/>
      <c r="M941" s="590"/>
      <c r="N941" s="590"/>
      <c r="O941" s="590"/>
      <c r="P941" s="590"/>
      <c r="Q941" s="590"/>
      <c r="R941" s="590"/>
      <c r="S941" s="590"/>
      <c r="T941" s="590"/>
      <c r="U941" s="590"/>
      <c r="V941" s="590"/>
      <c r="W941" s="590"/>
      <c r="X941" s="590"/>
      <c r="Y941" s="590"/>
      <c r="Z941" s="590"/>
    </row>
    <row r="942" spans="1:26" ht="15.75" customHeight="1">
      <c r="A942" s="590"/>
      <c r="B942" s="590"/>
      <c r="C942" s="590"/>
      <c r="D942" s="590"/>
      <c r="E942" s="590"/>
      <c r="F942" s="590"/>
      <c r="G942" s="590"/>
      <c r="H942" s="590"/>
      <c r="I942" s="590"/>
      <c r="J942" s="590"/>
      <c r="K942" s="590"/>
      <c r="L942" s="590"/>
      <c r="M942" s="590"/>
      <c r="N942" s="590"/>
      <c r="O942" s="590"/>
      <c r="P942" s="590"/>
      <c r="Q942" s="590"/>
      <c r="R942" s="590"/>
      <c r="S942" s="590"/>
      <c r="T942" s="590"/>
      <c r="U942" s="590"/>
      <c r="V942" s="590"/>
      <c r="W942" s="590"/>
      <c r="X942" s="590"/>
      <c r="Y942" s="590"/>
      <c r="Z942" s="590"/>
    </row>
    <row r="943" spans="1:26" ht="15.75" customHeight="1">
      <c r="A943" s="590"/>
      <c r="B943" s="590"/>
      <c r="C943" s="590"/>
      <c r="D943" s="590"/>
      <c r="E943" s="590"/>
      <c r="F943" s="590"/>
      <c r="G943" s="590"/>
      <c r="H943" s="590"/>
      <c r="I943" s="590"/>
      <c r="J943" s="590"/>
      <c r="K943" s="590"/>
      <c r="L943" s="590"/>
      <c r="M943" s="590"/>
      <c r="N943" s="590"/>
      <c r="O943" s="590"/>
      <c r="P943" s="590"/>
      <c r="Q943" s="590"/>
      <c r="R943" s="590"/>
      <c r="S943" s="590"/>
      <c r="T943" s="590"/>
      <c r="U943" s="590"/>
      <c r="V943" s="590"/>
      <c r="W943" s="590"/>
      <c r="X943" s="590"/>
      <c r="Y943" s="590"/>
      <c r="Z943" s="590"/>
    </row>
    <row r="944" spans="1:26" ht="15.75" customHeight="1">
      <c r="A944" s="590"/>
      <c r="B944" s="590"/>
      <c r="C944" s="590"/>
      <c r="D944" s="590"/>
      <c r="E944" s="590"/>
      <c r="F944" s="590"/>
      <c r="G944" s="590"/>
      <c r="H944" s="590"/>
      <c r="I944" s="590"/>
      <c r="J944" s="590"/>
      <c r="K944" s="590"/>
      <c r="L944" s="590"/>
      <c r="M944" s="590"/>
      <c r="N944" s="590"/>
      <c r="O944" s="590"/>
      <c r="P944" s="590"/>
      <c r="Q944" s="590"/>
      <c r="R944" s="590"/>
      <c r="S944" s="590"/>
      <c r="T944" s="590"/>
      <c r="U944" s="590"/>
      <c r="V944" s="590"/>
      <c r="W944" s="590"/>
      <c r="X944" s="590"/>
      <c r="Y944" s="590"/>
      <c r="Z944" s="590"/>
    </row>
    <row r="945" spans="1:26" ht="15.75" customHeight="1">
      <c r="A945" s="590"/>
      <c r="B945" s="590"/>
      <c r="C945" s="590"/>
      <c r="D945" s="590"/>
      <c r="E945" s="590"/>
      <c r="F945" s="590"/>
      <c r="G945" s="590"/>
      <c r="H945" s="590"/>
      <c r="I945" s="590"/>
      <c r="J945" s="590"/>
      <c r="K945" s="590"/>
      <c r="L945" s="590"/>
      <c r="M945" s="590"/>
      <c r="N945" s="590"/>
      <c r="O945" s="590"/>
      <c r="P945" s="590"/>
      <c r="Q945" s="590"/>
      <c r="R945" s="590"/>
      <c r="S945" s="590"/>
      <c r="T945" s="590"/>
      <c r="U945" s="590"/>
      <c r="V945" s="590"/>
      <c r="W945" s="590"/>
      <c r="X945" s="590"/>
      <c r="Y945" s="590"/>
      <c r="Z945" s="590"/>
    </row>
    <row r="946" spans="1:26" ht="15.75" customHeight="1">
      <c r="A946" s="590"/>
      <c r="B946" s="590"/>
      <c r="C946" s="590"/>
      <c r="D946" s="590"/>
      <c r="E946" s="590"/>
      <c r="F946" s="590"/>
      <c r="G946" s="590"/>
      <c r="H946" s="590"/>
      <c r="I946" s="590"/>
      <c r="J946" s="590"/>
      <c r="K946" s="590"/>
      <c r="L946" s="590"/>
      <c r="M946" s="590"/>
      <c r="N946" s="590"/>
      <c r="O946" s="590"/>
      <c r="P946" s="590"/>
      <c r="Q946" s="590"/>
      <c r="R946" s="590"/>
      <c r="S946" s="590"/>
      <c r="T946" s="590"/>
      <c r="U946" s="590"/>
      <c r="V946" s="590"/>
      <c r="W946" s="590"/>
      <c r="X946" s="590"/>
      <c r="Y946" s="590"/>
      <c r="Z946" s="590"/>
    </row>
    <row r="947" spans="1:26" ht="15.75" customHeight="1">
      <c r="A947" s="590"/>
      <c r="B947" s="590"/>
      <c r="C947" s="590"/>
      <c r="D947" s="590"/>
      <c r="E947" s="590"/>
      <c r="F947" s="590"/>
      <c r="G947" s="590"/>
      <c r="H947" s="590"/>
      <c r="I947" s="590"/>
      <c r="J947" s="590"/>
      <c r="K947" s="590"/>
      <c r="L947" s="590"/>
      <c r="M947" s="590"/>
      <c r="N947" s="590"/>
      <c r="O947" s="590"/>
      <c r="P947" s="590"/>
      <c r="Q947" s="590"/>
      <c r="R947" s="590"/>
      <c r="S947" s="590"/>
      <c r="T947" s="590"/>
      <c r="U947" s="590"/>
      <c r="V947" s="590"/>
      <c r="W947" s="590"/>
      <c r="X947" s="590"/>
      <c r="Y947" s="590"/>
      <c r="Z947" s="590"/>
    </row>
    <row r="948" spans="1:26" ht="15.75" customHeight="1">
      <c r="A948" s="590"/>
      <c r="B948" s="590"/>
      <c r="C948" s="590"/>
      <c r="D948" s="590"/>
      <c r="E948" s="590"/>
      <c r="F948" s="590"/>
      <c r="G948" s="590"/>
      <c r="H948" s="590"/>
      <c r="I948" s="590"/>
      <c r="J948" s="590"/>
      <c r="K948" s="590"/>
      <c r="L948" s="590"/>
      <c r="M948" s="590"/>
      <c r="N948" s="590"/>
      <c r="O948" s="590"/>
      <c r="P948" s="590"/>
      <c r="Q948" s="590"/>
      <c r="R948" s="590"/>
      <c r="S948" s="590"/>
      <c r="T948" s="590"/>
      <c r="U948" s="590"/>
      <c r="V948" s="590"/>
      <c r="W948" s="590"/>
      <c r="X948" s="590"/>
      <c r="Y948" s="590"/>
      <c r="Z948" s="590"/>
    </row>
    <row r="949" spans="1:26" ht="15.75" customHeight="1">
      <c r="A949" s="590"/>
      <c r="B949" s="590"/>
      <c r="C949" s="590"/>
      <c r="D949" s="590"/>
      <c r="E949" s="590"/>
      <c r="F949" s="590"/>
      <c r="G949" s="590"/>
      <c r="H949" s="590"/>
      <c r="I949" s="590"/>
      <c r="J949" s="590"/>
      <c r="K949" s="590"/>
      <c r="L949" s="590"/>
      <c r="M949" s="590"/>
      <c r="N949" s="590"/>
      <c r="O949" s="590"/>
      <c r="P949" s="590"/>
      <c r="Q949" s="590"/>
      <c r="R949" s="590"/>
      <c r="S949" s="590"/>
      <c r="T949" s="590"/>
      <c r="U949" s="590"/>
      <c r="V949" s="590"/>
      <c r="W949" s="590"/>
      <c r="X949" s="590"/>
      <c r="Y949" s="590"/>
      <c r="Z949" s="590"/>
    </row>
    <row r="950" spans="1:26" ht="15.75" customHeight="1">
      <c r="A950" s="590"/>
      <c r="B950" s="590"/>
      <c r="C950" s="590"/>
      <c r="D950" s="590"/>
      <c r="E950" s="590"/>
      <c r="F950" s="590"/>
      <c r="G950" s="590"/>
      <c r="H950" s="590"/>
      <c r="I950" s="590"/>
      <c r="J950" s="590"/>
      <c r="K950" s="590"/>
      <c r="L950" s="590"/>
      <c r="M950" s="590"/>
      <c r="N950" s="590"/>
      <c r="O950" s="590"/>
      <c r="P950" s="590"/>
      <c r="Q950" s="590"/>
      <c r="R950" s="590"/>
      <c r="S950" s="590"/>
      <c r="T950" s="590"/>
      <c r="U950" s="590"/>
      <c r="V950" s="590"/>
      <c r="W950" s="590"/>
      <c r="X950" s="590"/>
      <c r="Y950" s="590"/>
      <c r="Z950" s="590"/>
    </row>
    <row r="951" spans="1:26" ht="15.75" customHeight="1">
      <c r="A951" s="590"/>
      <c r="B951" s="590"/>
      <c r="C951" s="590"/>
      <c r="D951" s="590"/>
      <c r="E951" s="590"/>
      <c r="F951" s="590"/>
      <c r="G951" s="590"/>
      <c r="H951" s="590"/>
      <c r="I951" s="590"/>
      <c r="J951" s="590"/>
      <c r="K951" s="590"/>
      <c r="L951" s="590"/>
      <c r="M951" s="590"/>
      <c r="N951" s="590"/>
      <c r="O951" s="590"/>
      <c r="P951" s="590"/>
      <c r="Q951" s="590"/>
      <c r="R951" s="590"/>
      <c r="S951" s="590"/>
      <c r="T951" s="590"/>
      <c r="U951" s="590"/>
      <c r="V951" s="590"/>
      <c r="W951" s="590"/>
      <c r="X951" s="590"/>
      <c r="Y951" s="590"/>
      <c r="Z951" s="590"/>
    </row>
    <row r="952" spans="1:26" ht="15.75" customHeight="1">
      <c r="A952" s="590"/>
      <c r="B952" s="590"/>
      <c r="C952" s="590"/>
      <c r="D952" s="590"/>
      <c r="E952" s="590"/>
      <c r="F952" s="590"/>
      <c r="G952" s="590"/>
      <c r="H952" s="590"/>
      <c r="I952" s="590"/>
      <c r="J952" s="590"/>
      <c r="K952" s="590"/>
      <c r="L952" s="590"/>
      <c r="M952" s="590"/>
      <c r="N952" s="590"/>
      <c r="O952" s="590"/>
      <c r="P952" s="590"/>
      <c r="Q952" s="590"/>
      <c r="R952" s="590"/>
      <c r="S952" s="590"/>
      <c r="T952" s="590"/>
      <c r="U952" s="590"/>
      <c r="V952" s="590"/>
      <c r="W952" s="590"/>
      <c r="X952" s="590"/>
      <c r="Y952" s="590"/>
      <c r="Z952" s="590"/>
    </row>
    <row r="953" spans="1:26" ht="15.75" customHeight="1">
      <c r="A953" s="590"/>
      <c r="B953" s="590"/>
      <c r="C953" s="590"/>
      <c r="D953" s="590"/>
      <c r="E953" s="590"/>
      <c r="F953" s="590"/>
      <c r="G953" s="590"/>
      <c r="H953" s="590"/>
      <c r="I953" s="590"/>
      <c r="J953" s="590"/>
      <c r="K953" s="590"/>
      <c r="L953" s="590"/>
      <c r="M953" s="590"/>
      <c r="N953" s="590"/>
      <c r="O953" s="590"/>
      <c r="P953" s="590"/>
      <c r="Q953" s="590"/>
      <c r="R953" s="590"/>
      <c r="S953" s="590"/>
      <c r="T953" s="590"/>
      <c r="U953" s="590"/>
      <c r="V953" s="590"/>
      <c r="W953" s="590"/>
      <c r="X953" s="590"/>
      <c r="Y953" s="590"/>
      <c r="Z953" s="590"/>
    </row>
    <row r="954" spans="1:26" ht="15.75" customHeight="1">
      <c r="A954" s="590"/>
      <c r="B954" s="590"/>
      <c r="C954" s="590"/>
      <c r="D954" s="590"/>
      <c r="E954" s="590"/>
      <c r="F954" s="590"/>
      <c r="G954" s="590"/>
      <c r="H954" s="590"/>
      <c r="I954" s="590"/>
      <c r="J954" s="590"/>
      <c r="K954" s="590"/>
      <c r="L954" s="590"/>
      <c r="M954" s="590"/>
      <c r="N954" s="590"/>
      <c r="O954" s="590"/>
      <c r="P954" s="590"/>
      <c r="Q954" s="590"/>
      <c r="R954" s="590"/>
      <c r="S954" s="590"/>
      <c r="T954" s="590"/>
      <c r="U954" s="590"/>
      <c r="V954" s="590"/>
      <c r="W954" s="590"/>
      <c r="X954" s="590"/>
      <c r="Y954" s="590"/>
      <c r="Z954" s="590"/>
    </row>
    <row r="955" spans="1:26" ht="15.75" customHeight="1">
      <c r="A955" s="590"/>
      <c r="B955" s="590"/>
      <c r="C955" s="590"/>
      <c r="D955" s="590"/>
      <c r="E955" s="590"/>
      <c r="F955" s="590"/>
      <c r="G955" s="590"/>
      <c r="H955" s="590"/>
      <c r="I955" s="590"/>
      <c r="J955" s="590"/>
      <c r="K955" s="590"/>
      <c r="L955" s="590"/>
      <c r="M955" s="590"/>
      <c r="N955" s="590"/>
      <c r="O955" s="590"/>
      <c r="P955" s="590"/>
      <c r="Q955" s="590"/>
      <c r="R955" s="590"/>
      <c r="S955" s="590"/>
      <c r="T955" s="590"/>
      <c r="U955" s="590"/>
      <c r="V955" s="590"/>
      <c r="W955" s="590"/>
      <c r="X955" s="590"/>
      <c r="Y955" s="590"/>
      <c r="Z955" s="590"/>
    </row>
    <row r="956" spans="1:26" ht="15.75" customHeight="1">
      <c r="A956" s="590"/>
      <c r="B956" s="590"/>
      <c r="C956" s="590"/>
      <c r="D956" s="590"/>
      <c r="E956" s="590"/>
      <c r="F956" s="590"/>
      <c r="G956" s="590"/>
      <c r="H956" s="590"/>
      <c r="I956" s="590"/>
      <c r="J956" s="590"/>
      <c r="K956" s="590"/>
      <c r="L956" s="590"/>
      <c r="M956" s="590"/>
      <c r="N956" s="590"/>
      <c r="O956" s="590"/>
      <c r="P956" s="590"/>
      <c r="Q956" s="590"/>
      <c r="R956" s="590"/>
      <c r="S956" s="590"/>
      <c r="T956" s="590"/>
      <c r="U956" s="590"/>
      <c r="V956" s="590"/>
      <c r="W956" s="590"/>
      <c r="X956" s="590"/>
      <c r="Y956" s="590"/>
      <c r="Z956" s="590"/>
    </row>
    <row r="957" spans="1:26" ht="15.75" customHeight="1">
      <c r="A957" s="590"/>
      <c r="B957" s="590"/>
      <c r="C957" s="590"/>
      <c r="D957" s="590"/>
      <c r="E957" s="590"/>
      <c r="F957" s="590"/>
      <c r="G957" s="590"/>
      <c r="H957" s="590"/>
      <c r="I957" s="590"/>
      <c r="J957" s="590"/>
      <c r="K957" s="590"/>
      <c r="L957" s="590"/>
      <c r="M957" s="590"/>
      <c r="N957" s="590"/>
      <c r="O957" s="590"/>
      <c r="P957" s="590"/>
      <c r="Q957" s="590"/>
      <c r="R957" s="590"/>
      <c r="S957" s="590"/>
      <c r="T957" s="590"/>
      <c r="U957" s="590"/>
      <c r="V957" s="590"/>
      <c r="W957" s="590"/>
      <c r="X957" s="590"/>
      <c r="Y957" s="590"/>
      <c r="Z957" s="590"/>
    </row>
    <row r="958" spans="1:26" ht="15.75" customHeight="1">
      <c r="A958" s="590"/>
      <c r="B958" s="590"/>
      <c r="C958" s="590"/>
      <c r="D958" s="590"/>
      <c r="E958" s="590"/>
      <c r="F958" s="590"/>
      <c r="G958" s="590"/>
      <c r="H958" s="590"/>
      <c r="I958" s="590"/>
      <c r="J958" s="590"/>
      <c r="K958" s="590"/>
      <c r="L958" s="590"/>
      <c r="M958" s="590"/>
      <c r="N958" s="590"/>
      <c r="O958" s="590"/>
      <c r="P958" s="590"/>
      <c r="Q958" s="590"/>
      <c r="R958" s="590"/>
      <c r="S958" s="590"/>
      <c r="T958" s="590"/>
      <c r="U958" s="590"/>
      <c r="V958" s="590"/>
      <c r="W958" s="590"/>
      <c r="X958" s="590"/>
      <c r="Y958" s="590"/>
      <c r="Z958" s="590"/>
    </row>
    <row r="959" spans="1:26" ht="15.75" customHeight="1">
      <c r="A959" s="590"/>
      <c r="B959" s="590"/>
      <c r="C959" s="590"/>
      <c r="D959" s="590"/>
      <c r="E959" s="590"/>
      <c r="F959" s="590"/>
      <c r="G959" s="590"/>
      <c r="H959" s="590"/>
      <c r="I959" s="590"/>
      <c r="J959" s="590"/>
      <c r="K959" s="590"/>
      <c r="L959" s="590"/>
      <c r="M959" s="590"/>
      <c r="N959" s="590"/>
      <c r="O959" s="590"/>
      <c r="P959" s="590"/>
      <c r="Q959" s="590"/>
      <c r="R959" s="590"/>
      <c r="S959" s="590"/>
      <c r="T959" s="590"/>
      <c r="U959" s="590"/>
      <c r="V959" s="590"/>
      <c r="W959" s="590"/>
      <c r="X959" s="590"/>
      <c r="Y959" s="590"/>
      <c r="Z959" s="590"/>
    </row>
    <row r="960" spans="1:26" ht="15.75" customHeight="1">
      <c r="A960" s="590"/>
      <c r="B960" s="590"/>
      <c r="C960" s="590"/>
      <c r="D960" s="590"/>
      <c r="E960" s="590"/>
      <c r="F960" s="590"/>
      <c r="G960" s="590"/>
      <c r="H960" s="590"/>
      <c r="I960" s="590"/>
      <c r="J960" s="590"/>
      <c r="K960" s="590"/>
      <c r="L960" s="590"/>
      <c r="M960" s="590"/>
      <c r="N960" s="590"/>
      <c r="O960" s="590"/>
      <c r="P960" s="590"/>
      <c r="Q960" s="590"/>
      <c r="R960" s="590"/>
      <c r="S960" s="590"/>
      <c r="T960" s="590"/>
      <c r="U960" s="590"/>
      <c r="V960" s="590"/>
      <c r="W960" s="590"/>
      <c r="X960" s="590"/>
      <c r="Y960" s="590"/>
      <c r="Z960" s="590"/>
    </row>
    <row r="961" spans="1:26" ht="15.75" customHeight="1">
      <c r="A961" s="590"/>
      <c r="B961" s="590"/>
      <c r="C961" s="590"/>
      <c r="D961" s="590"/>
      <c r="E961" s="590"/>
      <c r="F961" s="590"/>
      <c r="G961" s="590"/>
      <c r="H961" s="590"/>
      <c r="I961" s="590"/>
      <c r="J961" s="590"/>
      <c r="K961" s="590"/>
      <c r="L961" s="590"/>
      <c r="M961" s="590"/>
      <c r="N961" s="590"/>
      <c r="O961" s="590"/>
      <c r="P961" s="590"/>
      <c r="Q961" s="590"/>
      <c r="R961" s="590"/>
      <c r="S961" s="590"/>
      <c r="T961" s="590"/>
      <c r="U961" s="590"/>
      <c r="V961" s="590"/>
      <c r="W961" s="590"/>
      <c r="X961" s="590"/>
      <c r="Y961" s="590"/>
      <c r="Z961" s="590"/>
    </row>
    <row r="962" spans="1:26" ht="15.75" customHeight="1">
      <c r="A962" s="590"/>
      <c r="B962" s="590"/>
      <c r="C962" s="590"/>
      <c r="D962" s="590"/>
      <c r="E962" s="590"/>
      <c r="F962" s="590"/>
      <c r="G962" s="590"/>
      <c r="H962" s="590"/>
      <c r="I962" s="590"/>
      <c r="J962" s="590"/>
      <c r="K962" s="590"/>
      <c r="L962" s="590"/>
      <c r="M962" s="590"/>
      <c r="N962" s="590"/>
      <c r="O962" s="590"/>
      <c r="P962" s="590"/>
      <c r="Q962" s="590"/>
      <c r="R962" s="590"/>
      <c r="S962" s="590"/>
      <c r="T962" s="590"/>
      <c r="U962" s="590"/>
      <c r="V962" s="590"/>
      <c r="W962" s="590"/>
      <c r="X962" s="590"/>
      <c r="Y962" s="590"/>
      <c r="Z962" s="590"/>
    </row>
    <row r="963" spans="1:26" ht="15.75" customHeight="1">
      <c r="A963" s="590"/>
      <c r="B963" s="590"/>
      <c r="C963" s="590"/>
      <c r="D963" s="590"/>
      <c r="E963" s="590"/>
      <c r="F963" s="590"/>
      <c r="G963" s="590"/>
      <c r="H963" s="590"/>
      <c r="I963" s="590"/>
      <c r="J963" s="590"/>
      <c r="K963" s="590"/>
      <c r="L963" s="590"/>
      <c r="M963" s="590"/>
      <c r="N963" s="590"/>
      <c r="O963" s="590"/>
      <c r="P963" s="590"/>
      <c r="Q963" s="590"/>
      <c r="R963" s="590"/>
      <c r="S963" s="590"/>
      <c r="T963" s="590"/>
      <c r="U963" s="590"/>
      <c r="V963" s="590"/>
      <c r="W963" s="590"/>
      <c r="X963" s="590"/>
      <c r="Y963" s="590"/>
      <c r="Z963" s="590"/>
    </row>
    <row r="964" spans="1:26" ht="15.75" customHeight="1">
      <c r="A964" s="590"/>
      <c r="B964" s="590"/>
      <c r="C964" s="590"/>
      <c r="D964" s="590"/>
      <c r="E964" s="590"/>
      <c r="F964" s="590"/>
      <c r="G964" s="590"/>
      <c r="H964" s="590"/>
      <c r="I964" s="590"/>
      <c r="J964" s="590"/>
      <c r="K964" s="590"/>
      <c r="L964" s="590"/>
      <c r="M964" s="590"/>
      <c r="N964" s="590"/>
      <c r="O964" s="590"/>
      <c r="P964" s="590"/>
      <c r="Q964" s="590"/>
      <c r="R964" s="590"/>
      <c r="S964" s="590"/>
      <c r="T964" s="590"/>
      <c r="U964" s="590"/>
      <c r="V964" s="590"/>
      <c r="W964" s="590"/>
      <c r="X964" s="590"/>
      <c r="Y964" s="590"/>
      <c r="Z964" s="590"/>
    </row>
    <row r="965" spans="1:26" ht="15.75" customHeight="1">
      <c r="A965" s="590"/>
      <c r="B965" s="590"/>
      <c r="C965" s="590"/>
      <c r="D965" s="590"/>
      <c r="E965" s="590"/>
      <c r="F965" s="590"/>
      <c r="G965" s="590"/>
      <c r="H965" s="590"/>
      <c r="I965" s="590"/>
      <c r="J965" s="590"/>
      <c r="K965" s="590"/>
      <c r="L965" s="590"/>
      <c r="M965" s="590"/>
      <c r="N965" s="590"/>
      <c r="O965" s="590"/>
      <c r="P965" s="590"/>
      <c r="Q965" s="590"/>
      <c r="R965" s="590"/>
      <c r="S965" s="590"/>
      <c r="T965" s="590"/>
      <c r="U965" s="590"/>
      <c r="V965" s="590"/>
      <c r="W965" s="590"/>
      <c r="X965" s="590"/>
      <c r="Y965" s="590"/>
      <c r="Z965" s="590"/>
    </row>
    <row r="966" spans="1:26" ht="15.75" customHeight="1">
      <c r="A966" s="590"/>
      <c r="B966" s="590"/>
      <c r="C966" s="590"/>
      <c r="D966" s="590"/>
      <c r="E966" s="590"/>
      <c r="F966" s="590"/>
      <c r="G966" s="590"/>
      <c r="H966" s="590"/>
      <c r="I966" s="590"/>
      <c r="J966" s="590"/>
      <c r="K966" s="590"/>
      <c r="L966" s="590"/>
      <c r="M966" s="590"/>
      <c r="N966" s="590"/>
      <c r="O966" s="590"/>
      <c r="P966" s="590"/>
      <c r="Q966" s="590"/>
      <c r="R966" s="590"/>
      <c r="S966" s="590"/>
      <c r="T966" s="590"/>
      <c r="U966" s="590"/>
      <c r="V966" s="590"/>
      <c r="W966" s="590"/>
      <c r="X966" s="590"/>
      <c r="Y966" s="590"/>
      <c r="Z966" s="590"/>
    </row>
    <row r="967" spans="1:26" ht="15.75" customHeight="1">
      <c r="A967" s="590"/>
      <c r="B967" s="590"/>
      <c r="C967" s="590"/>
      <c r="D967" s="590"/>
      <c r="E967" s="590"/>
      <c r="F967" s="590"/>
      <c r="G967" s="590"/>
      <c r="H967" s="590"/>
      <c r="I967" s="590"/>
      <c r="J967" s="590"/>
      <c r="K967" s="590"/>
      <c r="L967" s="590"/>
      <c r="M967" s="590"/>
      <c r="N967" s="590"/>
      <c r="O967" s="590"/>
      <c r="P967" s="590"/>
      <c r="Q967" s="590"/>
      <c r="R967" s="590"/>
      <c r="S967" s="590"/>
      <c r="T967" s="590"/>
      <c r="U967" s="590"/>
      <c r="V967" s="590"/>
      <c r="W967" s="590"/>
      <c r="X967" s="590"/>
      <c r="Y967" s="590"/>
      <c r="Z967" s="590"/>
    </row>
    <row r="968" spans="1:26" ht="15.75" customHeight="1">
      <c r="A968" s="590"/>
      <c r="B968" s="590"/>
      <c r="C968" s="590"/>
      <c r="D968" s="590"/>
      <c r="E968" s="590"/>
      <c r="F968" s="590"/>
      <c r="G968" s="590"/>
      <c r="H968" s="590"/>
      <c r="I968" s="590"/>
      <c r="J968" s="590"/>
      <c r="K968" s="590"/>
      <c r="L968" s="590"/>
      <c r="M968" s="590"/>
      <c r="N968" s="590"/>
      <c r="O968" s="590"/>
      <c r="P968" s="590"/>
      <c r="Q968" s="590"/>
      <c r="R968" s="590"/>
      <c r="S968" s="590"/>
      <c r="T968" s="590"/>
      <c r="U968" s="590"/>
      <c r="V968" s="590"/>
      <c r="W968" s="590"/>
      <c r="X968" s="590"/>
      <c r="Y968" s="590"/>
      <c r="Z968" s="590"/>
    </row>
    <row r="969" spans="1:26" ht="15.75" customHeight="1">
      <c r="A969" s="590"/>
      <c r="B969" s="590"/>
      <c r="C969" s="590"/>
      <c r="D969" s="590"/>
      <c r="E969" s="590"/>
      <c r="F969" s="590"/>
      <c r="G969" s="590"/>
      <c r="H969" s="590"/>
      <c r="I969" s="590"/>
      <c r="J969" s="590"/>
      <c r="K969" s="590"/>
      <c r="L969" s="590"/>
      <c r="M969" s="590"/>
      <c r="N969" s="590"/>
      <c r="O969" s="590"/>
      <c r="P969" s="590"/>
      <c r="Q969" s="590"/>
      <c r="R969" s="590"/>
      <c r="S969" s="590"/>
      <c r="T969" s="590"/>
      <c r="U969" s="590"/>
      <c r="V969" s="590"/>
      <c r="W969" s="590"/>
      <c r="X969" s="590"/>
      <c r="Y969" s="590"/>
      <c r="Z969" s="590"/>
    </row>
    <row r="970" spans="1:26" ht="15.75" customHeight="1">
      <c r="A970" s="590"/>
      <c r="B970" s="590"/>
      <c r="C970" s="590"/>
      <c r="D970" s="590"/>
      <c r="E970" s="590"/>
      <c r="F970" s="590"/>
      <c r="G970" s="590"/>
      <c r="H970" s="590"/>
      <c r="I970" s="590"/>
      <c r="J970" s="590"/>
      <c r="K970" s="590"/>
      <c r="L970" s="590"/>
      <c r="M970" s="590"/>
      <c r="N970" s="590"/>
      <c r="O970" s="590"/>
      <c r="P970" s="590"/>
      <c r="Q970" s="590"/>
      <c r="R970" s="590"/>
      <c r="S970" s="590"/>
      <c r="T970" s="590"/>
      <c r="U970" s="590"/>
      <c r="V970" s="590"/>
      <c r="W970" s="590"/>
      <c r="X970" s="590"/>
      <c r="Y970" s="590"/>
      <c r="Z970" s="590"/>
    </row>
    <row r="971" spans="1:26" ht="15.75" customHeight="1">
      <c r="A971" s="590"/>
      <c r="B971" s="590"/>
      <c r="C971" s="590"/>
      <c r="D971" s="590"/>
      <c r="E971" s="590"/>
      <c r="F971" s="590"/>
      <c r="G971" s="590"/>
      <c r="H971" s="590"/>
      <c r="I971" s="590"/>
      <c r="J971" s="590"/>
      <c r="K971" s="590"/>
      <c r="L971" s="590"/>
      <c r="M971" s="590"/>
      <c r="N971" s="590"/>
      <c r="O971" s="590"/>
      <c r="P971" s="590"/>
      <c r="Q971" s="590"/>
      <c r="R971" s="590"/>
      <c r="S971" s="590"/>
      <c r="T971" s="590"/>
      <c r="U971" s="590"/>
      <c r="V971" s="590"/>
      <c r="W971" s="590"/>
      <c r="X971" s="590"/>
      <c r="Y971" s="590"/>
      <c r="Z971" s="590"/>
    </row>
    <row r="972" spans="1:26" ht="15.75" customHeight="1">
      <c r="A972" s="590"/>
      <c r="B972" s="590"/>
      <c r="C972" s="590"/>
      <c r="D972" s="590"/>
      <c r="E972" s="590"/>
      <c r="F972" s="590"/>
      <c r="G972" s="590"/>
      <c r="H972" s="590"/>
      <c r="I972" s="590"/>
      <c r="J972" s="590"/>
      <c r="K972" s="590"/>
      <c r="L972" s="590"/>
      <c r="M972" s="590"/>
      <c r="N972" s="590"/>
      <c r="O972" s="590"/>
      <c r="P972" s="590"/>
      <c r="Q972" s="590"/>
      <c r="R972" s="590"/>
      <c r="S972" s="590"/>
      <c r="T972" s="590"/>
      <c r="U972" s="590"/>
      <c r="V972" s="590"/>
      <c r="W972" s="590"/>
      <c r="X972" s="590"/>
      <c r="Y972" s="590"/>
      <c r="Z972" s="590"/>
    </row>
    <row r="973" spans="1:26" ht="15.75" customHeight="1">
      <c r="A973" s="590"/>
      <c r="B973" s="590"/>
      <c r="C973" s="590"/>
      <c r="D973" s="590"/>
      <c r="E973" s="590"/>
      <c r="F973" s="590"/>
      <c r="G973" s="590"/>
      <c r="H973" s="590"/>
      <c r="I973" s="590"/>
      <c r="J973" s="590"/>
      <c r="K973" s="590"/>
      <c r="L973" s="590"/>
      <c r="M973" s="590"/>
      <c r="N973" s="590"/>
      <c r="O973" s="590"/>
      <c r="P973" s="590"/>
      <c r="Q973" s="590"/>
      <c r="R973" s="590"/>
      <c r="S973" s="590"/>
      <c r="T973" s="590"/>
      <c r="U973" s="590"/>
      <c r="V973" s="590"/>
      <c r="W973" s="590"/>
      <c r="X973" s="590"/>
      <c r="Y973" s="590"/>
      <c r="Z973" s="590"/>
    </row>
    <row r="974" spans="1:26" ht="15.75" customHeight="1">
      <c r="A974" s="590"/>
      <c r="B974" s="590"/>
      <c r="C974" s="590"/>
      <c r="D974" s="590"/>
      <c r="E974" s="590"/>
      <c r="F974" s="590"/>
      <c r="G974" s="590"/>
      <c r="H974" s="590"/>
      <c r="I974" s="590"/>
      <c r="J974" s="590"/>
      <c r="K974" s="590"/>
      <c r="L974" s="590"/>
      <c r="M974" s="590"/>
      <c r="N974" s="590"/>
      <c r="O974" s="590"/>
      <c r="P974" s="590"/>
      <c r="Q974" s="590"/>
      <c r="R974" s="590"/>
      <c r="S974" s="590"/>
      <c r="T974" s="590"/>
      <c r="U974" s="590"/>
      <c r="V974" s="590"/>
      <c r="W974" s="590"/>
      <c r="X974" s="590"/>
      <c r="Y974" s="590"/>
      <c r="Z974" s="590"/>
    </row>
    <row r="975" spans="1:26" ht="15.75" customHeight="1">
      <c r="A975" s="590"/>
      <c r="B975" s="590"/>
      <c r="C975" s="590"/>
      <c r="D975" s="590"/>
      <c r="E975" s="590"/>
      <c r="F975" s="590"/>
      <c r="G975" s="590"/>
      <c r="H975" s="590"/>
      <c r="I975" s="590"/>
      <c r="J975" s="590"/>
      <c r="K975" s="590"/>
      <c r="L975" s="590"/>
      <c r="M975" s="590"/>
      <c r="N975" s="590"/>
      <c r="O975" s="590"/>
      <c r="P975" s="590"/>
      <c r="Q975" s="590"/>
      <c r="R975" s="590"/>
      <c r="S975" s="590"/>
      <c r="T975" s="590"/>
      <c r="U975" s="590"/>
      <c r="V975" s="590"/>
      <c r="W975" s="590"/>
      <c r="X975" s="590"/>
      <c r="Y975" s="590"/>
      <c r="Z975" s="590"/>
    </row>
    <row r="976" spans="1:26" ht="15.75" customHeight="1">
      <c r="A976" s="590"/>
      <c r="B976" s="590"/>
      <c r="C976" s="590"/>
      <c r="D976" s="590"/>
      <c r="E976" s="590"/>
      <c r="F976" s="590"/>
      <c r="G976" s="590"/>
      <c r="H976" s="590"/>
      <c r="I976" s="590"/>
      <c r="J976" s="590"/>
      <c r="K976" s="590"/>
      <c r="L976" s="590"/>
      <c r="M976" s="590"/>
      <c r="N976" s="590"/>
      <c r="O976" s="590"/>
      <c r="P976" s="590"/>
      <c r="Q976" s="590"/>
      <c r="R976" s="590"/>
      <c r="S976" s="590"/>
      <c r="T976" s="590"/>
      <c r="U976" s="590"/>
      <c r="V976" s="590"/>
      <c r="W976" s="590"/>
      <c r="X976" s="590"/>
      <c r="Y976" s="590"/>
      <c r="Z976" s="590"/>
    </row>
    <row r="977" spans="1:26" ht="15.75" customHeight="1">
      <c r="A977" s="590"/>
      <c r="B977" s="590"/>
      <c r="C977" s="590"/>
      <c r="D977" s="590"/>
      <c r="E977" s="590"/>
      <c r="F977" s="590"/>
      <c r="G977" s="590"/>
      <c r="H977" s="590"/>
      <c r="I977" s="590"/>
      <c r="J977" s="590"/>
      <c r="K977" s="590"/>
      <c r="L977" s="590"/>
      <c r="M977" s="590"/>
      <c r="N977" s="590"/>
      <c r="O977" s="590"/>
      <c r="P977" s="590"/>
      <c r="Q977" s="590"/>
      <c r="R977" s="590"/>
      <c r="S977" s="590"/>
      <c r="T977" s="590"/>
      <c r="U977" s="590"/>
      <c r="V977" s="590"/>
      <c r="W977" s="590"/>
      <c r="X977" s="590"/>
      <c r="Y977" s="590"/>
      <c r="Z977" s="590"/>
    </row>
    <row r="978" spans="1:26" ht="15.75" customHeight="1">
      <c r="A978" s="590"/>
      <c r="B978" s="590"/>
      <c r="C978" s="590"/>
      <c r="D978" s="590"/>
      <c r="E978" s="590"/>
      <c r="F978" s="590"/>
      <c r="G978" s="590"/>
      <c r="H978" s="590"/>
      <c r="I978" s="590"/>
      <c r="J978" s="590"/>
      <c r="K978" s="590"/>
      <c r="L978" s="590"/>
      <c r="M978" s="590"/>
      <c r="N978" s="590"/>
      <c r="O978" s="590"/>
      <c r="P978" s="590"/>
      <c r="Q978" s="590"/>
      <c r="R978" s="590"/>
      <c r="S978" s="590"/>
      <c r="T978" s="590"/>
      <c r="U978" s="590"/>
      <c r="V978" s="590"/>
      <c r="W978" s="590"/>
      <c r="X978" s="590"/>
      <c r="Y978" s="590"/>
      <c r="Z978" s="590"/>
    </row>
    <row r="979" spans="1:26" ht="15.75" customHeight="1">
      <c r="A979" s="590"/>
      <c r="B979" s="590"/>
      <c r="C979" s="590"/>
      <c r="D979" s="590"/>
      <c r="E979" s="590"/>
      <c r="F979" s="590"/>
      <c r="G979" s="590"/>
      <c r="H979" s="590"/>
      <c r="I979" s="590"/>
      <c r="J979" s="590"/>
      <c r="K979" s="590"/>
      <c r="L979" s="590"/>
      <c r="M979" s="590"/>
      <c r="N979" s="590"/>
      <c r="O979" s="590"/>
      <c r="P979" s="590"/>
      <c r="Q979" s="590"/>
      <c r="R979" s="590"/>
      <c r="S979" s="590"/>
      <c r="T979" s="590"/>
      <c r="U979" s="590"/>
      <c r="V979" s="590"/>
      <c r="W979" s="590"/>
      <c r="X979" s="590"/>
      <c r="Y979" s="590"/>
      <c r="Z979" s="590"/>
    </row>
    <row r="980" spans="1:26" ht="15.75" customHeight="1">
      <c r="A980" s="590"/>
      <c r="B980" s="590"/>
      <c r="C980" s="590"/>
      <c r="D980" s="590"/>
      <c r="E980" s="590"/>
      <c r="F980" s="590"/>
      <c r="G980" s="590"/>
      <c r="H980" s="590"/>
      <c r="I980" s="590"/>
      <c r="J980" s="590"/>
      <c r="K980" s="590"/>
      <c r="L980" s="590"/>
      <c r="M980" s="590"/>
      <c r="N980" s="590"/>
      <c r="O980" s="590"/>
      <c r="P980" s="590"/>
      <c r="Q980" s="590"/>
      <c r="R980" s="590"/>
      <c r="S980" s="590"/>
      <c r="T980" s="590"/>
      <c r="U980" s="590"/>
      <c r="V980" s="590"/>
      <c r="W980" s="590"/>
      <c r="X980" s="590"/>
      <c r="Y980" s="590"/>
      <c r="Z980" s="590"/>
    </row>
    <row r="981" spans="1:26" ht="15.75" customHeight="1">
      <c r="A981" s="590"/>
      <c r="B981" s="590"/>
      <c r="C981" s="590"/>
      <c r="D981" s="590"/>
      <c r="E981" s="590"/>
      <c r="F981" s="590"/>
      <c r="G981" s="590"/>
      <c r="H981" s="590"/>
      <c r="I981" s="590"/>
      <c r="J981" s="590"/>
      <c r="K981" s="590"/>
      <c r="L981" s="590"/>
      <c r="M981" s="590"/>
      <c r="N981" s="590"/>
      <c r="O981" s="590"/>
      <c r="P981" s="590"/>
      <c r="Q981" s="590"/>
      <c r="R981" s="590"/>
      <c r="S981" s="590"/>
      <c r="T981" s="590"/>
      <c r="U981" s="590"/>
      <c r="V981" s="590"/>
      <c r="W981" s="590"/>
      <c r="X981" s="590"/>
      <c r="Y981" s="590"/>
      <c r="Z981" s="590"/>
    </row>
    <row r="982" spans="1:26" ht="15.75" customHeight="1">
      <c r="A982" s="590"/>
      <c r="B982" s="590"/>
      <c r="C982" s="590"/>
      <c r="D982" s="590"/>
      <c r="E982" s="590"/>
      <c r="F982" s="590"/>
      <c r="G982" s="590"/>
      <c r="H982" s="590"/>
      <c r="I982" s="590"/>
      <c r="J982" s="590"/>
      <c r="K982" s="590"/>
      <c r="L982" s="590"/>
      <c r="M982" s="590"/>
      <c r="N982" s="590"/>
      <c r="O982" s="590"/>
      <c r="P982" s="590"/>
      <c r="Q982" s="590"/>
      <c r="R982" s="590"/>
      <c r="S982" s="590"/>
      <c r="T982" s="590"/>
      <c r="U982" s="590"/>
      <c r="V982" s="590"/>
      <c r="W982" s="590"/>
      <c r="X982" s="590"/>
      <c r="Y982" s="590"/>
      <c r="Z982" s="590"/>
    </row>
    <row r="983" spans="1:26" ht="15.75" customHeight="1">
      <c r="A983" s="590"/>
      <c r="B983" s="590"/>
      <c r="C983" s="590"/>
      <c r="D983" s="590"/>
      <c r="E983" s="590"/>
      <c r="F983" s="590"/>
      <c r="G983" s="590"/>
      <c r="H983" s="590"/>
      <c r="I983" s="590"/>
      <c r="J983" s="590"/>
      <c r="K983" s="590"/>
      <c r="L983" s="590"/>
      <c r="M983" s="590"/>
      <c r="N983" s="590"/>
      <c r="O983" s="590"/>
      <c r="P983" s="590"/>
      <c r="Q983" s="590"/>
      <c r="R983" s="590"/>
      <c r="S983" s="590"/>
      <c r="T983" s="590"/>
      <c r="U983" s="590"/>
      <c r="V983" s="590"/>
      <c r="W983" s="590"/>
      <c r="X983" s="590"/>
      <c r="Y983" s="590"/>
      <c r="Z983" s="590"/>
    </row>
    <row r="984" spans="1:26" ht="15.75" customHeight="1">
      <c r="A984" s="590"/>
      <c r="B984" s="590"/>
      <c r="C984" s="590"/>
      <c r="D984" s="590"/>
      <c r="E984" s="590"/>
      <c r="F984" s="590"/>
      <c r="G984" s="590"/>
      <c r="H984" s="590"/>
      <c r="I984" s="590"/>
      <c r="J984" s="590"/>
      <c r="K984" s="590"/>
      <c r="L984" s="590"/>
      <c r="M984" s="590"/>
      <c r="N984" s="590"/>
      <c r="O984" s="590"/>
      <c r="P984" s="590"/>
      <c r="Q984" s="590"/>
      <c r="R984" s="590"/>
      <c r="S984" s="590"/>
      <c r="T984" s="590"/>
      <c r="U984" s="590"/>
      <c r="V984" s="590"/>
      <c r="W984" s="590"/>
      <c r="X984" s="590"/>
      <c r="Y984" s="590"/>
      <c r="Z984" s="590"/>
    </row>
    <row r="985" spans="1:26" ht="15.75" customHeight="1">
      <c r="A985" s="590"/>
      <c r="B985" s="590"/>
      <c r="C985" s="590"/>
      <c r="D985" s="590"/>
      <c r="E985" s="590"/>
      <c r="F985" s="590"/>
      <c r="G985" s="590"/>
      <c r="H985" s="590"/>
      <c r="I985" s="590"/>
      <c r="J985" s="590"/>
      <c r="K985" s="590"/>
      <c r="L985" s="590"/>
      <c r="M985" s="590"/>
      <c r="N985" s="590"/>
      <c r="O985" s="590"/>
      <c r="P985" s="590"/>
      <c r="Q985" s="590"/>
      <c r="R985" s="590"/>
      <c r="S985" s="590"/>
      <c r="T985" s="590"/>
      <c r="U985" s="590"/>
      <c r="V985" s="590"/>
      <c r="W985" s="590"/>
      <c r="X985" s="590"/>
      <c r="Y985" s="590"/>
      <c r="Z985" s="590"/>
    </row>
    <row r="986" spans="1:26" ht="15.75" customHeight="1">
      <c r="A986" s="590"/>
      <c r="B986" s="590"/>
      <c r="C986" s="590"/>
      <c r="D986" s="590"/>
      <c r="E986" s="590"/>
      <c r="F986" s="590"/>
      <c r="G986" s="590"/>
      <c r="H986" s="590"/>
      <c r="I986" s="590"/>
      <c r="J986" s="590"/>
      <c r="K986" s="590"/>
      <c r="L986" s="590"/>
      <c r="M986" s="590"/>
      <c r="N986" s="590"/>
      <c r="O986" s="590"/>
      <c r="P986" s="590"/>
      <c r="Q986" s="590"/>
      <c r="R986" s="590"/>
      <c r="S986" s="590"/>
      <c r="T986" s="590"/>
      <c r="U986" s="590"/>
      <c r="V986" s="590"/>
      <c r="W986" s="590"/>
      <c r="X986" s="590"/>
      <c r="Y986" s="590"/>
      <c r="Z986" s="590"/>
    </row>
    <row r="987" spans="1:26" ht="15.75" customHeight="1">
      <c r="A987" s="590"/>
      <c r="B987" s="590"/>
      <c r="C987" s="590"/>
      <c r="D987" s="590"/>
      <c r="E987" s="590"/>
      <c r="F987" s="590"/>
      <c r="G987" s="590"/>
      <c r="H987" s="590"/>
      <c r="I987" s="590"/>
      <c r="J987" s="590"/>
      <c r="K987" s="590"/>
      <c r="L987" s="590"/>
      <c r="M987" s="590"/>
      <c r="N987" s="590"/>
      <c r="O987" s="590"/>
      <c r="P987" s="590"/>
      <c r="Q987" s="590"/>
      <c r="R987" s="590"/>
      <c r="S987" s="590"/>
      <c r="T987" s="590"/>
      <c r="U987" s="590"/>
      <c r="V987" s="590"/>
      <c r="W987" s="590"/>
      <c r="X987" s="590"/>
      <c r="Y987" s="590"/>
      <c r="Z987" s="590"/>
    </row>
    <row r="988" spans="1:26" ht="15.75" customHeight="1">
      <c r="A988" s="590"/>
      <c r="B988" s="590"/>
      <c r="C988" s="590"/>
      <c r="D988" s="590"/>
      <c r="E988" s="590"/>
      <c r="F988" s="590"/>
      <c r="G988" s="590"/>
      <c r="H988" s="590"/>
      <c r="I988" s="590"/>
      <c r="J988" s="590"/>
      <c r="K988" s="590"/>
      <c r="L988" s="590"/>
      <c r="M988" s="590"/>
      <c r="N988" s="590"/>
      <c r="O988" s="590"/>
      <c r="P988" s="590"/>
      <c r="Q988" s="590"/>
      <c r="R988" s="590"/>
      <c r="S988" s="590"/>
      <c r="T988" s="590"/>
      <c r="U988" s="590"/>
      <c r="V988" s="590"/>
      <c r="W988" s="590"/>
      <c r="X988" s="590"/>
      <c r="Y988" s="590"/>
      <c r="Z988" s="590"/>
    </row>
    <row r="989" spans="1:26" ht="15.75" customHeight="1">
      <c r="A989" s="590"/>
      <c r="B989" s="590"/>
      <c r="C989" s="590"/>
      <c r="D989" s="590"/>
      <c r="E989" s="590"/>
      <c r="F989" s="590"/>
      <c r="G989" s="590"/>
      <c r="H989" s="590"/>
      <c r="I989" s="590"/>
      <c r="J989" s="590"/>
      <c r="K989" s="590"/>
      <c r="L989" s="590"/>
      <c r="M989" s="590"/>
      <c r="N989" s="590"/>
      <c r="O989" s="590"/>
      <c r="P989" s="590"/>
      <c r="Q989" s="590"/>
      <c r="R989" s="590"/>
      <c r="S989" s="590"/>
      <c r="T989" s="590"/>
      <c r="U989" s="590"/>
      <c r="V989" s="590"/>
      <c r="W989" s="590"/>
      <c r="X989" s="590"/>
      <c r="Y989" s="590"/>
      <c r="Z989" s="590"/>
    </row>
    <row r="990" spans="1:26" ht="15.75" customHeight="1">
      <c r="A990" s="590"/>
      <c r="B990" s="590"/>
      <c r="C990" s="590"/>
      <c r="D990" s="590"/>
      <c r="E990" s="590"/>
      <c r="F990" s="590"/>
      <c r="G990" s="590"/>
      <c r="H990" s="590"/>
      <c r="I990" s="590"/>
      <c r="J990" s="590"/>
      <c r="K990" s="590"/>
      <c r="L990" s="590"/>
      <c r="M990" s="590"/>
      <c r="N990" s="590"/>
      <c r="O990" s="590"/>
      <c r="P990" s="590"/>
      <c r="Q990" s="590"/>
      <c r="R990" s="590"/>
      <c r="S990" s="590"/>
      <c r="T990" s="590"/>
      <c r="U990" s="590"/>
      <c r="V990" s="590"/>
      <c r="W990" s="590"/>
      <c r="X990" s="590"/>
      <c r="Y990" s="590"/>
      <c r="Z990" s="590"/>
    </row>
    <row r="991" spans="1:26" ht="15.75" customHeight="1">
      <c r="A991" s="590"/>
      <c r="B991" s="590"/>
      <c r="C991" s="590"/>
      <c r="D991" s="590"/>
      <c r="E991" s="590"/>
      <c r="F991" s="590"/>
      <c r="G991" s="590"/>
      <c r="H991" s="590"/>
      <c r="I991" s="590"/>
      <c r="J991" s="590"/>
      <c r="K991" s="590"/>
      <c r="L991" s="590"/>
      <c r="M991" s="590"/>
      <c r="N991" s="590"/>
      <c r="O991" s="590"/>
      <c r="P991" s="590"/>
      <c r="Q991" s="590"/>
      <c r="R991" s="590"/>
      <c r="S991" s="590"/>
      <c r="T991" s="590"/>
      <c r="U991" s="590"/>
      <c r="V991" s="590"/>
      <c r="W991" s="590"/>
      <c r="X991" s="590"/>
      <c r="Y991" s="590"/>
      <c r="Z991" s="590"/>
    </row>
    <row r="992" spans="1:26" ht="15.75" customHeight="1">
      <c r="A992" s="590"/>
      <c r="B992" s="590"/>
      <c r="C992" s="590"/>
      <c r="D992" s="590"/>
      <c r="E992" s="590"/>
      <c r="F992" s="590"/>
      <c r="G992" s="590"/>
      <c r="H992" s="590"/>
      <c r="I992" s="590"/>
      <c r="J992" s="590"/>
      <c r="K992" s="590"/>
      <c r="L992" s="590"/>
      <c r="M992" s="590"/>
      <c r="N992" s="590"/>
      <c r="O992" s="590"/>
      <c r="P992" s="590"/>
      <c r="Q992" s="590"/>
      <c r="R992" s="590"/>
      <c r="S992" s="590"/>
      <c r="T992" s="590"/>
      <c r="U992" s="590"/>
      <c r="V992" s="590"/>
      <c r="W992" s="590"/>
      <c r="X992" s="590"/>
      <c r="Y992" s="590"/>
      <c r="Z992" s="590"/>
    </row>
    <row r="993" spans="1:26" ht="15.75" customHeight="1">
      <c r="A993" s="590"/>
      <c r="B993" s="590"/>
      <c r="C993" s="590"/>
      <c r="D993" s="590"/>
      <c r="E993" s="590"/>
      <c r="F993" s="590"/>
      <c r="G993" s="590"/>
      <c r="H993" s="590"/>
      <c r="I993" s="590"/>
      <c r="J993" s="590"/>
      <c r="K993" s="590"/>
      <c r="L993" s="590"/>
      <c r="M993" s="590"/>
      <c r="N993" s="590"/>
      <c r="O993" s="590"/>
      <c r="P993" s="590"/>
      <c r="Q993" s="590"/>
      <c r="R993" s="590"/>
      <c r="S993" s="590"/>
      <c r="T993" s="590"/>
      <c r="U993" s="590"/>
      <c r="V993" s="590"/>
      <c r="W993" s="590"/>
      <c r="X993" s="590"/>
      <c r="Y993" s="590"/>
      <c r="Z993" s="590"/>
    </row>
    <row r="994" spans="1:26" ht="15.75" customHeight="1">
      <c r="A994" s="590"/>
      <c r="B994" s="590"/>
      <c r="C994" s="590"/>
      <c r="D994" s="590"/>
      <c r="E994" s="590"/>
      <c r="F994" s="590"/>
      <c r="G994" s="590"/>
      <c r="H994" s="590"/>
      <c r="I994" s="590"/>
      <c r="J994" s="590"/>
      <c r="K994" s="590"/>
      <c r="L994" s="590"/>
      <c r="M994" s="590"/>
      <c r="N994" s="590"/>
      <c r="O994" s="590"/>
      <c r="P994" s="590"/>
      <c r="Q994" s="590"/>
      <c r="R994" s="590"/>
      <c r="S994" s="590"/>
      <c r="T994" s="590"/>
      <c r="U994" s="590"/>
      <c r="V994" s="590"/>
      <c r="W994" s="590"/>
      <c r="X994" s="590"/>
      <c r="Y994" s="590"/>
      <c r="Z994" s="590"/>
    </row>
    <row r="995" spans="1:26" ht="15.75" customHeight="1">
      <c r="A995" s="590"/>
      <c r="B995" s="590"/>
      <c r="C995" s="590"/>
      <c r="D995" s="590"/>
      <c r="E995" s="590"/>
      <c r="F995" s="590"/>
      <c r="G995" s="590"/>
      <c r="H995" s="590"/>
      <c r="I995" s="590"/>
      <c r="J995" s="590"/>
      <c r="K995" s="590"/>
      <c r="L995" s="590"/>
      <c r="M995" s="590"/>
      <c r="N995" s="590"/>
      <c r="O995" s="590"/>
      <c r="P995" s="590"/>
      <c r="Q995" s="590"/>
      <c r="R995" s="590"/>
      <c r="S995" s="590"/>
      <c r="T995" s="590"/>
      <c r="U995" s="590"/>
      <c r="V995" s="590"/>
      <c r="W995" s="590"/>
      <c r="X995" s="590"/>
      <c r="Y995" s="590"/>
      <c r="Z995" s="590"/>
    </row>
    <row r="996" spans="1:26" ht="15.75" customHeight="1">
      <c r="A996" s="590"/>
      <c r="B996" s="590"/>
      <c r="C996" s="590"/>
      <c r="D996" s="590"/>
      <c r="E996" s="590"/>
      <c r="F996" s="590"/>
      <c r="G996" s="590"/>
      <c r="H996" s="590"/>
      <c r="I996" s="590"/>
      <c r="J996" s="590"/>
      <c r="K996" s="590"/>
      <c r="L996" s="590"/>
      <c r="M996" s="590"/>
      <c r="N996" s="590"/>
      <c r="O996" s="590"/>
      <c r="P996" s="590"/>
      <c r="Q996" s="590"/>
      <c r="R996" s="590"/>
      <c r="S996" s="590"/>
      <c r="T996" s="590"/>
      <c r="U996" s="590"/>
      <c r="V996" s="590"/>
      <c r="W996" s="590"/>
      <c r="X996" s="590"/>
      <c r="Y996" s="590"/>
      <c r="Z996" s="590"/>
    </row>
    <row r="997" spans="1:26" ht="15.75" customHeight="1">
      <c r="A997" s="590"/>
      <c r="B997" s="590"/>
      <c r="C997" s="590"/>
      <c r="D997" s="590"/>
      <c r="E997" s="590"/>
      <c r="F997" s="590"/>
      <c r="G997" s="590"/>
      <c r="H997" s="590"/>
      <c r="I997" s="590"/>
      <c r="J997" s="590"/>
      <c r="K997" s="590"/>
      <c r="L997" s="590"/>
      <c r="M997" s="590"/>
      <c r="N997" s="590"/>
      <c r="O997" s="590"/>
      <c r="P997" s="590"/>
      <c r="Q997" s="590"/>
      <c r="R997" s="590"/>
      <c r="S997" s="590"/>
      <c r="T997" s="590"/>
      <c r="U997" s="590"/>
      <c r="V997" s="590"/>
      <c r="W997" s="590"/>
      <c r="X997" s="590"/>
      <c r="Y997" s="590"/>
      <c r="Z997" s="590"/>
    </row>
    <row r="998" spans="1:26" ht="15.75" customHeight="1">
      <c r="A998" s="590"/>
      <c r="B998" s="590"/>
      <c r="C998" s="590"/>
      <c r="D998" s="590"/>
      <c r="E998" s="590"/>
      <c r="F998" s="590"/>
      <c r="G998" s="590"/>
      <c r="H998" s="590"/>
      <c r="I998" s="590"/>
      <c r="J998" s="590"/>
      <c r="K998" s="590"/>
      <c r="L998" s="590"/>
      <c r="M998" s="590"/>
      <c r="N998" s="590"/>
      <c r="O998" s="590"/>
      <c r="P998" s="590"/>
      <c r="Q998" s="590"/>
      <c r="R998" s="590"/>
      <c r="S998" s="590"/>
      <c r="T998" s="590"/>
      <c r="U998" s="590"/>
      <c r="V998" s="590"/>
      <c r="W998" s="590"/>
      <c r="X998" s="590"/>
      <c r="Y998" s="590"/>
      <c r="Z998" s="590"/>
    </row>
    <row r="999" spans="1:26" ht="15.75" customHeight="1">
      <c r="A999" s="590"/>
      <c r="B999" s="590"/>
      <c r="C999" s="590"/>
      <c r="D999" s="590"/>
      <c r="E999" s="590"/>
      <c r="F999" s="590"/>
      <c r="G999" s="590"/>
      <c r="H999" s="590"/>
      <c r="I999" s="590"/>
      <c r="J999" s="590"/>
      <c r="K999" s="590"/>
      <c r="L999" s="590"/>
      <c r="M999" s="590"/>
      <c r="N999" s="590"/>
      <c r="O999" s="590"/>
      <c r="P999" s="590"/>
      <c r="Q999" s="590"/>
      <c r="R999" s="590"/>
      <c r="S999" s="590"/>
      <c r="T999" s="590"/>
      <c r="U999" s="590"/>
      <c r="V999" s="590"/>
      <c r="W999" s="590"/>
      <c r="X999" s="590"/>
      <c r="Y999" s="590"/>
      <c r="Z999" s="590"/>
    </row>
    <row r="1000" spans="1:26" ht="15.75" customHeight="1">
      <c r="A1000" s="590"/>
      <c r="B1000" s="590"/>
      <c r="C1000" s="590"/>
      <c r="D1000" s="590"/>
      <c r="E1000" s="590"/>
      <c r="F1000" s="590"/>
      <c r="G1000" s="590"/>
      <c r="H1000" s="590"/>
      <c r="I1000" s="590"/>
      <c r="J1000" s="590"/>
      <c r="K1000" s="590"/>
      <c r="L1000" s="590"/>
      <c r="M1000" s="590"/>
      <c r="N1000" s="590"/>
      <c r="O1000" s="590"/>
      <c r="P1000" s="590"/>
      <c r="Q1000" s="590"/>
      <c r="R1000" s="590"/>
      <c r="S1000" s="590"/>
      <c r="T1000" s="590"/>
      <c r="U1000" s="590"/>
      <c r="V1000" s="590"/>
      <c r="W1000" s="590"/>
      <c r="X1000" s="590"/>
      <c r="Y1000" s="590"/>
      <c r="Z1000" s="590"/>
    </row>
  </sheetData>
  <mergeCells count="272">
    <mergeCell ref="C176:H176"/>
    <mergeCell ref="C148:I148"/>
    <mergeCell ref="C149:I149"/>
    <mergeCell ref="B150:I150"/>
    <mergeCell ref="B151:J151"/>
    <mergeCell ref="B152:J152"/>
    <mergeCell ref="C153:I153"/>
    <mergeCell ref="C154:I154"/>
    <mergeCell ref="C155:I155"/>
    <mergeCell ref="C156:I156"/>
    <mergeCell ref="B187:I187"/>
    <mergeCell ref="C188:I188"/>
    <mergeCell ref="C189:I189"/>
    <mergeCell ref="C190:I190"/>
    <mergeCell ref="C191:I191"/>
    <mergeCell ref="B157:I157"/>
    <mergeCell ref="B158:J158"/>
    <mergeCell ref="B159:J159"/>
    <mergeCell ref="B161:J161"/>
    <mergeCell ref="C162:H162"/>
    <mergeCell ref="B177:I177"/>
    <mergeCell ref="B178:J178"/>
    <mergeCell ref="B179:H179"/>
    <mergeCell ref="B180:C182"/>
    <mergeCell ref="D180:J180"/>
    <mergeCell ref="D181:J181"/>
    <mergeCell ref="D182:J182"/>
    <mergeCell ref="C169:H169"/>
    <mergeCell ref="C170:H170"/>
    <mergeCell ref="C171:H171"/>
    <mergeCell ref="C172:H172"/>
    <mergeCell ref="C173:H173"/>
    <mergeCell ref="C174:H174"/>
    <mergeCell ref="C175:H175"/>
    <mergeCell ref="B203:E203"/>
    <mergeCell ref="F203:G203"/>
    <mergeCell ref="I203:J203"/>
    <mergeCell ref="C192:I192"/>
    <mergeCell ref="B193:I193"/>
    <mergeCell ref="C194:I194"/>
    <mergeCell ref="B195:I195"/>
    <mergeCell ref="B196:J196"/>
    <mergeCell ref="B197:J197"/>
    <mergeCell ref="B199:J199"/>
    <mergeCell ref="B200:E200"/>
    <mergeCell ref="F200:G200"/>
    <mergeCell ref="I200:J200"/>
    <mergeCell ref="I205:J205"/>
    <mergeCell ref="I206:J206"/>
    <mergeCell ref="B204:E204"/>
    <mergeCell ref="F204:G204"/>
    <mergeCell ref="I204:J204"/>
    <mergeCell ref="B205:E205"/>
    <mergeCell ref="F205:G205"/>
    <mergeCell ref="B206:E206"/>
    <mergeCell ref="F206:G206"/>
    <mergeCell ref="B212:J212"/>
    <mergeCell ref="B213:G213"/>
    <mergeCell ref="H213:J213"/>
    <mergeCell ref="B214:J214"/>
    <mergeCell ref="B215:G215"/>
    <mergeCell ref="H215:J215"/>
    <mergeCell ref="B216:J216"/>
    <mergeCell ref="B207:G207"/>
    <mergeCell ref="I207:J207"/>
    <mergeCell ref="B208:J208"/>
    <mergeCell ref="B209:J209"/>
    <mergeCell ref="B210:J210"/>
    <mergeCell ref="B211:G211"/>
    <mergeCell ref="H211:J211"/>
    <mergeCell ref="C91:I91"/>
    <mergeCell ref="C92:H92"/>
    <mergeCell ref="C93:H93"/>
    <mergeCell ref="C94:H94"/>
    <mergeCell ref="C95:H95"/>
    <mergeCell ref="C96:G96"/>
    <mergeCell ref="C97:I97"/>
    <mergeCell ref="C98:H98"/>
    <mergeCell ref="C99:H99"/>
    <mergeCell ref="C100:H100"/>
    <mergeCell ref="C101:I101"/>
    <mergeCell ref="C102:I102"/>
    <mergeCell ref="C103:I103"/>
    <mergeCell ref="C104:I104"/>
    <mergeCell ref="C105:I105"/>
    <mergeCell ref="C106:I106"/>
    <mergeCell ref="B107:J107"/>
    <mergeCell ref="B108:J108"/>
    <mergeCell ref="B109:J109"/>
    <mergeCell ref="B110:J110"/>
    <mergeCell ref="C111:I111"/>
    <mergeCell ref="C112:I112"/>
    <mergeCell ref="C113:I113"/>
    <mergeCell ref="C114:I114"/>
    <mergeCell ref="B115:I115"/>
    <mergeCell ref="B116:J116"/>
    <mergeCell ref="B117:J117"/>
    <mergeCell ref="B201:E201"/>
    <mergeCell ref="B202:E202"/>
    <mergeCell ref="F202:G202"/>
    <mergeCell ref="I202:J202"/>
    <mergeCell ref="B140:J140"/>
    <mergeCell ref="B141:J141"/>
    <mergeCell ref="C142:I142"/>
    <mergeCell ref="C143:I143"/>
    <mergeCell ref="B144:I144"/>
    <mergeCell ref="B145:J145"/>
    <mergeCell ref="B146:J146"/>
    <mergeCell ref="C147:I147"/>
    <mergeCell ref="B163:H163"/>
    <mergeCell ref="C164:H164"/>
    <mergeCell ref="B165:H165"/>
    <mergeCell ref="C166:H166"/>
    <mergeCell ref="B167:H167"/>
    <mergeCell ref="C168:H168"/>
    <mergeCell ref="F201:G201"/>
    <mergeCell ref="I201:J201"/>
    <mergeCell ref="B183:J183"/>
    <mergeCell ref="B184:J184"/>
    <mergeCell ref="B185:J185"/>
    <mergeCell ref="B186:J186"/>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C33:F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4:F34"/>
    <mergeCell ref="G34:H34"/>
    <mergeCell ref="I34:J34"/>
    <mergeCell ref="C35:F35"/>
    <mergeCell ref="G35:H35"/>
    <mergeCell ref="I35:J35"/>
    <mergeCell ref="C69:I69"/>
    <mergeCell ref="C70:H70"/>
    <mergeCell ref="C71:H71"/>
    <mergeCell ref="C50:F50"/>
    <mergeCell ref="G50:H50"/>
    <mergeCell ref="C51:E51"/>
    <mergeCell ref="C52:I52"/>
    <mergeCell ref="C53:I53"/>
    <mergeCell ref="C54:E54"/>
    <mergeCell ref="C55:E55"/>
    <mergeCell ref="C56:I56"/>
    <mergeCell ref="C57:I57"/>
    <mergeCell ref="B58:I58"/>
    <mergeCell ref="C59:I59"/>
    <mergeCell ref="C60:I60"/>
    <mergeCell ref="B61:I61"/>
    <mergeCell ref="B62:J62"/>
    <mergeCell ref="B63:I63"/>
    <mergeCell ref="C47:F47"/>
    <mergeCell ref="C48:E48"/>
    <mergeCell ref="F48:H48"/>
    <mergeCell ref="C49:H49"/>
    <mergeCell ref="B72:I72"/>
    <mergeCell ref="B73:J73"/>
    <mergeCell ref="B74:J74"/>
    <mergeCell ref="B75:J75"/>
    <mergeCell ref="B76:J76"/>
    <mergeCell ref="C40:H40"/>
    <mergeCell ref="I40:J40"/>
    <mergeCell ref="C41:H41"/>
    <mergeCell ref="I41:J41"/>
    <mergeCell ref="B42:J42"/>
    <mergeCell ref="B43:J43"/>
    <mergeCell ref="B44:J44"/>
    <mergeCell ref="B45:J45"/>
    <mergeCell ref="C46:H46"/>
    <mergeCell ref="C36:H36"/>
    <mergeCell ref="I36:J36"/>
    <mergeCell ref="C37:H37"/>
    <mergeCell ref="I37:J37"/>
    <mergeCell ref="C38:D38"/>
    <mergeCell ref="F38:H38"/>
    <mergeCell ref="I38:J38"/>
    <mergeCell ref="C39:H39"/>
    <mergeCell ref="I39:J39"/>
    <mergeCell ref="B64:J64"/>
    <mergeCell ref="B65:J65"/>
    <mergeCell ref="B66:J66"/>
    <mergeCell ref="B67:J67"/>
    <mergeCell ref="B68:J68"/>
    <mergeCell ref="C83:H83"/>
    <mergeCell ref="C84:H84"/>
    <mergeCell ref="C85:H85"/>
    <mergeCell ref="B86:H86"/>
    <mergeCell ref="C81:H81"/>
    <mergeCell ref="C82:H82"/>
    <mergeCell ref="C77:H77"/>
    <mergeCell ref="C78:H78"/>
    <mergeCell ref="C79:H79"/>
    <mergeCell ref="C80:D80"/>
    <mergeCell ref="B88:J88"/>
    <mergeCell ref="B89:J89"/>
    <mergeCell ref="B90:J90"/>
    <mergeCell ref="C134:I134"/>
    <mergeCell ref="C135:I135"/>
    <mergeCell ref="C136:I136"/>
    <mergeCell ref="C137:I137"/>
    <mergeCell ref="C138:I138"/>
    <mergeCell ref="B139:I139"/>
    <mergeCell ref="B127:J127"/>
    <mergeCell ref="B128:J128"/>
    <mergeCell ref="B130:J130"/>
    <mergeCell ref="B131:J131"/>
    <mergeCell ref="C132:I132"/>
    <mergeCell ref="C133:G133"/>
    <mergeCell ref="C118:I118"/>
    <mergeCell ref="C119:I119"/>
    <mergeCell ref="C120:I120"/>
    <mergeCell ref="C121:I121"/>
    <mergeCell ref="C122:I122"/>
    <mergeCell ref="C123:H123"/>
    <mergeCell ref="B124:I124"/>
    <mergeCell ref="B125:J125"/>
    <mergeCell ref="B126:J126"/>
  </mergeCells>
  <conditionalFormatting sqref="I49:I50">
    <cfRule type="cellIs" dxfId="117" priority="1" operator="equal">
      <formula>0</formula>
    </cfRule>
  </conditionalFormatting>
  <conditionalFormatting sqref="I48">
    <cfRule type="cellIs" dxfId="116" priority="2" operator="equal">
      <formula>0</formula>
    </cfRule>
  </conditionalFormatting>
  <printOptions horizontalCentered="1"/>
  <pageMargins left="0.19685039370078741" right="0.11811023622047245" top="0.19685039370078741" bottom="0.19685039370078741" header="0" footer="0"/>
  <pageSetup paperSize="9" orientation="portrait"/>
  <headerFooter>
    <oddFooter>&amp;C&amp;A » Página -&amp;P  de</oddFoot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Z1000"/>
  <sheetViews>
    <sheetView topLeftCell="A35" workbookViewId="0">
      <selection activeCell="M46" sqref="M46"/>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4" customWidth="1"/>
    <col min="7" max="7" width="16.85546875" customWidth="1"/>
    <col min="8" max="8" width="14.42578125" customWidth="1"/>
    <col min="9" max="9" width="14" customWidth="1"/>
    <col min="10" max="10" width="17.7109375" customWidth="1"/>
    <col min="11" max="11" width="1.42578125" customWidth="1"/>
  </cols>
  <sheetData>
    <row r="1" spans="1:26" ht="11.25" customHeight="1">
      <c r="A1" s="574"/>
      <c r="B1" s="574"/>
      <c r="C1" s="574"/>
      <c r="D1" s="574"/>
      <c r="E1" s="574"/>
      <c r="F1" s="574"/>
      <c r="G1" s="574"/>
      <c r="H1" s="574"/>
      <c r="I1" s="574"/>
      <c r="J1" s="571"/>
      <c r="K1" s="574"/>
      <c r="L1" s="590"/>
      <c r="M1" s="590"/>
      <c r="N1" s="590"/>
      <c r="O1" s="590"/>
      <c r="P1" s="590"/>
      <c r="Q1" s="590"/>
      <c r="R1" s="590"/>
      <c r="S1" s="590"/>
      <c r="T1" s="590"/>
      <c r="U1" s="590"/>
      <c r="V1" s="590"/>
      <c r="W1" s="590"/>
      <c r="X1" s="590"/>
      <c r="Y1" s="590"/>
      <c r="Z1" s="590"/>
    </row>
    <row r="2" spans="1:26" ht="26.25" customHeight="1">
      <c r="A2" s="574"/>
      <c r="B2" s="1146" t="str">
        <f>'1-ABA-DE-CARREGAMENTO'!C11</f>
        <v xml:space="preserve"> S E R V I Ç O S     -   REFEITORIO_×_JARDINAGEM</v>
      </c>
      <c r="C2" s="1130"/>
      <c r="D2" s="1130"/>
      <c r="E2" s="1130"/>
      <c r="F2" s="1130"/>
      <c r="G2" s="1130"/>
      <c r="H2" s="1130"/>
      <c r="I2" s="1130"/>
      <c r="J2" s="1128"/>
      <c r="K2" s="591"/>
      <c r="L2" s="590"/>
      <c r="M2" s="590"/>
      <c r="N2" s="590"/>
      <c r="O2" s="590"/>
      <c r="P2" s="590"/>
      <c r="Q2" s="590"/>
      <c r="R2" s="590"/>
      <c r="S2" s="590"/>
      <c r="T2" s="590"/>
      <c r="U2" s="590"/>
      <c r="V2" s="590"/>
      <c r="W2" s="590"/>
      <c r="X2" s="590"/>
      <c r="Y2" s="590"/>
      <c r="Z2" s="590"/>
    </row>
    <row r="3" spans="1:26" ht="22.5" customHeight="1">
      <c r="A3" s="574"/>
      <c r="B3" s="1147" t="str">
        <f>'1-ABA-DE-CARREGAMENTO'!E33</f>
        <v>5135-05_AUX.COZINHA_hs</v>
      </c>
      <c r="C3" s="1060"/>
      <c r="D3" s="1060"/>
      <c r="E3" s="1060"/>
      <c r="F3" s="1060"/>
      <c r="G3" s="1060"/>
      <c r="H3" s="1060"/>
      <c r="I3" s="1060"/>
      <c r="J3" s="1062"/>
      <c r="K3" s="592"/>
      <c r="L3" s="590"/>
      <c r="M3" s="590"/>
      <c r="N3" s="590"/>
      <c r="O3" s="590"/>
      <c r="P3" s="590"/>
      <c r="Q3" s="590"/>
      <c r="R3" s="590"/>
      <c r="S3" s="590"/>
      <c r="T3" s="590"/>
      <c r="U3" s="590"/>
      <c r="V3" s="590"/>
      <c r="W3" s="590"/>
      <c r="X3" s="590"/>
      <c r="Y3" s="590"/>
      <c r="Z3" s="590"/>
    </row>
    <row r="4" spans="1:26" ht="17.25" customHeight="1">
      <c r="A4" s="574"/>
      <c r="B4" s="1144" t="s">
        <v>511</v>
      </c>
      <c r="C4" s="1060"/>
      <c r="D4" s="1060"/>
      <c r="E4" s="1060"/>
      <c r="F4" s="1062"/>
      <c r="G4" s="1148">
        <f>'1-ABA-DE-CARREGAMENTO'!C12</f>
        <v>0</v>
      </c>
      <c r="H4" s="1060"/>
      <c r="I4" s="1060"/>
      <c r="J4" s="1062"/>
      <c r="K4" s="593"/>
      <c r="L4" s="590"/>
      <c r="M4" s="590"/>
      <c r="N4" s="590"/>
      <c r="O4" s="590"/>
      <c r="P4" s="590"/>
      <c r="Q4" s="590"/>
      <c r="R4" s="590"/>
      <c r="S4" s="590"/>
      <c r="T4" s="590"/>
      <c r="U4" s="590"/>
      <c r="V4" s="590"/>
      <c r="W4" s="590"/>
      <c r="X4" s="590"/>
      <c r="Y4" s="590"/>
      <c r="Z4" s="590"/>
    </row>
    <row r="5" spans="1:26" ht="11.25" customHeight="1">
      <c r="A5" s="574"/>
      <c r="B5" s="1069" t="s">
        <v>512</v>
      </c>
      <c r="C5" s="1009"/>
      <c r="D5" s="1009"/>
      <c r="E5" s="1009"/>
      <c r="F5" s="1010"/>
      <c r="G5" s="1149">
        <f>'1-ABA-DE-CARREGAMENTO'!C13</f>
        <v>0</v>
      </c>
      <c r="H5" s="1009"/>
      <c r="I5" s="1009"/>
      <c r="J5" s="1010"/>
      <c r="K5" s="593"/>
      <c r="L5" s="590"/>
      <c r="M5" s="590"/>
      <c r="N5" s="590"/>
      <c r="O5" s="590"/>
      <c r="P5" s="590"/>
      <c r="Q5" s="590"/>
      <c r="R5" s="590"/>
      <c r="S5" s="590"/>
      <c r="T5" s="590"/>
      <c r="U5" s="590"/>
      <c r="V5" s="590"/>
      <c r="W5" s="590"/>
      <c r="X5" s="590"/>
      <c r="Y5" s="590"/>
      <c r="Z5" s="590"/>
    </row>
    <row r="6" spans="1:26" ht="11.25" customHeight="1">
      <c r="A6" s="574"/>
      <c r="B6" s="1150">
        <f>'1-ABA-DE-CARREGAMENTO'!C16</f>
        <v>0</v>
      </c>
      <c r="C6" s="1009"/>
      <c r="D6" s="1009"/>
      <c r="E6" s="1009"/>
      <c r="F6" s="1009"/>
      <c r="G6" s="1009"/>
      <c r="H6" s="1009"/>
      <c r="I6" s="1009"/>
      <c r="J6" s="1010"/>
      <c r="K6" s="594"/>
      <c r="L6" s="590"/>
      <c r="M6" s="590"/>
      <c r="N6" s="590"/>
      <c r="O6" s="590"/>
      <c r="P6" s="590"/>
      <c r="Q6" s="590"/>
      <c r="R6" s="590"/>
      <c r="S6" s="590"/>
      <c r="T6" s="590"/>
      <c r="U6" s="590"/>
      <c r="V6" s="590"/>
      <c r="W6" s="590"/>
      <c r="X6" s="590"/>
      <c r="Y6" s="590"/>
      <c r="Z6" s="590"/>
    </row>
    <row r="7" spans="1:26" ht="11.25" customHeight="1">
      <c r="A7" s="574"/>
      <c r="B7" s="1086" t="s">
        <v>513</v>
      </c>
      <c r="C7" s="1009"/>
      <c r="D7" s="1009"/>
      <c r="E7" s="1009"/>
      <c r="F7" s="1009"/>
      <c r="G7" s="1009"/>
      <c r="H7" s="1009"/>
      <c r="I7" s="1009"/>
      <c r="J7" s="1010"/>
      <c r="K7" s="594"/>
      <c r="L7" s="590"/>
      <c r="M7" s="590"/>
      <c r="N7" s="590"/>
      <c r="O7" s="590"/>
      <c r="P7" s="590"/>
      <c r="Q7" s="590"/>
      <c r="R7" s="590"/>
      <c r="S7" s="590"/>
      <c r="T7" s="590"/>
      <c r="U7" s="590"/>
      <c r="V7" s="590"/>
      <c r="W7" s="590"/>
      <c r="X7" s="590"/>
      <c r="Y7" s="590"/>
      <c r="Z7" s="590"/>
    </row>
    <row r="8" spans="1:26" ht="11.25" customHeight="1">
      <c r="A8" s="574"/>
      <c r="B8" s="595" t="s">
        <v>514</v>
      </c>
      <c r="C8" s="1069" t="s">
        <v>515</v>
      </c>
      <c r="D8" s="1009"/>
      <c r="E8" s="1009"/>
      <c r="F8" s="1009"/>
      <c r="G8" s="1009"/>
      <c r="H8" s="1010"/>
      <c r="I8" s="1151">
        <f>'1-ABA-DE-CARREGAMENTO'!C16</f>
        <v>0</v>
      </c>
      <c r="J8" s="1010"/>
      <c r="K8" s="596"/>
      <c r="L8" s="590"/>
      <c r="M8" s="590"/>
      <c r="N8" s="590"/>
      <c r="O8" s="590"/>
      <c r="P8" s="590"/>
      <c r="Q8" s="590"/>
      <c r="R8" s="590"/>
      <c r="S8" s="590"/>
      <c r="T8" s="590"/>
      <c r="U8" s="590"/>
      <c r="V8" s="590"/>
      <c r="W8" s="590"/>
      <c r="X8" s="590"/>
      <c r="Y8" s="590"/>
      <c r="Z8" s="590"/>
    </row>
    <row r="9" spans="1:26" ht="11.25" customHeight="1">
      <c r="A9" s="574"/>
      <c r="B9" s="595" t="s">
        <v>516</v>
      </c>
      <c r="C9" s="1069" t="s">
        <v>517</v>
      </c>
      <c r="D9" s="1009"/>
      <c r="E9" s="1009"/>
      <c r="F9" s="1009"/>
      <c r="G9" s="1009"/>
      <c r="H9" s="1010"/>
      <c r="I9" s="1149" t="str">
        <f>'1-ABA-DE-CARREGAMENTO'!C14</f>
        <v xml:space="preserve">JULIO-DE-CASTILHOS </v>
      </c>
      <c r="J9" s="1010"/>
      <c r="K9" s="593"/>
      <c r="L9" s="590"/>
      <c r="M9" s="590"/>
      <c r="N9" s="590"/>
      <c r="O9" s="590"/>
      <c r="P9" s="590"/>
      <c r="Q9" s="590"/>
      <c r="R9" s="590"/>
      <c r="S9" s="590"/>
      <c r="T9" s="590"/>
      <c r="U9" s="590"/>
      <c r="V9" s="590"/>
      <c r="W9" s="590"/>
      <c r="X9" s="590"/>
      <c r="Y9" s="590"/>
      <c r="Z9" s="590"/>
    </row>
    <row r="10" spans="1:26" ht="11.25" customHeight="1">
      <c r="A10" s="574"/>
      <c r="B10" s="595" t="s">
        <v>518</v>
      </c>
      <c r="C10" s="1069" t="s">
        <v>519</v>
      </c>
      <c r="D10" s="1009"/>
      <c r="E10" s="1009"/>
      <c r="F10" s="1009"/>
      <c r="G10" s="1009"/>
      <c r="H10" s="1010"/>
      <c r="I10" s="1149" t="str">
        <f>'1-ABA-DE-CARREGAMENTO'!E35</f>
        <v>RS000044/2023</v>
      </c>
      <c r="J10" s="1010"/>
      <c r="K10" s="593"/>
      <c r="L10" s="590"/>
      <c r="M10" s="590"/>
      <c r="N10" s="590"/>
      <c r="O10" s="590"/>
      <c r="P10" s="590"/>
      <c r="Q10" s="590"/>
      <c r="R10" s="590"/>
      <c r="S10" s="590"/>
      <c r="T10" s="590"/>
      <c r="U10" s="590"/>
      <c r="V10" s="590"/>
      <c r="W10" s="590"/>
      <c r="X10" s="590"/>
      <c r="Y10" s="590"/>
      <c r="Z10" s="590"/>
    </row>
    <row r="11" spans="1:26" ht="11.25" customHeight="1">
      <c r="A11" s="574"/>
      <c r="B11" s="595" t="s">
        <v>520</v>
      </c>
      <c r="C11" s="1069" t="s">
        <v>521</v>
      </c>
      <c r="D11" s="1009"/>
      <c r="E11" s="1009"/>
      <c r="F11" s="1009"/>
      <c r="G11" s="1009"/>
      <c r="H11" s="1010"/>
      <c r="I11" s="1076">
        <f>'1-ABA-DE-CARREGAMENTO'!E94</f>
        <v>30</v>
      </c>
      <c r="J11" s="1010"/>
      <c r="K11" s="593"/>
      <c r="L11" s="590"/>
      <c r="M11" s="590"/>
      <c r="N11" s="590"/>
      <c r="O11" s="590"/>
      <c r="P11" s="590"/>
      <c r="Q11" s="590"/>
      <c r="R11" s="590"/>
      <c r="S11" s="590"/>
      <c r="T11" s="590"/>
      <c r="U11" s="590"/>
      <c r="V11" s="590"/>
      <c r="W11" s="590"/>
      <c r="X11" s="590"/>
      <c r="Y11" s="590"/>
      <c r="Z11" s="590"/>
    </row>
    <row r="12" spans="1:26" ht="11.25" customHeight="1">
      <c r="A12" s="574"/>
      <c r="B12" s="1140" t="s">
        <v>522</v>
      </c>
      <c r="C12" s="1009"/>
      <c r="D12" s="1009"/>
      <c r="E12" s="1009"/>
      <c r="F12" s="1009"/>
      <c r="G12" s="1009"/>
      <c r="H12" s="1009"/>
      <c r="I12" s="1009"/>
      <c r="J12" s="1010"/>
      <c r="K12" s="592"/>
      <c r="L12" s="590"/>
      <c r="M12" s="590"/>
      <c r="N12" s="590"/>
      <c r="O12" s="590"/>
      <c r="P12" s="590"/>
      <c r="Q12" s="590"/>
      <c r="R12" s="590"/>
      <c r="S12" s="590"/>
      <c r="T12" s="590"/>
      <c r="U12" s="590"/>
      <c r="V12" s="590"/>
      <c r="W12" s="590"/>
      <c r="X12" s="590"/>
      <c r="Y12" s="590"/>
      <c r="Z12" s="590"/>
    </row>
    <row r="13" spans="1:26" ht="11.25" customHeight="1">
      <c r="A13" s="574"/>
      <c r="B13" s="1083" t="str">
        <f>'1-ABA-DE-CARREGAMENTO'!C11</f>
        <v xml:space="preserve"> S E R V I Ç O S     -   REFEITORIO_×_JARDINAGEM</v>
      </c>
      <c r="C13" s="1009"/>
      <c r="D13" s="1009"/>
      <c r="E13" s="1009"/>
      <c r="F13" s="1030"/>
      <c r="G13" s="1083" t="s">
        <v>523</v>
      </c>
      <c r="H13" s="1010"/>
      <c r="I13" s="1083" t="s">
        <v>524</v>
      </c>
      <c r="J13" s="1010"/>
      <c r="K13" s="592"/>
      <c r="L13" s="590"/>
      <c r="M13" s="590"/>
      <c r="N13" s="590"/>
      <c r="O13" s="590"/>
      <c r="P13" s="590"/>
      <c r="Q13" s="590"/>
      <c r="R13" s="590"/>
      <c r="S13" s="590"/>
      <c r="T13" s="590"/>
      <c r="U13" s="590"/>
      <c r="V13" s="590"/>
      <c r="W13" s="590"/>
      <c r="X13" s="590"/>
      <c r="Y13" s="590"/>
      <c r="Z13" s="590"/>
    </row>
    <row r="14" spans="1:26" ht="11.25" hidden="1" customHeight="1" outlineLevel="1">
      <c r="A14" s="574"/>
      <c r="B14" s="1141" t="s">
        <v>525</v>
      </c>
      <c r="C14" s="1009"/>
      <c r="D14" s="1009"/>
      <c r="E14" s="1009"/>
      <c r="F14" s="1010"/>
      <c r="G14" s="1142" t="s">
        <v>526</v>
      </c>
      <c r="H14" s="1010"/>
      <c r="I14" s="1143" t="s">
        <v>527</v>
      </c>
      <c r="J14" s="1010"/>
      <c r="K14" s="598"/>
      <c r="L14" s="590"/>
      <c r="M14" s="590"/>
      <c r="N14" s="590"/>
      <c r="O14" s="590"/>
      <c r="P14" s="590"/>
      <c r="Q14" s="590"/>
      <c r="R14" s="590"/>
      <c r="S14" s="590"/>
      <c r="T14" s="590"/>
      <c r="U14" s="590"/>
      <c r="V14" s="590"/>
      <c r="W14" s="590"/>
      <c r="X14" s="590"/>
      <c r="Y14" s="590"/>
      <c r="Z14" s="590"/>
    </row>
    <row r="15" spans="1:26" ht="11.25" hidden="1" customHeight="1" outlineLevel="1">
      <c r="A15" s="574"/>
      <c r="B15" s="1141" t="s">
        <v>528</v>
      </c>
      <c r="C15" s="1009"/>
      <c r="D15" s="1009"/>
      <c r="E15" s="1009"/>
      <c r="F15" s="1010"/>
      <c r="G15" s="1142" t="s">
        <v>526</v>
      </c>
      <c r="H15" s="1010"/>
      <c r="I15" s="1143" t="s">
        <v>527</v>
      </c>
      <c r="J15" s="1010"/>
      <c r="K15" s="598"/>
      <c r="L15" s="590"/>
      <c r="M15" s="590"/>
      <c r="N15" s="590"/>
      <c r="O15" s="590"/>
      <c r="P15" s="590"/>
      <c r="Q15" s="590"/>
      <c r="R15" s="590"/>
      <c r="S15" s="590"/>
      <c r="T15" s="590"/>
      <c r="U15" s="590"/>
      <c r="V15" s="590"/>
      <c r="W15" s="590"/>
      <c r="X15" s="590"/>
      <c r="Y15" s="590"/>
      <c r="Z15" s="590"/>
    </row>
    <row r="16" spans="1:26" ht="11.25" hidden="1" customHeight="1" outlineLevel="1">
      <c r="A16" s="574"/>
      <c r="B16" s="1141" t="s">
        <v>529</v>
      </c>
      <c r="C16" s="1009"/>
      <c r="D16" s="1009"/>
      <c r="E16" s="1009"/>
      <c r="F16" s="1010"/>
      <c r="G16" s="1142" t="s">
        <v>526</v>
      </c>
      <c r="H16" s="1010"/>
      <c r="I16" s="1143" t="s">
        <v>527</v>
      </c>
      <c r="J16" s="1010"/>
      <c r="K16" s="598"/>
      <c r="L16" s="590"/>
      <c r="M16" s="590"/>
      <c r="N16" s="590"/>
      <c r="O16" s="590"/>
      <c r="P16" s="590"/>
      <c r="Q16" s="590"/>
      <c r="R16" s="590"/>
      <c r="S16" s="590"/>
      <c r="T16" s="590"/>
      <c r="U16" s="590"/>
      <c r="V16" s="590"/>
      <c r="W16" s="590"/>
      <c r="X16" s="590"/>
      <c r="Y16" s="590"/>
      <c r="Z16" s="590"/>
    </row>
    <row r="17" spans="1:26" ht="11.25" customHeight="1" collapsed="1">
      <c r="A17" s="574"/>
      <c r="B17" s="1141" t="str">
        <f>B3</f>
        <v>5135-05_AUX.COZINHA_hs</v>
      </c>
      <c r="C17" s="1009"/>
      <c r="D17" s="1009"/>
      <c r="E17" s="1009"/>
      <c r="F17" s="1010"/>
      <c r="G17" s="1142" t="s">
        <v>526</v>
      </c>
      <c r="H17" s="1010"/>
      <c r="I17" s="1143">
        <f>'1-ABA-DE-CARREGAMENTO'!E92</f>
        <v>8</v>
      </c>
      <c r="J17" s="1010"/>
      <c r="K17" s="598"/>
      <c r="L17" s="590"/>
      <c r="M17" s="590"/>
      <c r="N17" s="590"/>
      <c r="O17" s="590"/>
      <c r="P17" s="590"/>
      <c r="Q17" s="590"/>
      <c r="R17" s="590"/>
      <c r="S17" s="590"/>
      <c r="T17" s="590"/>
      <c r="U17" s="590"/>
      <c r="V17" s="590"/>
      <c r="W17" s="590"/>
      <c r="X17" s="590"/>
      <c r="Y17" s="590"/>
      <c r="Z17" s="590"/>
    </row>
    <row r="18" spans="1:26" ht="11.25" hidden="1" customHeight="1" outlineLevel="1">
      <c r="A18" s="574"/>
      <c r="B18" s="1141" t="s">
        <v>530</v>
      </c>
      <c r="C18" s="1009"/>
      <c r="D18" s="1009"/>
      <c r="E18" s="1009"/>
      <c r="F18" s="1010"/>
      <c r="G18" s="1142" t="s">
        <v>526</v>
      </c>
      <c r="H18" s="1010"/>
      <c r="I18" s="1143" t="s">
        <v>527</v>
      </c>
      <c r="J18" s="1010"/>
      <c r="K18" s="598"/>
      <c r="L18" s="590"/>
      <c r="M18" s="590"/>
      <c r="N18" s="590"/>
      <c r="O18" s="590"/>
      <c r="P18" s="590"/>
      <c r="Q18" s="590"/>
      <c r="R18" s="590"/>
      <c r="S18" s="590"/>
      <c r="T18" s="590"/>
      <c r="U18" s="590"/>
      <c r="V18" s="590"/>
      <c r="W18" s="590"/>
      <c r="X18" s="590"/>
      <c r="Y18" s="590"/>
      <c r="Z18" s="590"/>
    </row>
    <row r="19" spans="1:26" ht="11.25" hidden="1" customHeight="1" outlineLevel="1">
      <c r="A19" s="574"/>
      <c r="B19" s="1141" t="s">
        <v>781</v>
      </c>
      <c r="C19" s="1009"/>
      <c r="D19" s="1009"/>
      <c r="E19" s="1009"/>
      <c r="F19" s="1010"/>
      <c r="G19" s="1142" t="s">
        <v>526</v>
      </c>
      <c r="H19" s="1010"/>
      <c r="I19" s="1143" t="s">
        <v>527</v>
      </c>
      <c r="J19" s="1010"/>
      <c r="K19" s="598"/>
      <c r="L19" s="590"/>
      <c r="M19" s="590"/>
      <c r="N19" s="590"/>
      <c r="O19" s="590"/>
      <c r="P19" s="590"/>
      <c r="Q19" s="590"/>
      <c r="R19" s="590"/>
      <c r="S19" s="590"/>
      <c r="T19" s="590"/>
      <c r="U19" s="590"/>
      <c r="V19" s="590"/>
      <c r="W19" s="590"/>
      <c r="X19" s="590"/>
      <c r="Y19" s="590"/>
      <c r="Z19" s="590"/>
    </row>
    <row r="20" spans="1:26" ht="11.25" customHeight="1" collapsed="1">
      <c r="A20" s="574"/>
      <c r="B20" s="1153" t="s">
        <v>532</v>
      </c>
      <c r="C20" s="1009"/>
      <c r="D20" s="1009"/>
      <c r="E20" s="1009"/>
      <c r="F20" s="1009"/>
      <c r="G20" s="1009"/>
      <c r="H20" s="1010"/>
      <c r="I20" s="1152">
        <f>SUM(I14:I19)</f>
        <v>8</v>
      </c>
      <c r="J20" s="1010"/>
      <c r="K20" s="599"/>
      <c r="L20" s="590"/>
      <c r="M20" s="590"/>
      <c r="N20" s="590"/>
      <c r="O20" s="590"/>
      <c r="P20" s="590"/>
      <c r="Q20" s="590"/>
      <c r="R20" s="590"/>
      <c r="S20" s="590"/>
      <c r="T20" s="590"/>
      <c r="U20" s="590"/>
      <c r="V20" s="590"/>
      <c r="W20" s="590"/>
      <c r="X20" s="590"/>
      <c r="Y20" s="590"/>
      <c r="Z20" s="590"/>
    </row>
    <row r="21" spans="1:26" ht="9" customHeight="1">
      <c r="A21" s="574"/>
      <c r="B21" s="1117"/>
      <c r="C21" s="1009"/>
      <c r="D21" s="1009"/>
      <c r="E21" s="1009"/>
      <c r="F21" s="1009"/>
      <c r="G21" s="1009"/>
      <c r="H21" s="1009"/>
      <c r="I21" s="1009"/>
      <c r="J21" s="1010"/>
      <c r="K21" s="592"/>
      <c r="L21" s="590"/>
      <c r="M21" s="590"/>
      <c r="N21" s="590"/>
      <c r="O21" s="590"/>
      <c r="P21" s="590"/>
      <c r="Q21" s="590"/>
      <c r="R21" s="590"/>
      <c r="S21" s="590"/>
      <c r="T21" s="590"/>
      <c r="U21" s="590"/>
      <c r="V21" s="590"/>
      <c r="W21" s="590"/>
      <c r="X21" s="590"/>
      <c r="Y21" s="590"/>
      <c r="Z21" s="590"/>
    </row>
    <row r="22" spans="1:26" ht="11.25" customHeight="1">
      <c r="A22" s="574"/>
      <c r="B22" s="1084" t="s">
        <v>533</v>
      </c>
      <c r="C22" s="1009"/>
      <c r="D22" s="1009"/>
      <c r="E22" s="1009"/>
      <c r="F22" s="1009"/>
      <c r="G22" s="1009"/>
      <c r="H22" s="1009"/>
      <c r="I22" s="1009"/>
      <c r="J22" s="1010"/>
      <c r="K22" s="600"/>
      <c r="L22" s="590"/>
      <c r="M22" s="590"/>
      <c r="N22" s="590"/>
      <c r="O22" s="590"/>
      <c r="P22" s="590"/>
      <c r="Q22" s="590"/>
      <c r="R22" s="590"/>
      <c r="S22" s="590"/>
      <c r="T22" s="590"/>
      <c r="U22" s="590"/>
      <c r="V22" s="590"/>
      <c r="W22" s="590"/>
      <c r="X22" s="590"/>
      <c r="Y22" s="590"/>
      <c r="Z22" s="590"/>
    </row>
    <row r="23" spans="1:26" ht="6.75" customHeight="1">
      <c r="A23" s="574"/>
      <c r="B23" s="1122"/>
      <c r="C23" s="1009"/>
      <c r="D23" s="1009"/>
      <c r="E23" s="1009"/>
      <c r="F23" s="1009"/>
      <c r="G23" s="1009"/>
      <c r="H23" s="1009"/>
      <c r="I23" s="1009"/>
      <c r="J23" s="1010"/>
      <c r="K23" s="601"/>
      <c r="L23" s="590"/>
      <c r="M23" s="590"/>
      <c r="N23" s="590"/>
      <c r="O23" s="590"/>
      <c r="P23" s="590"/>
      <c r="Q23" s="590"/>
      <c r="R23" s="590"/>
      <c r="S23" s="590"/>
      <c r="T23" s="590"/>
      <c r="U23" s="590"/>
      <c r="V23" s="590"/>
      <c r="W23" s="590"/>
      <c r="X23" s="590"/>
      <c r="Y23" s="590"/>
      <c r="Z23" s="590"/>
    </row>
    <row r="24" spans="1:26" ht="11.25" customHeight="1">
      <c r="A24" s="574"/>
      <c r="B24" s="1154" t="s">
        <v>782</v>
      </c>
      <c r="C24" s="1009"/>
      <c r="D24" s="1009"/>
      <c r="E24" s="1009"/>
      <c r="F24" s="1009"/>
      <c r="G24" s="1009"/>
      <c r="H24" s="1009"/>
      <c r="I24" s="1009"/>
      <c r="J24" s="1010"/>
      <c r="K24" s="602"/>
      <c r="L24" s="590"/>
      <c r="M24" s="590"/>
      <c r="N24" s="590"/>
      <c r="O24" s="590"/>
      <c r="P24" s="590"/>
      <c r="Q24" s="590"/>
      <c r="R24" s="590"/>
      <c r="S24" s="590"/>
      <c r="T24" s="590"/>
      <c r="U24" s="590"/>
      <c r="V24" s="590"/>
      <c r="W24" s="590"/>
      <c r="X24" s="590"/>
      <c r="Y24" s="590"/>
      <c r="Z24" s="590"/>
    </row>
    <row r="25" spans="1:26" ht="9" customHeight="1">
      <c r="A25" s="574"/>
      <c r="B25" s="1123"/>
      <c r="C25" s="1009"/>
      <c r="D25" s="1009"/>
      <c r="E25" s="1009"/>
      <c r="F25" s="1009"/>
      <c r="G25" s="1009"/>
      <c r="H25" s="1009"/>
      <c r="I25" s="1009"/>
      <c r="J25" s="1010"/>
      <c r="K25" s="602"/>
      <c r="L25" s="590"/>
      <c r="M25" s="590"/>
      <c r="N25" s="590"/>
      <c r="O25" s="590"/>
      <c r="P25" s="590"/>
      <c r="Q25" s="590"/>
      <c r="R25" s="590"/>
      <c r="S25" s="590"/>
      <c r="T25" s="590"/>
      <c r="U25" s="590"/>
      <c r="V25" s="590"/>
      <c r="W25" s="590"/>
      <c r="X25" s="590"/>
      <c r="Y25" s="590"/>
      <c r="Z25" s="590"/>
    </row>
    <row r="26" spans="1:26" ht="11.25" customHeight="1">
      <c r="A26" s="592"/>
      <c r="B26" s="1086" t="s">
        <v>535</v>
      </c>
      <c r="C26" s="1009"/>
      <c r="D26" s="1009"/>
      <c r="E26" s="1009"/>
      <c r="F26" s="1009"/>
      <c r="G26" s="1009"/>
      <c r="H26" s="1009"/>
      <c r="I26" s="1009"/>
      <c r="J26" s="1010"/>
      <c r="K26" s="594"/>
      <c r="L26" s="590"/>
      <c r="M26" s="590"/>
      <c r="N26" s="590"/>
      <c r="O26" s="590"/>
      <c r="P26" s="590"/>
      <c r="Q26" s="590"/>
      <c r="R26" s="590"/>
      <c r="S26" s="590"/>
      <c r="T26" s="590"/>
      <c r="U26" s="590"/>
      <c r="V26" s="590"/>
      <c r="W26" s="590"/>
      <c r="X26" s="590"/>
      <c r="Y26" s="590"/>
      <c r="Z26" s="590"/>
    </row>
    <row r="27" spans="1:26" ht="15.75" customHeight="1">
      <c r="A27" s="574"/>
      <c r="B27" s="595">
        <v>1</v>
      </c>
      <c r="C27" s="1069" t="s">
        <v>536</v>
      </c>
      <c r="D27" s="1009"/>
      <c r="E27" s="1009"/>
      <c r="F27" s="1009"/>
      <c r="G27" s="1009"/>
      <c r="H27" s="1010"/>
      <c r="I27" s="1073" t="str">
        <f>'1-ABA-DE-CARREGAMENTO'!E33</f>
        <v>5135-05_AUX.COZINHA_hs</v>
      </c>
      <c r="J27" s="1010"/>
      <c r="K27" s="603"/>
      <c r="L27" s="590"/>
      <c r="M27" s="590"/>
      <c r="N27" s="590"/>
      <c r="O27" s="590"/>
      <c r="P27" s="590"/>
      <c r="Q27" s="590"/>
      <c r="R27" s="590"/>
      <c r="S27" s="590"/>
      <c r="T27" s="590"/>
      <c r="U27" s="590"/>
      <c r="V27" s="590"/>
      <c r="W27" s="590"/>
      <c r="X27" s="590"/>
      <c r="Y27" s="590"/>
      <c r="Z27" s="590"/>
    </row>
    <row r="28" spans="1:26" ht="15.75" customHeight="1">
      <c r="A28" s="574"/>
      <c r="B28" s="604">
        <v>2</v>
      </c>
      <c r="C28" s="1108" t="s">
        <v>537</v>
      </c>
      <c r="D28" s="1009"/>
      <c r="E28" s="1009"/>
      <c r="F28" s="1009"/>
      <c r="G28" s="1009"/>
      <c r="H28" s="1010"/>
      <c r="I28" s="1156">
        <v>1181681</v>
      </c>
      <c r="J28" s="1010"/>
      <c r="K28" s="603"/>
      <c r="L28" s="590"/>
      <c r="M28" s="590"/>
      <c r="N28" s="590"/>
      <c r="O28" s="590"/>
      <c r="P28" s="590"/>
      <c r="Q28" s="590"/>
      <c r="R28" s="590"/>
      <c r="S28" s="590"/>
      <c r="T28" s="590"/>
      <c r="U28" s="590"/>
      <c r="V28" s="590"/>
      <c r="W28" s="590"/>
      <c r="X28" s="590"/>
      <c r="Y28" s="590"/>
      <c r="Z28" s="590"/>
    </row>
    <row r="29" spans="1:26" ht="51" customHeight="1">
      <c r="A29" s="574"/>
      <c r="B29" s="595">
        <v>3</v>
      </c>
      <c r="C29" s="1157" t="s">
        <v>538</v>
      </c>
      <c r="D29" s="948"/>
      <c r="E29" s="748">
        <v>220</v>
      </c>
      <c r="F29" s="606">
        <f>'1-ABA-DE-CARREGAMENTO'!E37</f>
        <v>1431.04</v>
      </c>
      <c r="G29" s="607" t="s">
        <v>539</v>
      </c>
      <c r="H29" s="608">
        <f>'1-ABA-DE-CARREGAMENTO'!E52</f>
        <v>200</v>
      </c>
      <c r="I29" s="1173">
        <f>F29/E29*H29</f>
        <v>1300.9454545454546</v>
      </c>
      <c r="J29" s="1010"/>
      <c r="K29" s="609"/>
      <c r="L29" s="590"/>
      <c r="M29" s="590"/>
      <c r="N29" s="590"/>
      <c r="O29" s="590"/>
      <c r="P29" s="590"/>
      <c r="Q29" s="590"/>
      <c r="R29" s="590"/>
      <c r="S29" s="590"/>
      <c r="T29" s="590"/>
      <c r="U29" s="590"/>
      <c r="V29" s="590"/>
      <c r="W29" s="590"/>
      <c r="X29" s="590"/>
      <c r="Y29" s="590"/>
      <c r="Z29" s="590"/>
    </row>
    <row r="30" spans="1:26" ht="11.25" customHeight="1">
      <c r="A30" s="574"/>
      <c r="B30" s="595">
        <v>4</v>
      </c>
      <c r="C30" s="1069" t="s">
        <v>540</v>
      </c>
      <c r="D30" s="1009"/>
      <c r="E30" s="1009"/>
      <c r="F30" s="1009"/>
      <c r="G30" s="1009"/>
      <c r="H30" s="1010"/>
      <c r="I30" s="1159"/>
      <c r="J30" s="1010"/>
      <c r="K30" s="596"/>
      <c r="L30" s="590"/>
      <c r="M30" s="590"/>
      <c r="N30" s="590"/>
      <c r="O30" s="590"/>
      <c r="P30" s="590"/>
      <c r="Q30" s="590"/>
      <c r="R30" s="590"/>
      <c r="S30" s="590"/>
      <c r="T30" s="590"/>
      <c r="U30" s="590"/>
      <c r="V30" s="590"/>
      <c r="W30" s="590"/>
      <c r="X30" s="590"/>
      <c r="Y30" s="590"/>
      <c r="Z30" s="590"/>
    </row>
    <row r="31" spans="1:26" ht="11.25" customHeight="1">
      <c r="A31" s="574"/>
      <c r="B31" s="595">
        <v>5</v>
      </c>
      <c r="C31" s="1069" t="s">
        <v>541</v>
      </c>
      <c r="D31" s="1009"/>
      <c r="E31" s="1009"/>
      <c r="F31" s="1009"/>
      <c r="G31" s="1009"/>
      <c r="H31" s="1010"/>
      <c r="I31" s="1145" t="str">
        <f>'1-ABA-DE-CARREGAMENTO'!E36</f>
        <v>01 de JANEIRO</v>
      </c>
      <c r="J31" s="1010"/>
      <c r="K31" s="610"/>
      <c r="L31" s="590"/>
      <c r="M31" s="590"/>
      <c r="N31" s="590"/>
      <c r="O31" s="590"/>
      <c r="P31" s="590"/>
      <c r="Q31" s="590"/>
      <c r="R31" s="590"/>
      <c r="S31" s="590"/>
      <c r="T31" s="590"/>
      <c r="U31" s="590"/>
      <c r="V31" s="590"/>
      <c r="W31" s="590"/>
      <c r="X31" s="590"/>
      <c r="Y31" s="590"/>
      <c r="Z31" s="590"/>
    </row>
    <row r="32" spans="1:26" ht="26.25" customHeight="1">
      <c r="A32" s="574"/>
      <c r="B32" s="611">
        <v>6</v>
      </c>
      <c r="C32" s="1125" t="s">
        <v>783</v>
      </c>
      <c r="D32" s="1009"/>
      <c r="E32" s="1009"/>
      <c r="F32" s="1009"/>
      <c r="G32" s="1009"/>
      <c r="H32" s="1010"/>
      <c r="I32" s="1126">
        <f>I29/H29</f>
        <v>6.5047272727272727</v>
      </c>
      <c r="J32" s="1010"/>
      <c r="K32" s="612"/>
      <c r="L32" s="590"/>
      <c r="M32" s="590"/>
      <c r="N32" s="590"/>
      <c r="O32" s="590"/>
      <c r="P32" s="590"/>
      <c r="Q32" s="590"/>
      <c r="R32" s="590"/>
      <c r="S32" s="590"/>
      <c r="T32" s="590"/>
      <c r="U32" s="590"/>
      <c r="V32" s="590"/>
      <c r="W32" s="590"/>
      <c r="X32" s="590"/>
      <c r="Y32" s="590"/>
      <c r="Z32" s="590"/>
    </row>
    <row r="33" spans="1:26" ht="26.25" customHeight="1">
      <c r="A33" s="574"/>
      <c r="B33" s="611">
        <v>7</v>
      </c>
      <c r="C33" s="1125" t="s">
        <v>784</v>
      </c>
      <c r="D33" s="1009"/>
      <c r="E33" s="1009"/>
      <c r="F33" s="1010"/>
      <c r="G33" s="1138"/>
      <c r="H33" s="1010"/>
      <c r="I33" s="1126">
        <f>(SUM(J47:J50)/H29)</f>
        <v>7.935767272727273</v>
      </c>
      <c r="J33" s="1010"/>
      <c r="K33" s="612"/>
      <c r="L33" s="590"/>
      <c r="M33" s="590"/>
      <c r="N33" s="590"/>
      <c r="O33" s="590"/>
      <c r="P33" s="590"/>
      <c r="Q33" s="590"/>
      <c r="R33" s="590"/>
      <c r="S33" s="590"/>
      <c r="T33" s="590"/>
      <c r="U33" s="590"/>
      <c r="V33" s="590"/>
      <c r="W33" s="590"/>
      <c r="X33" s="590"/>
      <c r="Y33" s="590"/>
      <c r="Z33" s="590"/>
    </row>
    <row r="34" spans="1:26" ht="26.25" customHeight="1">
      <c r="A34" s="574"/>
      <c r="B34" s="611">
        <v>8</v>
      </c>
      <c r="C34" s="1125" t="s">
        <v>785</v>
      </c>
      <c r="D34" s="1009"/>
      <c r="E34" s="1009"/>
      <c r="F34" s="1010"/>
      <c r="G34" s="1138"/>
      <c r="H34" s="1010"/>
      <c r="I34" s="1126">
        <f t="shared" ref="I34:I35" si="0">I32*1.5</f>
        <v>9.757090909090909</v>
      </c>
      <c r="J34" s="1010"/>
      <c r="K34" s="612"/>
      <c r="L34" s="590"/>
      <c r="M34" s="590"/>
      <c r="N34" s="590"/>
      <c r="O34" s="590"/>
      <c r="P34" s="590"/>
      <c r="Q34" s="590"/>
      <c r="R34" s="590"/>
      <c r="S34" s="590"/>
      <c r="T34" s="590"/>
      <c r="U34" s="590"/>
      <c r="V34" s="590"/>
      <c r="W34" s="590"/>
      <c r="X34" s="590"/>
      <c r="Y34" s="590"/>
      <c r="Z34" s="590"/>
    </row>
    <row r="35" spans="1:26" ht="26.25" customHeight="1">
      <c r="A35" s="574"/>
      <c r="B35" s="611">
        <v>9</v>
      </c>
      <c r="C35" s="1125" t="s">
        <v>786</v>
      </c>
      <c r="D35" s="1009"/>
      <c r="E35" s="1009"/>
      <c r="F35" s="1010"/>
      <c r="G35" s="1138" t="s">
        <v>546</v>
      </c>
      <c r="H35" s="1010"/>
      <c r="I35" s="1126">
        <f t="shared" si="0"/>
        <v>11.90365090909091</v>
      </c>
      <c r="J35" s="1010"/>
      <c r="K35" s="613"/>
      <c r="L35" s="590"/>
      <c r="M35" s="590"/>
      <c r="N35" s="590"/>
      <c r="O35" s="590"/>
      <c r="P35" s="590"/>
      <c r="Q35" s="590"/>
      <c r="R35" s="590"/>
      <c r="S35" s="590"/>
      <c r="T35" s="590"/>
      <c r="U35" s="590"/>
      <c r="V35" s="590"/>
      <c r="W35" s="590"/>
      <c r="X35" s="590"/>
      <c r="Y35" s="590"/>
      <c r="Z35" s="590"/>
    </row>
    <row r="36" spans="1:26" ht="26.25" customHeight="1">
      <c r="A36" s="574"/>
      <c r="B36" s="611">
        <v>10</v>
      </c>
      <c r="C36" s="1125" t="s">
        <v>787</v>
      </c>
      <c r="D36" s="1009"/>
      <c r="E36" s="1009"/>
      <c r="F36" s="1009"/>
      <c r="G36" s="1009"/>
      <c r="H36" s="1010"/>
      <c r="I36" s="1126">
        <f>I35*1.2</f>
        <v>14.284381090909092</v>
      </c>
      <c r="J36" s="1010"/>
      <c r="K36" s="612"/>
      <c r="L36" s="590"/>
      <c r="M36" s="590"/>
      <c r="N36" s="590"/>
      <c r="O36" s="590"/>
      <c r="P36" s="590"/>
      <c r="Q36" s="590"/>
      <c r="R36" s="590"/>
      <c r="S36" s="590"/>
      <c r="T36" s="590"/>
      <c r="U36" s="590"/>
      <c r="V36" s="590"/>
      <c r="W36" s="590"/>
      <c r="X36" s="590"/>
      <c r="Y36" s="590"/>
      <c r="Z36" s="590"/>
    </row>
    <row r="37" spans="1:26" ht="26.25" customHeight="1">
      <c r="A37" s="574"/>
      <c r="B37" s="611">
        <v>11</v>
      </c>
      <c r="C37" s="1125" t="s">
        <v>788</v>
      </c>
      <c r="D37" s="1009"/>
      <c r="E37" s="1009"/>
      <c r="F37" s="1009"/>
      <c r="G37" s="1009"/>
      <c r="H37" s="1010"/>
      <c r="I37" s="1126">
        <f>I35*2</f>
        <v>23.80730181818182</v>
      </c>
      <c r="J37" s="1010"/>
      <c r="K37" s="612"/>
      <c r="L37" s="590"/>
      <c r="M37" s="590"/>
      <c r="N37" s="590"/>
      <c r="O37" s="590"/>
      <c r="P37" s="590"/>
      <c r="Q37" s="590"/>
      <c r="R37" s="590"/>
      <c r="S37" s="590"/>
      <c r="T37" s="590"/>
      <c r="U37" s="590"/>
      <c r="V37" s="590"/>
      <c r="W37" s="590"/>
      <c r="X37" s="590"/>
      <c r="Y37" s="590"/>
      <c r="Z37" s="590"/>
    </row>
    <row r="38" spans="1:26" ht="14.25" customHeight="1" outlineLevel="1">
      <c r="A38" s="574"/>
      <c r="B38" s="611">
        <v>12</v>
      </c>
      <c r="C38" s="1125" t="s">
        <v>789</v>
      </c>
      <c r="D38" s="1009"/>
      <c r="E38" s="1009"/>
      <c r="F38" s="1009"/>
      <c r="G38" s="1009"/>
      <c r="H38" s="1010"/>
      <c r="I38" s="1126">
        <f>I29*'1-ABA-DE-CARREGAMENTO'!D44</f>
        <v>0</v>
      </c>
      <c r="J38" s="1010"/>
      <c r="K38" s="612"/>
      <c r="L38" s="590"/>
      <c r="M38" s="590"/>
      <c r="N38" s="590"/>
      <c r="O38" s="590"/>
      <c r="P38" s="590"/>
      <c r="Q38" s="590"/>
      <c r="R38" s="590"/>
      <c r="S38" s="590"/>
      <c r="T38" s="590"/>
      <c r="U38" s="590"/>
      <c r="V38" s="590"/>
      <c r="W38" s="590"/>
      <c r="X38" s="590"/>
      <c r="Y38" s="590"/>
      <c r="Z38" s="590"/>
    </row>
    <row r="39" spans="1:26" ht="11.25" customHeight="1" outlineLevel="1">
      <c r="A39" s="574"/>
      <c r="B39" s="611">
        <v>13</v>
      </c>
      <c r="C39" s="1125" t="s">
        <v>550</v>
      </c>
      <c r="D39" s="1009"/>
      <c r="E39" s="1009"/>
      <c r="F39" s="1009"/>
      <c r="G39" s="1009"/>
      <c r="H39" s="1010"/>
      <c r="I39" s="1126">
        <f>ROUND(I32/6,2)*1.3*0</f>
        <v>0</v>
      </c>
      <c r="J39" s="1010"/>
      <c r="K39" s="612"/>
      <c r="L39" s="590"/>
      <c r="M39" s="590"/>
      <c r="N39" s="590"/>
      <c r="O39" s="590"/>
      <c r="P39" s="590"/>
      <c r="Q39" s="590"/>
      <c r="R39" s="590"/>
      <c r="S39" s="590"/>
      <c r="T39" s="590"/>
      <c r="U39" s="590"/>
      <c r="V39" s="590"/>
      <c r="W39" s="590"/>
      <c r="X39" s="590"/>
      <c r="Y39" s="590"/>
      <c r="Z39" s="590"/>
    </row>
    <row r="40" spans="1:26" ht="15.75" customHeight="1">
      <c r="A40" s="574"/>
      <c r="B40" s="611">
        <v>14</v>
      </c>
      <c r="C40" s="1109" t="s">
        <v>551</v>
      </c>
      <c r="D40" s="1009"/>
      <c r="E40" s="1009"/>
      <c r="F40" s="1009"/>
      <c r="G40" s="1009"/>
      <c r="H40" s="1010"/>
      <c r="I40" s="1170">
        <f>'1-ABA-DE-CARREGAMENTO'!E93</f>
        <v>1</v>
      </c>
      <c r="J40" s="1010"/>
      <c r="K40" s="616"/>
      <c r="L40" s="590"/>
      <c r="M40" s="590"/>
      <c r="N40" s="590"/>
      <c r="O40" s="590"/>
      <c r="P40" s="590"/>
      <c r="Q40" s="590"/>
      <c r="R40" s="590"/>
      <c r="S40" s="590"/>
      <c r="T40" s="590"/>
      <c r="U40" s="590"/>
      <c r="V40" s="590"/>
      <c r="W40" s="590"/>
      <c r="X40" s="590"/>
      <c r="Y40" s="590"/>
      <c r="Z40" s="590"/>
    </row>
    <row r="41" spans="1:26" ht="15.75" customHeight="1">
      <c r="A41" s="574"/>
      <c r="B41" s="611">
        <v>15</v>
      </c>
      <c r="C41" s="1171" t="s">
        <v>552</v>
      </c>
      <c r="D41" s="1009"/>
      <c r="E41" s="1009"/>
      <c r="F41" s="1009"/>
      <c r="G41" s="1009"/>
      <c r="H41" s="1010"/>
      <c r="I41" s="1172">
        <f>'1-ABA-DE-CARREGAMENTO'!E42</f>
        <v>1320</v>
      </c>
      <c r="J41" s="1010"/>
      <c r="K41" s="618"/>
      <c r="L41" s="590"/>
      <c r="M41" s="590"/>
      <c r="N41" s="590"/>
      <c r="O41" s="590"/>
      <c r="P41" s="590"/>
      <c r="Q41" s="590"/>
      <c r="R41" s="590"/>
      <c r="S41" s="590"/>
      <c r="T41" s="590"/>
      <c r="U41" s="590"/>
      <c r="V41" s="590"/>
      <c r="W41" s="590"/>
      <c r="X41" s="590"/>
      <c r="Y41" s="590"/>
      <c r="Z41" s="590"/>
    </row>
    <row r="42" spans="1:26" ht="6" customHeight="1">
      <c r="A42" s="574"/>
      <c r="B42" s="1122"/>
      <c r="C42" s="1009"/>
      <c r="D42" s="1009"/>
      <c r="E42" s="1009"/>
      <c r="F42" s="1009"/>
      <c r="G42" s="1009"/>
      <c r="H42" s="1009"/>
      <c r="I42" s="1009"/>
      <c r="J42" s="1010"/>
      <c r="K42" s="601"/>
      <c r="L42" s="590"/>
      <c r="M42" s="590"/>
      <c r="N42" s="590"/>
      <c r="O42" s="590"/>
      <c r="P42" s="590"/>
      <c r="Q42" s="590"/>
      <c r="R42" s="590"/>
      <c r="S42" s="590"/>
      <c r="T42" s="590"/>
      <c r="U42" s="590"/>
      <c r="V42" s="590"/>
      <c r="W42" s="590"/>
      <c r="X42" s="590"/>
      <c r="Y42" s="590"/>
      <c r="Z42" s="590"/>
    </row>
    <row r="43" spans="1:26" ht="30" customHeight="1">
      <c r="A43" s="574"/>
      <c r="B43" s="1111" t="s">
        <v>553</v>
      </c>
      <c r="C43" s="1009"/>
      <c r="D43" s="1009"/>
      <c r="E43" s="1009"/>
      <c r="F43" s="1009"/>
      <c r="G43" s="1009"/>
      <c r="H43" s="1009"/>
      <c r="I43" s="1009"/>
      <c r="J43" s="1010"/>
      <c r="K43" s="619"/>
      <c r="L43" s="590"/>
      <c r="M43" s="590"/>
      <c r="N43" s="590"/>
      <c r="O43" s="590"/>
      <c r="P43" s="590"/>
      <c r="Q43" s="590"/>
      <c r="R43" s="590"/>
      <c r="S43" s="590"/>
      <c r="T43" s="590"/>
      <c r="U43" s="590"/>
      <c r="V43" s="590"/>
      <c r="W43" s="590"/>
      <c r="X43" s="590"/>
      <c r="Y43" s="590"/>
      <c r="Z43" s="590"/>
    </row>
    <row r="44" spans="1:26" ht="6" customHeight="1">
      <c r="A44" s="574"/>
      <c r="B44" s="1123"/>
      <c r="C44" s="1009"/>
      <c r="D44" s="1009"/>
      <c r="E44" s="1009"/>
      <c r="F44" s="1009"/>
      <c r="G44" s="1009"/>
      <c r="H44" s="1009"/>
      <c r="I44" s="1009"/>
      <c r="J44" s="1010"/>
      <c r="K44" s="602"/>
      <c r="L44" s="590"/>
      <c r="M44" s="590"/>
      <c r="N44" s="590"/>
      <c r="O44" s="590"/>
      <c r="P44" s="590"/>
      <c r="Q44" s="590"/>
      <c r="R44" s="590"/>
      <c r="S44" s="590"/>
      <c r="T44" s="590"/>
      <c r="U44" s="590"/>
      <c r="V44" s="590"/>
      <c r="W44" s="590"/>
      <c r="X44" s="590"/>
      <c r="Y44" s="590"/>
      <c r="Z44" s="590"/>
    </row>
    <row r="45" spans="1:26" ht="11.25" customHeight="1">
      <c r="A45" s="574"/>
      <c r="B45" s="1124" t="s">
        <v>554</v>
      </c>
      <c r="C45" s="1009"/>
      <c r="D45" s="1009"/>
      <c r="E45" s="1009"/>
      <c r="F45" s="1009"/>
      <c r="G45" s="1009"/>
      <c r="H45" s="1009"/>
      <c r="I45" s="1009"/>
      <c r="J45" s="1010"/>
      <c r="K45" s="620"/>
      <c r="L45" s="590"/>
      <c r="M45" s="590"/>
      <c r="N45" s="590"/>
      <c r="O45" s="590"/>
      <c r="P45" s="590"/>
      <c r="Q45" s="590"/>
      <c r="R45" s="590"/>
      <c r="S45" s="590"/>
      <c r="T45" s="590"/>
      <c r="U45" s="590"/>
      <c r="V45" s="590"/>
      <c r="W45" s="590"/>
      <c r="X45" s="590"/>
      <c r="Y45" s="590"/>
      <c r="Z45" s="590"/>
    </row>
    <row r="46" spans="1:26" ht="11.25" customHeight="1">
      <c r="A46" s="621"/>
      <c r="B46" s="622">
        <v>1</v>
      </c>
      <c r="C46" s="1083" t="s">
        <v>555</v>
      </c>
      <c r="D46" s="1009"/>
      <c r="E46" s="1009"/>
      <c r="F46" s="1009"/>
      <c r="G46" s="1009"/>
      <c r="H46" s="1010"/>
      <c r="I46" s="622" t="s">
        <v>556</v>
      </c>
      <c r="J46" s="622" t="s">
        <v>557</v>
      </c>
      <c r="K46" s="592"/>
      <c r="L46" s="590"/>
      <c r="M46" s="590"/>
      <c r="N46" s="590"/>
      <c r="O46" s="590"/>
      <c r="P46" s="590"/>
      <c r="Q46" s="590"/>
      <c r="R46" s="590"/>
      <c r="S46" s="590"/>
      <c r="T46" s="590"/>
      <c r="U46" s="590"/>
      <c r="V46" s="590"/>
      <c r="W46" s="590"/>
      <c r="X46" s="590"/>
      <c r="Y46" s="590"/>
      <c r="Z46" s="590"/>
    </row>
    <row r="47" spans="1:26" ht="12.75" customHeight="1">
      <c r="A47" s="574"/>
      <c r="B47" s="595" t="s">
        <v>514</v>
      </c>
      <c r="C47" s="1069" t="s">
        <v>558</v>
      </c>
      <c r="D47" s="1009"/>
      <c r="E47" s="1009"/>
      <c r="F47" s="1010"/>
      <c r="G47" s="623" t="s">
        <v>185</v>
      </c>
      <c r="H47" s="624">
        <f>'1-ABA-DE-CARREGAMENTO'!E52</f>
        <v>200</v>
      </c>
      <c r="I47" s="623"/>
      <c r="J47" s="625">
        <f>I29*I40</f>
        <v>1300.9454545454546</v>
      </c>
      <c r="K47" s="626"/>
      <c r="L47" s="590"/>
      <c r="M47" s="590"/>
      <c r="N47" s="590"/>
      <c r="O47" s="590"/>
      <c r="P47" s="590"/>
      <c r="Q47" s="590"/>
      <c r="R47" s="590"/>
      <c r="S47" s="590"/>
      <c r="T47" s="590"/>
      <c r="U47" s="590"/>
      <c r="V47" s="590"/>
      <c r="W47" s="590"/>
      <c r="X47" s="590"/>
      <c r="Y47" s="590"/>
      <c r="Z47" s="590"/>
    </row>
    <row r="48" spans="1:26" ht="11.25" customHeight="1">
      <c r="A48" s="574"/>
      <c r="B48" s="595" t="s">
        <v>516</v>
      </c>
      <c r="C48" s="1069" t="s">
        <v>790</v>
      </c>
      <c r="D48" s="1009"/>
      <c r="E48" s="1009"/>
      <c r="F48" s="1118" t="str">
        <f>'1-ABA-DE-CARREGAMENTO'!E38</f>
        <v>SEM ADICIONAL DE FUNÇÃO</v>
      </c>
      <c r="G48" s="1009"/>
      <c r="H48" s="1010"/>
      <c r="I48" s="751">
        <f>'1-ABA-DE-CARREGAMENTO'!E39</f>
        <v>0</v>
      </c>
      <c r="J48" s="625">
        <f>J47*I48</f>
        <v>0</v>
      </c>
      <c r="K48" s="626"/>
      <c r="L48" s="590"/>
      <c r="M48" s="590"/>
      <c r="N48" s="590"/>
      <c r="O48" s="590"/>
      <c r="P48" s="590"/>
      <c r="Q48" s="590"/>
      <c r="R48" s="590"/>
      <c r="S48" s="590"/>
      <c r="T48" s="590"/>
      <c r="U48" s="590"/>
      <c r="V48" s="590"/>
      <c r="W48" s="590"/>
      <c r="X48" s="590"/>
      <c r="Y48" s="590"/>
      <c r="Z48" s="590"/>
    </row>
    <row r="49" spans="1:26" ht="33" customHeight="1">
      <c r="A49" s="574"/>
      <c r="B49" s="595" t="s">
        <v>518</v>
      </c>
      <c r="C49" s="1069" t="s">
        <v>791</v>
      </c>
      <c r="D49" s="1009"/>
      <c r="E49" s="1009"/>
      <c r="F49" s="1009"/>
      <c r="G49" s="1009"/>
      <c r="H49" s="1010"/>
      <c r="I49" s="628">
        <f>'1-ABA-DE-CARREGAMENTO'!E44</f>
        <v>0</v>
      </c>
      <c r="J49" s="625">
        <f>ROUND(J47*I49,2)</f>
        <v>0</v>
      </c>
      <c r="K49" s="626"/>
      <c r="L49" s="590"/>
      <c r="M49" s="590"/>
      <c r="N49" s="590"/>
      <c r="O49" s="590"/>
      <c r="P49" s="590"/>
      <c r="Q49" s="590"/>
      <c r="R49" s="590"/>
      <c r="S49" s="590"/>
      <c r="T49" s="590"/>
      <c r="U49" s="590"/>
      <c r="V49" s="590"/>
      <c r="W49" s="590"/>
      <c r="X49" s="590"/>
      <c r="Y49" s="590"/>
      <c r="Z49" s="590"/>
    </row>
    <row r="50" spans="1:26" ht="21.75" customHeight="1">
      <c r="A50" s="574"/>
      <c r="B50" s="595" t="s">
        <v>520</v>
      </c>
      <c r="C50" s="1069" t="s">
        <v>792</v>
      </c>
      <c r="D50" s="1009"/>
      <c r="E50" s="1009"/>
      <c r="F50" s="1009"/>
      <c r="G50" s="1118" t="str">
        <f>'1-ABA-DE-CARREGAMENTO'!E40</f>
        <v>INSALUB S/NORMATIVO</v>
      </c>
      <c r="H50" s="1010"/>
      <c r="I50" s="629">
        <f>'1-ABA-DE-CARREGAMENTO'!E41</f>
        <v>0.2</v>
      </c>
      <c r="J50" s="625">
        <f>IF(G50="INSALUB S/MIN. NACION.",I50*I41,IF(G50="INSALUB S/NORMATIVO",I50*F29,IF(G50="PERICULOSIDADE",0,IF(G50="SEM ADICIONAL DE RISCO",0))))</f>
        <v>286.20800000000003</v>
      </c>
      <c r="K50" s="626"/>
      <c r="L50" s="590"/>
      <c r="M50" s="590"/>
      <c r="N50" s="590"/>
      <c r="O50" s="590"/>
      <c r="P50" s="590"/>
      <c r="Q50" s="590"/>
      <c r="R50" s="590"/>
      <c r="S50" s="590"/>
      <c r="T50" s="590"/>
      <c r="U50" s="590"/>
      <c r="V50" s="590"/>
      <c r="W50" s="590"/>
      <c r="X50" s="590"/>
      <c r="Y50" s="590"/>
      <c r="Z50" s="590"/>
    </row>
    <row r="51" spans="1:26" ht="30.75" customHeight="1">
      <c r="A51" s="574"/>
      <c r="B51" s="595" t="s">
        <v>562</v>
      </c>
      <c r="C51" s="1119" t="s">
        <v>793</v>
      </c>
      <c r="D51" s="1009"/>
      <c r="E51" s="1010"/>
      <c r="F51" s="630" t="s">
        <v>564</v>
      </c>
      <c r="G51" s="631">
        <v>0</v>
      </c>
      <c r="H51" s="630" t="s">
        <v>565</v>
      </c>
      <c r="I51" s="632">
        <f>I36</f>
        <v>14.284381090909092</v>
      </c>
      <c r="J51" s="633">
        <f>G51*I51</f>
        <v>0</v>
      </c>
      <c r="K51" s="626"/>
      <c r="L51" s="590"/>
      <c r="M51" s="590"/>
      <c r="N51" s="590"/>
      <c r="O51" s="590"/>
      <c r="P51" s="590"/>
      <c r="Q51" s="590"/>
      <c r="R51" s="590"/>
      <c r="S51" s="590"/>
      <c r="T51" s="590"/>
      <c r="U51" s="590"/>
      <c r="V51" s="590"/>
      <c r="W51" s="590"/>
      <c r="X51" s="590"/>
      <c r="Y51" s="590"/>
      <c r="Z51" s="590"/>
    </row>
    <row r="52" spans="1:26" ht="38.25" hidden="1" customHeight="1" outlineLevel="1">
      <c r="A52" s="574"/>
      <c r="B52" s="595" t="s">
        <v>566</v>
      </c>
      <c r="C52" s="1108" t="s">
        <v>794</v>
      </c>
      <c r="D52" s="1009"/>
      <c r="E52" s="1009"/>
      <c r="F52" s="1009"/>
      <c r="G52" s="1009"/>
      <c r="H52" s="1009"/>
      <c r="I52" s="1010"/>
      <c r="J52" s="625">
        <f>ROUND(I38*(((12*15)+15)-((44/6)*26))*I35,2)*0+ROUND(2*4.33*I35,2)*0</f>
        <v>0</v>
      </c>
      <c r="K52" s="626"/>
      <c r="L52" s="590"/>
      <c r="M52" s="590"/>
      <c r="N52" s="590"/>
      <c r="O52" s="590"/>
      <c r="P52" s="590"/>
      <c r="Q52" s="590"/>
      <c r="R52" s="590"/>
      <c r="S52" s="590"/>
      <c r="T52" s="590"/>
      <c r="U52" s="590"/>
      <c r="V52" s="590"/>
      <c r="W52" s="590"/>
      <c r="X52" s="590"/>
      <c r="Y52" s="590"/>
      <c r="Z52" s="590"/>
    </row>
    <row r="53" spans="1:26" ht="38.25" hidden="1" customHeight="1" outlineLevel="1">
      <c r="A53" s="574"/>
      <c r="B53" s="595" t="s">
        <v>568</v>
      </c>
      <c r="C53" s="1108" t="s">
        <v>795</v>
      </c>
      <c r="D53" s="1009"/>
      <c r="E53" s="1009"/>
      <c r="F53" s="1009"/>
      <c r="G53" s="1009"/>
      <c r="H53" s="1009"/>
      <c r="I53" s="1010"/>
      <c r="J53" s="625">
        <f>ROUND(I39*I40*15,2)*0</f>
        <v>0</v>
      </c>
      <c r="K53" s="626"/>
      <c r="L53" s="590"/>
      <c r="M53" s="590"/>
      <c r="N53" s="590"/>
      <c r="O53" s="590"/>
      <c r="P53" s="590"/>
      <c r="Q53" s="590"/>
      <c r="R53" s="590"/>
      <c r="S53" s="590"/>
      <c r="T53" s="590"/>
      <c r="U53" s="590"/>
      <c r="V53" s="590"/>
      <c r="W53" s="590"/>
      <c r="X53" s="590"/>
      <c r="Y53" s="590"/>
      <c r="Z53" s="590"/>
    </row>
    <row r="54" spans="1:26" ht="27" customHeight="1" collapsed="1">
      <c r="A54" s="574"/>
      <c r="B54" s="595" t="s">
        <v>570</v>
      </c>
      <c r="C54" s="1120" t="s">
        <v>796</v>
      </c>
      <c r="D54" s="1060"/>
      <c r="E54" s="1060"/>
      <c r="F54" s="634" t="s">
        <v>572</v>
      </c>
      <c r="G54" s="635">
        <v>0</v>
      </c>
      <c r="H54" s="634" t="s">
        <v>573</v>
      </c>
      <c r="I54" s="636">
        <f>I35</f>
        <v>11.90365090909091</v>
      </c>
      <c r="J54" s="633">
        <f t="shared" ref="J54:J55" si="1">G54*I54</f>
        <v>0</v>
      </c>
      <c r="K54" s="626"/>
      <c r="L54" s="590"/>
      <c r="M54" s="590"/>
      <c r="N54" s="590"/>
      <c r="O54" s="590"/>
      <c r="P54" s="590"/>
      <c r="Q54" s="590"/>
      <c r="R54" s="590"/>
      <c r="S54" s="590"/>
      <c r="T54" s="590"/>
      <c r="U54" s="590"/>
      <c r="V54" s="590"/>
      <c r="W54" s="590"/>
      <c r="X54" s="590"/>
      <c r="Y54" s="590"/>
      <c r="Z54" s="590"/>
    </row>
    <row r="55" spans="1:26" ht="27" customHeight="1">
      <c r="A55" s="574"/>
      <c r="B55" s="595" t="s">
        <v>574</v>
      </c>
      <c r="C55" s="1121" t="s">
        <v>797</v>
      </c>
      <c r="D55" s="1023"/>
      <c r="E55" s="1023"/>
      <c r="F55" s="634" t="s">
        <v>576</v>
      </c>
      <c r="G55" s="635">
        <v>0</v>
      </c>
      <c r="H55" s="634" t="s">
        <v>577</v>
      </c>
      <c r="I55" s="636">
        <f>I37</f>
        <v>23.80730181818182</v>
      </c>
      <c r="J55" s="637">
        <f t="shared" si="1"/>
        <v>0</v>
      </c>
      <c r="K55" s="626"/>
      <c r="L55" s="590"/>
      <c r="M55" s="590"/>
      <c r="N55" s="590"/>
      <c r="O55" s="590"/>
      <c r="P55" s="590"/>
      <c r="Q55" s="590"/>
      <c r="R55" s="590"/>
      <c r="S55" s="590"/>
      <c r="T55" s="590"/>
      <c r="U55" s="590"/>
      <c r="V55" s="590"/>
      <c r="W55" s="590"/>
      <c r="X55" s="590"/>
      <c r="Y55" s="590"/>
      <c r="Z55" s="590"/>
    </row>
    <row r="56" spans="1:26" ht="40.5" customHeight="1">
      <c r="A56" s="574"/>
      <c r="B56" s="595" t="s">
        <v>578</v>
      </c>
      <c r="C56" s="1069" t="s">
        <v>798</v>
      </c>
      <c r="D56" s="1009"/>
      <c r="E56" s="1009"/>
      <c r="F56" s="1009"/>
      <c r="G56" s="1009"/>
      <c r="H56" s="1009"/>
      <c r="I56" s="1010"/>
      <c r="J56" s="625">
        <f>ROUND(((J54+J55)/25)*5,2)</f>
        <v>0</v>
      </c>
      <c r="K56" s="626"/>
      <c r="L56" s="590"/>
      <c r="M56" s="590"/>
      <c r="N56" s="590"/>
      <c r="O56" s="590"/>
      <c r="P56" s="590"/>
      <c r="Q56" s="590"/>
      <c r="R56" s="590"/>
      <c r="S56" s="590"/>
      <c r="T56" s="590"/>
      <c r="U56" s="590"/>
      <c r="V56" s="590"/>
      <c r="W56" s="590"/>
      <c r="X56" s="590"/>
      <c r="Y56" s="590"/>
      <c r="Z56" s="590"/>
    </row>
    <row r="57" spans="1:26" ht="11.25" customHeight="1">
      <c r="A57" s="574"/>
      <c r="B57" s="595" t="s">
        <v>580</v>
      </c>
      <c r="C57" s="1069" t="s">
        <v>581</v>
      </c>
      <c r="D57" s="1009"/>
      <c r="E57" s="1009"/>
      <c r="F57" s="1009"/>
      <c r="G57" s="1009"/>
      <c r="H57" s="1009"/>
      <c r="I57" s="1010"/>
      <c r="J57" s="638" t="s">
        <v>527</v>
      </c>
      <c r="K57" s="639"/>
      <c r="L57" s="590"/>
      <c r="M57" s="590"/>
      <c r="N57" s="590"/>
      <c r="O57" s="590"/>
      <c r="P57" s="590"/>
      <c r="Q57" s="590"/>
      <c r="R57" s="590"/>
      <c r="S57" s="590"/>
      <c r="T57" s="590"/>
      <c r="U57" s="590"/>
      <c r="V57" s="590"/>
      <c r="W57" s="590"/>
      <c r="X57" s="590"/>
      <c r="Y57" s="590"/>
      <c r="Z57" s="590"/>
    </row>
    <row r="58" spans="1:26" ht="33.75" customHeight="1">
      <c r="A58" s="574"/>
      <c r="B58" s="1086" t="s">
        <v>582</v>
      </c>
      <c r="C58" s="1009"/>
      <c r="D58" s="1009"/>
      <c r="E58" s="1009"/>
      <c r="F58" s="1009"/>
      <c r="G58" s="1009"/>
      <c r="H58" s="1009"/>
      <c r="I58" s="1010"/>
      <c r="J58" s="640">
        <f>SUM(J47:J57)</f>
        <v>1587.1534545454547</v>
      </c>
      <c r="K58" s="626"/>
      <c r="L58" s="590"/>
      <c r="M58" s="590"/>
      <c r="N58" s="590"/>
      <c r="O58" s="590"/>
      <c r="P58" s="590"/>
      <c r="Q58" s="590"/>
      <c r="R58" s="590"/>
      <c r="S58" s="590"/>
      <c r="T58" s="590"/>
      <c r="U58" s="590"/>
      <c r="V58" s="590"/>
      <c r="W58" s="590"/>
      <c r="X58" s="590"/>
      <c r="Y58" s="590"/>
      <c r="Z58" s="590"/>
    </row>
    <row r="59" spans="1:26" ht="6" customHeight="1">
      <c r="A59" s="574"/>
      <c r="B59" s="641"/>
      <c r="C59" s="1116"/>
      <c r="D59" s="1009"/>
      <c r="E59" s="1009"/>
      <c r="F59" s="1009"/>
      <c r="G59" s="1009"/>
      <c r="H59" s="1009"/>
      <c r="I59" s="1010"/>
      <c r="J59" s="642"/>
      <c r="K59" s="626"/>
      <c r="L59" s="590"/>
      <c r="M59" s="590"/>
      <c r="N59" s="590"/>
      <c r="O59" s="590"/>
      <c r="P59" s="590"/>
      <c r="Q59" s="590"/>
      <c r="R59" s="590"/>
      <c r="S59" s="590"/>
      <c r="T59" s="590"/>
      <c r="U59" s="590"/>
      <c r="V59" s="590"/>
      <c r="W59" s="590"/>
      <c r="X59" s="590"/>
      <c r="Y59" s="590"/>
      <c r="Z59" s="590"/>
    </row>
    <row r="60" spans="1:26" ht="26.25" customHeight="1">
      <c r="A60" s="574"/>
      <c r="B60" s="595" t="s">
        <v>570</v>
      </c>
      <c r="C60" s="1069" t="s">
        <v>799</v>
      </c>
      <c r="D60" s="1009"/>
      <c r="E60" s="1009"/>
      <c r="F60" s="1009"/>
      <c r="G60" s="1009"/>
      <c r="H60" s="1009"/>
      <c r="I60" s="1010"/>
      <c r="J60" s="625">
        <f>ROUND(I34*15*I40*0.5,2)*0</f>
        <v>0</v>
      </c>
      <c r="K60" s="626"/>
      <c r="L60" s="590"/>
      <c r="M60" s="590"/>
      <c r="N60" s="590"/>
      <c r="O60" s="590"/>
      <c r="P60" s="590"/>
      <c r="Q60" s="590"/>
      <c r="R60" s="590"/>
      <c r="S60" s="590"/>
      <c r="T60" s="590"/>
      <c r="U60" s="590"/>
      <c r="V60" s="590"/>
      <c r="W60" s="590"/>
      <c r="X60" s="590"/>
      <c r="Y60" s="590"/>
      <c r="Z60" s="590"/>
    </row>
    <row r="61" spans="1:26" ht="36" customHeight="1">
      <c r="A61" s="574"/>
      <c r="B61" s="1086" t="s">
        <v>800</v>
      </c>
      <c r="C61" s="1009"/>
      <c r="D61" s="1009"/>
      <c r="E61" s="1009"/>
      <c r="F61" s="1009"/>
      <c r="G61" s="1009"/>
      <c r="H61" s="1009"/>
      <c r="I61" s="1010"/>
      <c r="J61" s="640">
        <f>J60</f>
        <v>0</v>
      </c>
      <c r="K61" s="626"/>
      <c r="L61" s="590"/>
      <c r="M61" s="590"/>
      <c r="N61" s="590"/>
      <c r="O61" s="590"/>
      <c r="P61" s="590"/>
      <c r="Q61" s="590"/>
      <c r="R61" s="590"/>
      <c r="S61" s="590"/>
      <c r="T61" s="590"/>
      <c r="U61" s="590"/>
      <c r="V61" s="590"/>
      <c r="W61" s="590"/>
      <c r="X61" s="590"/>
      <c r="Y61" s="590"/>
      <c r="Z61" s="590"/>
    </row>
    <row r="62" spans="1:26" ht="6" customHeight="1">
      <c r="A62" s="574"/>
      <c r="B62" s="1117"/>
      <c r="C62" s="1009"/>
      <c r="D62" s="1009"/>
      <c r="E62" s="1009"/>
      <c r="F62" s="1009"/>
      <c r="G62" s="1009"/>
      <c r="H62" s="1009"/>
      <c r="I62" s="1009"/>
      <c r="J62" s="1010"/>
      <c r="K62" s="592"/>
      <c r="L62" s="590"/>
      <c r="M62" s="590"/>
      <c r="N62" s="590"/>
      <c r="O62" s="590"/>
      <c r="P62" s="590"/>
      <c r="Q62" s="590"/>
      <c r="R62" s="590"/>
      <c r="S62" s="590"/>
      <c r="T62" s="590"/>
      <c r="U62" s="590"/>
      <c r="V62" s="590"/>
      <c r="W62" s="590"/>
      <c r="X62" s="590"/>
      <c r="Y62" s="590"/>
      <c r="Z62" s="590"/>
    </row>
    <row r="63" spans="1:26" ht="48" customHeight="1">
      <c r="A63" s="574"/>
      <c r="B63" s="1086" t="s">
        <v>801</v>
      </c>
      <c r="C63" s="1009"/>
      <c r="D63" s="1009"/>
      <c r="E63" s="1009"/>
      <c r="F63" s="1009"/>
      <c r="G63" s="1009"/>
      <c r="H63" s="1009"/>
      <c r="I63" s="1010"/>
      <c r="J63" s="643">
        <f>J58+J61</f>
        <v>1587.1534545454547</v>
      </c>
      <c r="K63" s="644"/>
      <c r="L63" s="590"/>
      <c r="M63" s="590"/>
      <c r="N63" s="590"/>
      <c r="O63" s="590"/>
      <c r="P63" s="590"/>
      <c r="Q63" s="590"/>
      <c r="R63" s="590"/>
      <c r="S63" s="590"/>
      <c r="T63" s="590"/>
      <c r="U63" s="590"/>
      <c r="V63" s="590"/>
      <c r="W63" s="590"/>
      <c r="X63" s="590"/>
      <c r="Y63" s="590"/>
      <c r="Z63" s="590"/>
    </row>
    <row r="64" spans="1:26" ht="6" customHeight="1">
      <c r="A64" s="574"/>
      <c r="B64" s="1116"/>
      <c r="C64" s="1009"/>
      <c r="D64" s="1009"/>
      <c r="E64" s="1009"/>
      <c r="F64" s="1009"/>
      <c r="G64" s="1009"/>
      <c r="H64" s="1009"/>
      <c r="I64" s="1009"/>
      <c r="J64" s="1010"/>
      <c r="K64" s="645"/>
      <c r="L64" s="590"/>
      <c r="M64" s="590"/>
      <c r="N64" s="590"/>
      <c r="O64" s="590"/>
      <c r="P64" s="590"/>
      <c r="Q64" s="590"/>
      <c r="R64" s="590"/>
      <c r="S64" s="590"/>
      <c r="T64" s="590"/>
      <c r="U64" s="590"/>
      <c r="V64" s="590"/>
      <c r="W64" s="590"/>
      <c r="X64" s="590"/>
      <c r="Y64" s="590"/>
      <c r="Z64" s="590"/>
    </row>
    <row r="65" spans="1:26" ht="16.5" customHeight="1">
      <c r="A65" s="574"/>
      <c r="B65" s="1111" t="s">
        <v>586</v>
      </c>
      <c r="C65" s="1009"/>
      <c r="D65" s="1009"/>
      <c r="E65" s="1009"/>
      <c r="F65" s="1009"/>
      <c r="G65" s="1009"/>
      <c r="H65" s="1009"/>
      <c r="I65" s="1009"/>
      <c r="J65" s="1010"/>
      <c r="K65" s="619"/>
      <c r="L65" s="590"/>
      <c r="M65" s="590"/>
      <c r="N65" s="590"/>
      <c r="O65" s="590"/>
      <c r="P65" s="590"/>
      <c r="Q65" s="590"/>
      <c r="R65" s="590"/>
      <c r="S65" s="590"/>
      <c r="T65" s="590"/>
      <c r="U65" s="590"/>
      <c r="V65" s="590"/>
      <c r="W65" s="590"/>
      <c r="X65" s="590"/>
      <c r="Y65" s="590"/>
      <c r="Z65" s="590"/>
    </row>
    <row r="66" spans="1:26" ht="6" customHeight="1">
      <c r="A66" s="574"/>
      <c r="B66" s="1116"/>
      <c r="C66" s="1009"/>
      <c r="D66" s="1009"/>
      <c r="E66" s="1009"/>
      <c r="F66" s="1009"/>
      <c r="G66" s="1009"/>
      <c r="H66" s="1009"/>
      <c r="I66" s="1009"/>
      <c r="J66" s="1010"/>
      <c r="K66" s="645"/>
      <c r="L66" s="590"/>
      <c r="M66" s="590"/>
      <c r="N66" s="590"/>
      <c r="O66" s="590"/>
      <c r="P66" s="590"/>
      <c r="Q66" s="590"/>
      <c r="R66" s="590"/>
      <c r="S66" s="590"/>
      <c r="T66" s="590"/>
      <c r="U66" s="590"/>
      <c r="V66" s="590"/>
      <c r="W66" s="590"/>
      <c r="X66" s="590"/>
      <c r="Y66" s="590"/>
      <c r="Z66" s="590"/>
    </row>
    <row r="67" spans="1:26" ht="33" customHeight="1">
      <c r="A67" s="574"/>
      <c r="B67" s="1096" t="s">
        <v>587</v>
      </c>
      <c r="C67" s="1009"/>
      <c r="D67" s="1009"/>
      <c r="E67" s="1009"/>
      <c r="F67" s="1009"/>
      <c r="G67" s="1009"/>
      <c r="H67" s="1009"/>
      <c r="I67" s="1009"/>
      <c r="J67" s="1010"/>
      <c r="K67" s="646"/>
      <c r="L67" s="590"/>
      <c r="M67" s="590"/>
      <c r="N67" s="590"/>
      <c r="O67" s="590"/>
      <c r="P67" s="590"/>
      <c r="Q67" s="590"/>
      <c r="R67" s="590"/>
      <c r="S67" s="590"/>
      <c r="T67" s="590"/>
      <c r="U67" s="590"/>
      <c r="V67" s="590"/>
      <c r="W67" s="590"/>
      <c r="X67" s="590"/>
      <c r="Y67" s="590"/>
      <c r="Z67" s="590"/>
    </row>
    <row r="68" spans="1:26" ht="18" customHeight="1">
      <c r="A68" s="574"/>
      <c r="B68" s="1112" t="s">
        <v>802</v>
      </c>
      <c r="C68" s="1009"/>
      <c r="D68" s="1009"/>
      <c r="E68" s="1009"/>
      <c r="F68" s="1009"/>
      <c r="G68" s="1009"/>
      <c r="H68" s="1009"/>
      <c r="I68" s="1009"/>
      <c r="J68" s="1010"/>
      <c r="K68" s="646"/>
      <c r="L68" s="590"/>
      <c r="M68" s="590"/>
      <c r="N68" s="590"/>
      <c r="O68" s="590"/>
      <c r="P68" s="590"/>
      <c r="Q68" s="590"/>
      <c r="R68" s="590"/>
      <c r="S68" s="590"/>
      <c r="T68" s="590"/>
      <c r="U68" s="590"/>
      <c r="V68" s="590"/>
      <c r="W68" s="590"/>
      <c r="X68" s="590"/>
      <c r="Y68" s="590"/>
      <c r="Z68" s="590"/>
    </row>
    <row r="69" spans="1:26" ht="11.25" customHeight="1">
      <c r="A69" s="574"/>
      <c r="B69" s="647" t="s">
        <v>589</v>
      </c>
      <c r="C69" s="1113" t="s">
        <v>803</v>
      </c>
      <c r="D69" s="1009"/>
      <c r="E69" s="1009"/>
      <c r="F69" s="1009"/>
      <c r="G69" s="1009"/>
      <c r="H69" s="1009"/>
      <c r="I69" s="1010"/>
      <c r="J69" s="604" t="s">
        <v>591</v>
      </c>
      <c r="K69" s="487"/>
      <c r="L69" s="590"/>
      <c r="M69" s="590"/>
      <c r="N69" s="590"/>
      <c r="O69" s="590"/>
      <c r="P69" s="590"/>
      <c r="Q69" s="590"/>
      <c r="R69" s="590"/>
      <c r="S69" s="590"/>
      <c r="T69" s="590"/>
      <c r="U69" s="590"/>
      <c r="V69" s="590"/>
      <c r="W69" s="590"/>
      <c r="X69" s="590"/>
      <c r="Y69" s="590"/>
      <c r="Z69" s="590"/>
    </row>
    <row r="70" spans="1:26" ht="31.5" customHeight="1">
      <c r="A70" s="574"/>
      <c r="B70" s="647" t="s">
        <v>514</v>
      </c>
      <c r="C70" s="1108" t="s">
        <v>804</v>
      </c>
      <c r="D70" s="1009"/>
      <c r="E70" s="1009"/>
      <c r="F70" s="1009"/>
      <c r="G70" s="1009"/>
      <c r="H70" s="1010"/>
      <c r="I70" s="648">
        <v>8.3299999999999999E-2</v>
      </c>
      <c r="J70" s="649">
        <f>ROUND(J58*I70,2)</f>
        <v>132.21</v>
      </c>
      <c r="K70" s="650"/>
      <c r="L70" s="590"/>
      <c r="M70" s="590"/>
      <c r="N70" s="590"/>
      <c r="O70" s="590"/>
      <c r="P70" s="590"/>
      <c r="Q70" s="590"/>
      <c r="R70" s="590"/>
      <c r="S70" s="590"/>
      <c r="T70" s="590"/>
      <c r="U70" s="590"/>
      <c r="V70" s="590"/>
      <c r="W70" s="590"/>
      <c r="X70" s="590"/>
      <c r="Y70" s="590"/>
      <c r="Z70" s="590"/>
    </row>
    <row r="71" spans="1:26" ht="95.25" customHeight="1">
      <c r="A71" s="574"/>
      <c r="B71" s="647" t="s">
        <v>516</v>
      </c>
      <c r="C71" s="1114" t="s">
        <v>805</v>
      </c>
      <c r="D71" s="1009"/>
      <c r="E71" s="1009"/>
      <c r="F71" s="1009"/>
      <c r="G71" s="1009"/>
      <c r="H71" s="1010"/>
      <c r="I71" s="651">
        <v>3.0249999999999999E-2</v>
      </c>
      <c r="J71" s="649">
        <f>ROUND(J58*I71,2)</f>
        <v>48.01</v>
      </c>
      <c r="K71" s="650"/>
      <c r="L71" s="590"/>
      <c r="M71" s="590"/>
      <c r="N71" s="590"/>
      <c r="O71" s="590"/>
      <c r="P71" s="590"/>
      <c r="Q71" s="590"/>
      <c r="R71" s="590"/>
      <c r="S71" s="590"/>
      <c r="T71" s="590"/>
      <c r="U71" s="590"/>
      <c r="V71" s="590"/>
      <c r="W71" s="590"/>
      <c r="X71" s="590"/>
      <c r="Y71" s="590"/>
      <c r="Z71" s="590"/>
    </row>
    <row r="72" spans="1:26" ht="11.25" customHeight="1">
      <c r="A72" s="574"/>
      <c r="B72" s="1094" t="s">
        <v>594</v>
      </c>
      <c r="C72" s="1009"/>
      <c r="D72" s="1009"/>
      <c r="E72" s="1009"/>
      <c r="F72" s="1009"/>
      <c r="G72" s="1009"/>
      <c r="H72" s="1009"/>
      <c r="I72" s="1010"/>
      <c r="J72" s="652">
        <f>SUM(J70+J71)</f>
        <v>180.22</v>
      </c>
      <c r="K72" s="653"/>
      <c r="L72" s="590"/>
      <c r="M72" s="590"/>
      <c r="N72" s="590"/>
      <c r="O72" s="590"/>
      <c r="P72" s="590"/>
      <c r="Q72" s="590"/>
      <c r="R72" s="590"/>
      <c r="S72" s="590"/>
      <c r="T72" s="590"/>
      <c r="U72" s="590"/>
      <c r="V72" s="590"/>
      <c r="W72" s="590"/>
      <c r="X72" s="590"/>
      <c r="Y72" s="590"/>
      <c r="Z72" s="590"/>
    </row>
    <row r="73" spans="1:26" ht="6.75" customHeight="1">
      <c r="A73" s="574"/>
      <c r="B73" s="1095"/>
      <c r="C73" s="1009"/>
      <c r="D73" s="1009"/>
      <c r="E73" s="1009"/>
      <c r="F73" s="1009"/>
      <c r="G73" s="1009"/>
      <c r="H73" s="1009"/>
      <c r="I73" s="1009"/>
      <c r="J73" s="1010"/>
      <c r="K73" s="654"/>
      <c r="L73" s="590"/>
      <c r="M73" s="590"/>
      <c r="N73" s="590"/>
      <c r="O73" s="590"/>
      <c r="P73" s="590"/>
      <c r="Q73" s="590"/>
      <c r="R73" s="590"/>
      <c r="S73" s="590"/>
      <c r="T73" s="590"/>
      <c r="U73" s="590"/>
      <c r="V73" s="590"/>
      <c r="W73" s="590"/>
      <c r="X73" s="590"/>
      <c r="Y73" s="590"/>
      <c r="Z73" s="590"/>
    </row>
    <row r="74" spans="1:26" ht="90" customHeight="1">
      <c r="A74" s="574"/>
      <c r="B74" s="1111" t="s">
        <v>806</v>
      </c>
      <c r="C74" s="1009"/>
      <c r="D74" s="1009"/>
      <c r="E74" s="1009"/>
      <c r="F74" s="1009"/>
      <c r="G74" s="1009"/>
      <c r="H74" s="1009"/>
      <c r="I74" s="1009"/>
      <c r="J74" s="1010"/>
      <c r="K74" s="619"/>
      <c r="L74" s="590"/>
      <c r="M74" s="590"/>
      <c r="N74" s="590"/>
      <c r="O74" s="590"/>
      <c r="P74" s="590"/>
      <c r="Q74" s="590"/>
      <c r="R74" s="590"/>
      <c r="S74" s="590"/>
      <c r="T74" s="590"/>
      <c r="U74" s="590"/>
      <c r="V74" s="590"/>
      <c r="W74" s="590"/>
      <c r="X74" s="590"/>
      <c r="Y74" s="590"/>
      <c r="Z74" s="590"/>
    </row>
    <row r="75" spans="1:26" ht="6.75" customHeight="1">
      <c r="A75" s="574"/>
      <c r="B75" s="1115"/>
      <c r="C75" s="1009"/>
      <c r="D75" s="1009"/>
      <c r="E75" s="1009"/>
      <c r="F75" s="1009"/>
      <c r="G75" s="1009"/>
      <c r="H75" s="1009"/>
      <c r="I75" s="1009"/>
      <c r="J75" s="1010"/>
      <c r="K75" s="619"/>
      <c r="L75" s="590"/>
      <c r="M75" s="590"/>
      <c r="N75" s="590"/>
      <c r="O75" s="590"/>
      <c r="P75" s="590"/>
      <c r="Q75" s="590"/>
      <c r="R75" s="590"/>
      <c r="S75" s="590"/>
      <c r="T75" s="590"/>
      <c r="U75" s="590"/>
      <c r="V75" s="590"/>
      <c r="W75" s="590"/>
      <c r="X75" s="590"/>
      <c r="Y75" s="590"/>
      <c r="Z75" s="590"/>
    </row>
    <row r="76" spans="1:26" ht="28.5" customHeight="1">
      <c r="A76" s="574"/>
      <c r="B76" s="1108" t="s">
        <v>807</v>
      </c>
      <c r="C76" s="1009"/>
      <c r="D76" s="1009"/>
      <c r="E76" s="1009"/>
      <c r="F76" s="1009"/>
      <c r="G76" s="1009"/>
      <c r="H76" s="1009"/>
      <c r="I76" s="1009"/>
      <c r="J76" s="1010"/>
      <c r="K76" s="655"/>
      <c r="L76" s="590"/>
      <c r="M76" s="590"/>
      <c r="N76" s="590"/>
      <c r="O76" s="590"/>
      <c r="P76" s="590"/>
      <c r="Q76" s="590"/>
      <c r="R76" s="590"/>
      <c r="S76" s="590"/>
      <c r="T76" s="590"/>
      <c r="U76" s="590"/>
      <c r="V76" s="590"/>
      <c r="W76" s="590"/>
      <c r="X76" s="590"/>
      <c r="Y76" s="590"/>
      <c r="Z76" s="590"/>
    </row>
    <row r="77" spans="1:26" ht="11.25" customHeight="1">
      <c r="A77" s="574"/>
      <c r="B77" s="656" t="s">
        <v>597</v>
      </c>
      <c r="C77" s="1165" t="s">
        <v>598</v>
      </c>
      <c r="D77" s="1009"/>
      <c r="E77" s="1009"/>
      <c r="F77" s="1009"/>
      <c r="G77" s="1009"/>
      <c r="H77" s="1010"/>
      <c r="I77" s="657" t="s">
        <v>556</v>
      </c>
      <c r="J77" s="657" t="s">
        <v>599</v>
      </c>
      <c r="K77" s="487"/>
      <c r="L77" s="590"/>
      <c r="M77" s="590"/>
      <c r="N77" s="590"/>
      <c r="O77" s="590"/>
      <c r="P77" s="590"/>
      <c r="Q77" s="590"/>
      <c r="R77" s="590"/>
      <c r="S77" s="590"/>
      <c r="T77" s="590"/>
      <c r="U77" s="590"/>
      <c r="V77" s="590"/>
      <c r="W77" s="590"/>
      <c r="X77" s="590"/>
      <c r="Y77" s="590"/>
      <c r="Z77" s="590"/>
    </row>
    <row r="78" spans="1:26" ht="11.25" customHeight="1">
      <c r="A78" s="574"/>
      <c r="B78" s="658" t="s">
        <v>514</v>
      </c>
      <c r="C78" s="1069" t="s">
        <v>600</v>
      </c>
      <c r="D78" s="1009"/>
      <c r="E78" s="1009"/>
      <c r="F78" s="1009"/>
      <c r="G78" s="1009"/>
      <c r="H78" s="1010"/>
      <c r="I78" s="659">
        <v>0.2</v>
      </c>
      <c r="J78" s="660">
        <f>ROUND((J58+J72)*I78,2)</f>
        <v>353.47</v>
      </c>
      <c r="K78" s="653"/>
      <c r="L78" s="590"/>
      <c r="M78" s="590"/>
      <c r="N78" s="590"/>
      <c r="O78" s="590"/>
      <c r="P78" s="590"/>
      <c r="Q78" s="590"/>
      <c r="R78" s="590"/>
      <c r="S78" s="590"/>
      <c r="T78" s="590"/>
      <c r="U78" s="590"/>
      <c r="V78" s="590"/>
      <c r="W78" s="590"/>
      <c r="X78" s="590"/>
      <c r="Y78" s="590"/>
      <c r="Z78" s="590"/>
    </row>
    <row r="79" spans="1:26" ht="11.25" customHeight="1">
      <c r="A79" s="574"/>
      <c r="B79" s="658" t="s">
        <v>516</v>
      </c>
      <c r="C79" s="1069" t="s">
        <v>601</v>
      </c>
      <c r="D79" s="1009"/>
      <c r="E79" s="1009"/>
      <c r="F79" s="1009"/>
      <c r="G79" s="1009"/>
      <c r="H79" s="1010"/>
      <c r="I79" s="659">
        <v>2.5000000000000001E-2</v>
      </c>
      <c r="J79" s="660">
        <f>ROUND((J58+J72)*I79,2)</f>
        <v>44.18</v>
      </c>
      <c r="K79" s="653"/>
      <c r="L79" s="590"/>
      <c r="M79" s="590"/>
      <c r="N79" s="590"/>
      <c r="O79" s="590"/>
      <c r="P79" s="590"/>
      <c r="Q79" s="590"/>
      <c r="R79" s="590"/>
      <c r="S79" s="590"/>
      <c r="T79" s="590"/>
      <c r="U79" s="590"/>
      <c r="V79" s="590"/>
      <c r="W79" s="590"/>
      <c r="X79" s="590"/>
      <c r="Y79" s="590"/>
      <c r="Z79" s="590"/>
    </row>
    <row r="80" spans="1:26" ht="48.75" customHeight="1">
      <c r="A80" s="574"/>
      <c r="B80" s="658" t="s">
        <v>518</v>
      </c>
      <c r="C80" s="1069" t="s">
        <v>808</v>
      </c>
      <c r="D80" s="1010"/>
      <c r="E80" s="597" t="s">
        <v>603</v>
      </c>
      <c r="F80" s="661">
        <f>'1-ABA-DE-CARREGAMENTO'!E57</f>
        <v>0.03</v>
      </c>
      <c r="G80" s="597" t="s">
        <v>604</v>
      </c>
      <c r="H80" s="662">
        <f>'1-ABA-DE-CARREGAMENTO'!E58</f>
        <v>1</v>
      </c>
      <c r="I80" s="663">
        <f>ROUND((F80*H80),6)</f>
        <v>0.03</v>
      </c>
      <c r="J80" s="660">
        <f>ROUND((J58+J72)*I80,2)</f>
        <v>53.02</v>
      </c>
      <c r="K80" s="653"/>
      <c r="L80" s="590"/>
      <c r="M80" s="590"/>
      <c r="N80" s="590"/>
      <c r="O80" s="590"/>
      <c r="P80" s="590"/>
      <c r="Q80" s="590"/>
      <c r="R80" s="590"/>
      <c r="S80" s="590"/>
      <c r="T80" s="590"/>
      <c r="U80" s="590"/>
      <c r="V80" s="590"/>
      <c r="W80" s="590"/>
      <c r="X80" s="590"/>
      <c r="Y80" s="590"/>
      <c r="Z80" s="590"/>
    </row>
    <row r="81" spans="1:26" ht="11.25" customHeight="1">
      <c r="A81" s="574"/>
      <c r="B81" s="658" t="s">
        <v>520</v>
      </c>
      <c r="C81" s="1069" t="s">
        <v>605</v>
      </c>
      <c r="D81" s="1009"/>
      <c r="E81" s="1009"/>
      <c r="F81" s="1009"/>
      <c r="G81" s="1009"/>
      <c r="H81" s="1010"/>
      <c r="I81" s="659">
        <v>1.4999999999999999E-2</v>
      </c>
      <c r="J81" s="660">
        <f>ROUND((J58+J72)*I81,2)</f>
        <v>26.51</v>
      </c>
      <c r="K81" s="653"/>
      <c r="L81" s="590"/>
      <c r="M81" s="590"/>
      <c r="N81" s="590"/>
      <c r="O81" s="590"/>
      <c r="P81" s="590"/>
      <c r="Q81" s="590"/>
      <c r="R81" s="590"/>
      <c r="S81" s="590"/>
      <c r="T81" s="590"/>
      <c r="U81" s="590"/>
      <c r="V81" s="590"/>
      <c r="W81" s="590"/>
      <c r="X81" s="590"/>
      <c r="Y81" s="590"/>
      <c r="Z81" s="590"/>
    </row>
    <row r="82" spans="1:26" ht="11.25" customHeight="1">
      <c r="A82" s="574"/>
      <c r="B82" s="658" t="s">
        <v>562</v>
      </c>
      <c r="C82" s="1069" t="s">
        <v>606</v>
      </c>
      <c r="D82" s="1009"/>
      <c r="E82" s="1009"/>
      <c r="F82" s="1009"/>
      <c r="G82" s="1009"/>
      <c r="H82" s="1010"/>
      <c r="I82" s="659">
        <v>0.01</v>
      </c>
      <c r="J82" s="660">
        <f>ROUND((J58+J72)*I82,2)</f>
        <v>17.670000000000002</v>
      </c>
      <c r="K82" s="653"/>
      <c r="L82" s="590"/>
      <c r="M82" s="590"/>
      <c r="N82" s="590"/>
      <c r="O82" s="590"/>
      <c r="P82" s="590"/>
      <c r="Q82" s="590"/>
      <c r="R82" s="590"/>
      <c r="S82" s="590"/>
      <c r="T82" s="590"/>
      <c r="U82" s="590"/>
      <c r="V82" s="590"/>
      <c r="W82" s="590"/>
      <c r="X82" s="590"/>
      <c r="Y82" s="590"/>
      <c r="Z82" s="590"/>
    </row>
    <row r="83" spans="1:26" ht="11.25" customHeight="1">
      <c r="A83" s="574"/>
      <c r="B83" s="658" t="s">
        <v>566</v>
      </c>
      <c r="C83" s="1069" t="s">
        <v>607</v>
      </c>
      <c r="D83" s="1009"/>
      <c r="E83" s="1009"/>
      <c r="F83" s="1009"/>
      <c r="G83" s="1009"/>
      <c r="H83" s="1010"/>
      <c r="I83" s="659">
        <v>6.0000000000000001E-3</v>
      </c>
      <c r="J83" s="660">
        <f>ROUND((J58+J72)*I83,2)</f>
        <v>10.6</v>
      </c>
      <c r="K83" s="653"/>
      <c r="L83" s="590"/>
      <c r="M83" s="590"/>
      <c r="N83" s="590"/>
      <c r="O83" s="590"/>
      <c r="P83" s="590"/>
      <c r="Q83" s="590"/>
      <c r="R83" s="590"/>
      <c r="S83" s="590"/>
      <c r="T83" s="590"/>
      <c r="U83" s="590"/>
      <c r="V83" s="590"/>
      <c r="W83" s="590"/>
      <c r="X83" s="590"/>
      <c r="Y83" s="590"/>
      <c r="Z83" s="590"/>
    </row>
    <row r="84" spans="1:26" ht="11.25" customHeight="1">
      <c r="A84" s="574"/>
      <c r="B84" s="658" t="s">
        <v>568</v>
      </c>
      <c r="C84" s="1069" t="s">
        <v>608</v>
      </c>
      <c r="D84" s="1009"/>
      <c r="E84" s="1009"/>
      <c r="F84" s="1009"/>
      <c r="G84" s="1009"/>
      <c r="H84" s="1010"/>
      <c r="I84" s="659">
        <v>2E-3</v>
      </c>
      <c r="J84" s="660">
        <f>ROUND((J58+J72)*I84,2)</f>
        <v>3.53</v>
      </c>
      <c r="K84" s="653"/>
      <c r="L84" s="590"/>
      <c r="M84" s="590"/>
      <c r="N84" s="590"/>
      <c r="O84" s="590"/>
      <c r="P84" s="590"/>
      <c r="Q84" s="590"/>
      <c r="R84" s="590"/>
      <c r="S84" s="590"/>
      <c r="T84" s="590"/>
      <c r="U84" s="590"/>
      <c r="V84" s="590"/>
      <c r="W84" s="590"/>
      <c r="X84" s="590"/>
      <c r="Y84" s="590"/>
      <c r="Z84" s="590"/>
    </row>
    <row r="85" spans="1:26" ht="11.25" customHeight="1">
      <c r="A85" s="574"/>
      <c r="B85" s="658" t="s">
        <v>570</v>
      </c>
      <c r="C85" s="1069" t="s">
        <v>609</v>
      </c>
      <c r="D85" s="1009"/>
      <c r="E85" s="1009"/>
      <c r="F85" s="1009"/>
      <c r="G85" s="1009"/>
      <c r="H85" s="1010"/>
      <c r="I85" s="659">
        <v>0.08</v>
      </c>
      <c r="J85" s="660">
        <f>ROUND((J58+J72)*I85,2)</f>
        <v>141.38999999999999</v>
      </c>
      <c r="K85" s="653"/>
      <c r="L85" s="590"/>
      <c r="M85" s="590"/>
      <c r="N85" s="590"/>
      <c r="O85" s="590"/>
      <c r="P85" s="590"/>
      <c r="Q85" s="590"/>
      <c r="R85" s="590"/>
      <c r="S85" s="590"/>
      <c r="T85" s="590"/>
      <c r="U85" s="590"/>
      <c r="V85" s="590"/>
      <c r="W85" s="590"/>
      <c r="X85" s="590"/>
      <c r="Y85" s="590"/>
      <c r="Z85" s="590"/>
    </row>
    <row r="86" spans="1:26" ht="11.25" customHeight="1">
      <c r="A86" s="574"/>
      <c r="B86" s="1089" t="s">
        <v>594</v>
      </c>
      <c r="C86" s="1009"/>
      <c r="D86" s="1009"/>
      <c r="E86" s="1009"/>
      <c r="F86" s="1009"/>
      <c r="G86" s="1009"/>
      <c r="H86" s="1010"/>
      <c r="I86" s="664">
        <f t="shared" ref="I86:J86" si="2">SUM(I78:I85)</f>
        <v>0.36800000000000005</v>
      </c>
      <c r="J86" s="652">
        <f t="shared" si="2"/>
        <v>650.37</v>
      </c>
      <c r="K86" s="653"/>
      <c r="L86" s="590"/>
      <c r="M86" s="590"/>
      <c r="N86" s="590"/>
      <c r="O86" s="590"/>
      <c r="P86" s="590"/>
      <c r="Q86" s="590"/>
      <c r="R86" s="590"/>
      <c r="S86" s="590"/>
      <c r="T86" s="590"/>
      <c r="U86" s="590"/>
      <c r="V86" s="590"/>
      <c r="W86" s="590"/>
      <c r="X86" s="590"/>
      <c r="Y86" s="590"/>
      <c r="Z86" s="590"/>
    </row>
    <row r="87" spans="1:26" ht="6.75" customHeight="1">
      <c r="A87" s="574"/>
      <c r="B87" s="665"/>
      <c r="C87" s="666"/>
      <c r="D87" s="666"/>
      <c r="E87" s="666"/>
      <c r="F87" s="666"/>
      <c r="G87" s="666"/>
      <c r="H87" s="666"/>
      <c r="I87" s="667"/>
      <c r="J87" s="668"/>
      <c r="K87" s="653"/>
      <c r="L87" s="590"/>
      <c r="M87" s="590"/>
      <c r="N87" s="590"/>
      <c r="O87" s="590"/>
      <c r="P87" s="590"/>
      <c r="Q87" s="590"/>
      <c r="R87" s="590"/>
      <c r="S87" s="590"/>
      <c r="T87" s="590"/>
      <c r="U87" s="590"/>
      <c r="V87" s="590"/>
      <c r="W87" s="590"/>
      <c r="X87" s="590"/>
      <c r="Y87" s="590"/>
      <c r="Z87" s="590"/>
    </row>
    <row r="88" spans="1:26" ht="23.25" customHeight="1">
      <c r="A88" s="574"/>
      <c r="B88" s="1111" t="s">
        <v>610</v>
      </c>
      <c r="C88" s="1009"/>
      <c r="D88" s="1009"/>
      <c r="E88" s="1009"/>
      <c r="F88" s="1009"/>
      <c r="G88" s="1009"/>
      <c r="H88" s="1009"/>
      <c r="I88" s="1009"/>
      <c r="J88" s="1010"/>
      <c r="K88" s="619"/>
      <c r="L88" s="590"/>
      <c r="M88" s="590"/>
      <c r="N88" s="590"/>
      <c r="O88" s="590"/>
      <c r="P88" s="590"/>
      <c r="Q88" s="590"/>
      <c r="R88" s="590"/>
      <c r="S88" s="590"/>
      <c r="T88" s="590"/>
      <c r="U88" s="590"/>
      <c r="V88" s="590"/>
      <c r="W88" s="590"/>
      <c r="X88" s="590"/>
      <c r="Y88" s="590"/>
      <c r="Z88" s="590"/>
    </row>
    <row r="89" spans="1:26" ht="7.5" customHeight="1">
      <c r="A89" s="574"/>
      <c r="B89" s="1122"/>
      <c r="C89" s="1009"/>
      <c r="D89" s="1009"/>
      <c r="E89" s="1009"/>
      <c r="F89" s="1009"/>
      <c r="G89" s="1009"/>
      <c r="H89" s="1009"/>
      <c r="I89" s="1009"/>
      <c r="J89" s="1010"/>
      <c r="K89" s="601"/>
      <c r="L89" s="590"/>
      <c r="M89" s="590"/>
      <c r="N89" s="590"/>
      <c r="O89" s="590"/>
      <c r="P89" s="590"/>
      <c r="Q89" s="590"/>
      <c r="R89" s="590"/>
      <c r="S89" s="590"/>
      <c r="T89" s="590"/>
      <c r="U89" s="590"/>
      <c r="V89" s="590"/>
      <c r="W89" s="590"/>
      <c r="X89" s="590"/>
      <c r="Y89" s="590"/>
      <c r="Z89" s="590"/>
    </row>
    <row r="90" spans="1:26" ht="19.5" customHeight="1">
      <c r="A90" s="574"/>
      <c r="B90" s="1096" t="s">
        <v>611</v>
      </c>
      <c r="C90" s="1009"/>
      <c r="D90" s="1009"/>
      <c r="E90" s="1009"/>
      <c r="F90" s="1009"/>
      <c r="G90" s="1009"/>
      <c r="H90" s="1009"/>
      <c r="I90" s="1009"/>
      <c r="J90" s="1010"/>
      <c r="K90" s="646"/>
      <c r="L90" s="590"/>
      <c r="M90" s="590"/>
      <c r="N90" s="590"/>
      <c r="O90" s="590"/>
      <c r="P90" s="590"/>
      <c r="Q90" s="590"/>
      <c r="R90" s="590"/>
      <c r="S90" s="590"/>
      <c r="T90" s="590"/>
      <c r="U90" s="590"/>
      <c r="V90" s="590"/>
      <c r="W90" s="590"/>
      <c r="X90" s="590"/>
      <c r="Y90" s="590"/>
      <c r="Z90" s="590"/>
    </row>
    <row r="91" spans="1:26" ht="21" customHeight="1">
      <c r="A91" s="574"/>
      <c r="B91" s="669" t="s">
        <v>612</v>
      </c>
      <c r="C91" s="1083" t="s">
        <v>613</v>
      </c>
      <c r="D91" s="1009"/>
      <c r="E91" s="1009"/>
      <c r="F91" s="1009"/>
      <c r="G91" s="1009"/>
      <c r="H91" s="1009"/>
      <c r="I91" s="1010"/>
      <c r="J91" s="670" t="s">
        <v>591</v>
      </c>
      <c r="K91" s="592"/>
      <c r="L91" s="590"/>
      <c r="M91" s="590"/>
      <c r="N91" s="590"/>
      <c r="O91" s="590"/>
      <c r="P91" s="590"/>
      <c r="Q91" s="590"/>
      <c r="R91" s="590"/>
      <c r="S91" s="590"/>
      <c r="T91" s="590"/>
      <c r="U91" s="590"/>
      <c r="V91" s="590"/>
      <c r="W91" s="590"/>
      <c r="X91" s="590"/>
      <c r="Y91" s="590"/>
      <c r="Z91" s="590"/>
    </row>
    <row r="92" spans="1:26" ht="12.75" customHeight="1">
      <c r="A92" s="574"/>
      <c r="B92" s="671" t="s">
        <v>514</v>
      </c>
      <c r="C92" s="1069" t="s">
        <v>809</v>
      </c>
      <c r="D92" s="1009"/>
      <c r="E92" s="1009"/>
      <c r="F92" s="1009"/>
      <c r="G92" s="1009"/>
      <c r="H92" s="1010"/>
      <c r="I92" s="672">
        <f>J47</f>
        <v>1300.9454545454546</v>
      </c>
      <c r="J92" s="673">
        <f>IF(ROUND((I93*I94*I95)-(I92*H96),2)&lt;0,0,ROUND((I93*I94*I95)-(I92*H96),2))</f>
        <v>62.74</v>
      </c>
      <c r="K92" s="653"/>
      <c r="L92" s="590"/>
      <c r="M92" s="590"/>
      <c r="N92" s="590"/>
      <c r="O92" s="590"/>
      <c r="P92" s="590"/>
      <c r="Q92" s="590"/>
      <c r="R92" s="590"/>
      <c r="S92" s="590"/>
      <c r="T92" s="590"/>
      <c r="U92" s="590"/>
      <c r="V92" s="590"/>
      <c r="W92" s="590"/>
      <c r="X92" s="590"/>
      <c r="Y92" s="590"/>
      <c r="Z92" s="590"/>
    </row>
    <row r="93" spans="1:26" ht="24.75" customHeight="1">
      <c r="A93" s="574"/>
      <c r="B93" s="671" t="s">
        <v>516</v>
      </c>
      <c r="C93" s="1069" t="s">
        <v>810</v>
      </c>
      <c r="D93" s="1009"/>
      <c r="E93" s="1009"/>
      <c r="F93" s="1009"/>
      <c r="G93" s="1009"/>
      <c r="H93" s="1009"/>
      <c r="I93" s="674">
        <f>'1-ABA-DE-CARREGAMENTO'!E72</f>
        <v>3.2</v>
      </c>
      <c r="J93" s="675" t="s">
        <v>527</v>
      </c>
      <c r="K93" s="639"/>
      <c r="L93" s="590"/>
      <c r="M93" s="590"/>
      <c r="N93" s="590"/>
      <c r="O93" s="590"/>
      <c r="P93" s="590"/>
      <c r="Q93" s="590"/>
      <c r="R93" s="590"/>
      <c r="S93" s="590"/>
      <c r="T93" s="590"/>
      <c r="U93" s="590"/>
      <c r="V93" s="590"/>
      <c r="W93" s="590"/>
      <c r="X93" s="590"/>
      <c r="Y93" s="590"/>
      <c r="Z93" s="590"/>
    </row>
    <row r="94" spans="1:26" ht="11.25" customHeight="1">
      <c r="A94" s="574"/>
      <c r="B94" s="671" t="s">
        <v>518</v>
      </c>
      <c r="C94" s="1069" t="s">
        <v>811</v>
      </c>
      <c r="D94" s="1009"/>
      <c r="E94" s="1009"/>
      <c r="F94" s="1009"/>
      <c r="G94" s="1009"/>
      <c r="H94" s="1010"/>
      <c r="I94" s="753">
        <f>'1-ABA-DE-CARREGAMENTO'!E73</f>
        <v>2</v>
      </c>
      <c r="J94" s="675" t="s">
        <v>527</v>
      </c>
      <c r="K94" s="639"/>
      <c r="L94" s="590"/>
      <c r="M94" s="590"/>
      <c r="N94" s="590"/>
      <c r="O94" s="590"/>
      <c r="P94" s="590"/>
      <c r="Q94" s="590"/>
      <c r="R94" s="590"/>
      <c r="S94" s="590"/>
      <c r="T94" s="590"/>
      <c r="U94" s="590"/>
      <c r="V94" s="590"/>
      <c r="W94" s="590"/>
      <c r="X94" s="590"/>
      <c r="Y94" s="590"/>
      <c r="Z94" s="590"/>
    </row>
    <row r="95" spans="1:26" ht="11.25" customHeight="1">
      <c r="A95" s="574"/>
      <c r="B95" s="671" t="s">
        <v>520</v>
      </c>
      <c r="C95" s="1125" t="s">
        <v>617</v>
      </c>
      <c r="D95" s="1009"/>
      <c r="E95" s="1009"/>
      <c r="F95" s="1009"/>
      <c r="G95" s="1009"/>
      <c r="H95" s="1010"/>
      <c r="I95" s="753">
        <f>'1-ABA-DE-CARREGAMENTO'!E74</f>
        <v>22</v>
      </c>
      <c r="J95" s="675" t="s">
        <v>527</v>
      </c>
      <c r="K95" s="639"/>
      <c r="L95" s="590"/>
      <c r="M95" s="590"/>
      <c r="N95" s="590"/>
      <c r="O95" s="590"/>
      <c r="P95" s="590"/>
      <c r="Q95" s="590"/>
      <c r="R95" s="590"/>
      <c r="S95" s="590"/>
      <c r="T95" s="590"/>
      <c r="U95" s="590"/>
      <c r="V95" s="590"/>
      <c r="W95" s="590"/>
      <c r="X95" s="590"/>
      <c r="Y95" s="590"/>
      <c r="Z95" s="590"/>
    </row>
    <row r="96" spans="1:26" ht="24" customHeight="1">
      <c r="A96" s="574"/>
      <c r="B96" s="671" t="s">
        <v>562</v>
      </c>
      <c r="C96" s="1125" t="s">
        <v>618</v>
      </c>
      <c r="D96" s="1009"/>
      <c r="E96" s="1009"/>
      <c r="F96" s="1009"/>
      <c r="G96" s="1009"/>
      <c r="H96" s="677">
        <v>0.06</v>
      </c>
      <c r="I96" s="678">
        <f>H96*I92</f>
        <v>78.056727272727272</v>
      </c>
      <c r="J96" s="679" t="s">
        <v>527</v>
      </c>
      <c r="K96" s="639"/>
      <c r="L96" s="590"/>
      <c r="M96" s="590"/>
      <c r="N96" s="590"/>
      <c r="O96" s="590"/>
      <c r="P96" s="590"/>
      <c r="Q96" s="590"/>
      <c r="R96" s="590"/>
      <c r="S96" s="590"/>
      <c r="T96" s="590"/>
      <c r="U96" s="590"/>
      <c r="V96" s="590"/>
      <c r="W96" s="590"/>
      <c r="X96" s="590"/>
      <c r="Y96" s="590"/>
      <c r="Z96" s="590"/>
    </row>
    <row r="97" spans="1:26" ht="12.75" customHeight="1">
      <c r="A97" s="574"/>
      <c r="B97" s="671" t="s">
        <v>566</v>
      </c>
      <c r="C97" s="1069" t="s">
        <v>812</v>
      </c>
      <c r="D97" s="1009"/>
      <c r="E97" s="1009"/>
      <c r="F97" s="1009"/>
      <c r="G97" s="1009"/>
      <c r="H97" s="1009"/>
      <c r="I97" s="1010"/>
      <c r="J97" s="673">
        <f>ROUND(I98*I99,2)-ROUND((I98*I99)*I100,2)</f>
        <v>392.04</v>
      </c>
      <c r="K97" s="653"/>
      <c r="L97" s="590"/>
      <c r="M97" s="590"/>
      <c r="N97" s="590"/>
      <c r="O97" s="590"/>
      <c r="P97" s="590"/>
      <c r="Q97" s="590"/>
      <c r="R97" s="590"/>
      <c r="S97" s="590"/>
      <c r="T97" s="590"/>
      <c r="U97" s="590"/>
      <c r="V97" s="590"/>
      <c r="W97" s="590"/>
      <c r="X97" s="590"/>
      <c r="Y97" s="590"/>
      <c r="Z97" s="590"/>
    </row>
    <row r="98" spans="1:26" ht="15.75" customHeight="1">
      <c r="A98" s="574"/>
      <c r="B98" s="671" t="s">
        <v>568</v>
      </c>
      <c r="C98" s="1069" t="s">
        <v>813</v>
      </c>
      <c r="D98" s="1009"/>
      <c r="E98" s="1009"/>
      <c r="F98" s="1009"/>
      <c r="G98" s="1009"/>
      <c r="H98" s="1010"/>
      <c r="I98" s="674">
        <f>IF('1-ABA-DE-CARREGAMENTO'!E60&gt;0,'1-ABA-DE-CARREGAMENTO'!E60,'1-ABA-DE-CARREGAMENTO'!E63)</f>
        <v>22</v>
      </c>
      <c r="J98" s="681"/>
      <c r="K98" s="639"/>
      <c r="L98" s="590"/>
      <c r="M98" s="590"/>
      <c r="N98" s="590"/>
      <c r="O98" s="590"/>
      <c r="P98" s="590"/>
      <c r="Q98" s="590"/>
      <c r="R98" s="590"/>
      <c r="S98" s="590"/>
      <c r="T98" s="590"/>
      <c r="U98" s="590"/>
      <c r="V98" s="590"/>
      <c r="W98" s="590"/>
      <c r="X98" s="590"/>
      <c r="Y98" s="590"/>
      <c r="Z98" s="590"/>
    </row>
    <row r="99" spans="1:26" ht="18" customHeight="1">
      <c r="A99" s="574"/>
      <c r="B99" s="671" t="s">
        <v>570</v>
      </c>
      <c r="C99" s="1069" t="s">
        <v>814</v>
      </c>
      <c r="D99" s="1009"/>
      <c r="E99" s="1009"/>
      <c r="F99" s="1009"/>
      <c r="G99" s="1009"/>
      <c r="H99" s="1010"/>
      <c r="I99" s="753">
        <f>'1-ABA-DE-CARREGAMENTO'!E62</f>
        <v>22</v>
      </c>
      <c r="J99" s="681"/>
      <c r="K99" s="639"/>
      <c r="L99" s="590"/>
      <c r="M99" s="590"/>
      <c r="N99" s="590"/>
      <c r="O99" s="590"/>
      <c r="P99" s="590"/>
      <c r="Q99" s="590"/>
      <c r="R99" s="590"/>
      <c r="S99" s="590"/>
      <c r="T99" s="590"/>
      <c r="U99" s="590"/>
      <c r="V99" s="590"/>
      <c r="W99" s="590"/>
      <c r="X99" s="590"/>
      <c r="Y99" s="590"/>
      <c r="Z99" s="590"/>
    </row>
    <row r="100" spans="1:26" ht="23.25" customHeight="1">
      <c r="A100" s="574"/>
      <c r="B100" s="671" t="s">
        <v>574</v>
      </c>
      <c r="C100" s="1125" t="s">
        <v>815</v>
      </c>
      <c r="D100" s="1009"/>
      <c r="E100" s="1009"/>
      <c r="F100" s="1009"/>
      <c r="G100" s="1009"/>
      <c r="H100" s="1010"/>
      <c r="I100" s="683">
        <f>'1-ABA-DE-CARREGAMENTO'!E61</f>
        <v>0.19</v>
      </c>
      <c r="J100" s="684"/>
      <c r="K100" s="639"/>
      <c r="L100" s="590"/>
      <c r="M100" s="590"/>
      <c r="N100" s="590"/>
      <c r="O100" s="590"/>
      <c r="P100" s="590"/>
      <c r="Q100" s="590"/>
      <c r="R100" s="590"/>
      <c r="S100" s="590"/>
      <c r="T100" s="590"/>
      <c r="U100" s="590"/>
      <c r="V100" s="590"/>
      <c r="W100" s="590"/>
      <c r="X100" s="590"/>
      <c r="Y100" s="590"/>
      <c r="Z100" s="590"/>
    </row>
    <row r="101" spans="1:26" ht="18.75" customHeight="1">
      <c r="A101" s="574"/>
      <c r="B101" s="671" t="s">
        <v>578</v>
      </c>
      <c r="C101" s="1069" t="s">
        <v>623</v>
      </c>
      <c r="D101" s="1009"/>
      <c r="E101" s="1009"/>
      <c r="F101" s="1009"/>
      <c r="G101" s="1009"/>
      <c r="H101" s="1009"/>
      <c r="I101" s="1009"/>
      <c r="J101" s="660">
        <f>'1-ABA-DE-CARREGAMENTO'!E79/12</f>
        <v>0</v>
      </c>
      <c r="K101" s="653"/>
      <c r="L101" s="590"/>
      <c r="M101" s="590"/>
      <c r="N101" s="590"/>
      <c r="O101" s="590"/>
      <c r="P101" s="590"/>
      <c r="Q101" s="590"/>
      <c r="R101" s="590"/>
      <c r="S101" s="590"/>
      <c r="T101" s="590"/>
      <c r="U101" s="590"/>
      <c r="V101" s="590"/>
      <c r="W101" s="590"/>
      <c r="X101" s="590"/>
      <c r="Y101" s="590"/>
      <c r="Z101" s="590"/>
    </row>
    <row r="102" spans="1:26" ht="32.25" customHeight="1" outlineLevel="1">
      <c r="A102" s="574"/>
      <c r="B102" s="671" t="s">
        <v>580</v>
      </c>
      <c r="C102" s="1069" t="s">
        <v>816</v>
      </c>
      <c r="D102" s="1009"/>
      <c r="E102" s="1009"/>
      <c r="F102" s="1009"/>
      <c r="G102" s="1009"/>
      <c r="H102" s="1009"/>
      <c r="I102" s="1009"/>
      <c r="J102" s="660">
        <f>'1-ABA-DE-CARREGAMENTO'!E77</f>
        <v>0</v>
      </c>
      <c r="K102" s="653"/>
      <c r="L102" s="590"/>
      <c r="M102" s="590"/>
      <c r="N102" s="590"/>
      <c r="O102" s="590"/>
      <c r="P102" s="590"/>
      <c r="Q102" s="590"/>
      <c r="R102" s="590"/>
      <c r="S102" s="590"/>
      <c r="T102" s="590"/>
      <c r="U102" s="590"/>
      <c r="V102" s="590"/>
      <c r="W102" s="590"/>
      <c r="X102" s="590"/>
      <c r="Y102" s="590"/>
      <c r="Z102" s="590"/>
    </row>
    <row r="103" spans="1:26" ht="32.25" customHeight="1" outlineLevel="1">
      <c r="A103" s="574"/>
      <c r="B103" s="671" t="s">
        <v>625</v>
      </c>
      <c r="C103" s="1069" t="s">
        <v>817</v>
      </c>
      <c r="D103" s="1009"/>
      <c r="E103" s="1009"/>
      <c r="F103" s="1009"/>
      <c r="G103" s="1009"/>
      <c r="H103" s="1009"/>
      <c r="I103" s="1010"/>
      <c r="J103" s="660">
        <f>'1-ABA-DE-CARREGAMENTO'!E78</f>
        <v>0</v>
      </c>
      <c r="K103" s="653"/>
      <c r="L103" s="590"/>
      <c r="M103" s="590"/>
      <c r="N103" s="590"/>
      <c r="O103" s="590"/>
      <c r="P103" s="590"/>
      <c r="Q103" s="590"/>
      <c r="R103" s="590"/>
      <c r="S103" s="590"/>
      <c r="T103" s="590"/>
      <c r="U103" s="590"/>
      <c r="V103" s="590"/>
      <c r="W103" s="590"/>
      <c r="X103" s="590"/>
      <c r="Y103" s="590"/>
      <c r="Z103" s="590"/>
    </row>
    <row r="104" spans="1:26" ht="11.25" customHeight="1">
      <c r="A104" s="574"/>
      <c r="B104" s="671" t="s">
        <v>627</v>
      </c>
      <c r="C104" s="1069" t="s">
        <v>818</v>
      </c>
      <c r="D104" s="1009"/>
      <c r="E104" s="1009"/>
      <c r="F104" s="1009"/>
      <c r="G104" s="1009"/>
      <c r="H104" s="1009"/>
      <c r="I104" s="1010"/>
      <c r="J104" s="660">
        <f>'1-ABA-DE-CARREGAMENTO'!E76</f>
        <v>18.5</v>
      </c>
      <c r="K104" s="653"/>
      <c r="L104" s="590"/>
      <c r="M104" s="590"/>
      <c r="N104" s="590"/>
      <c r="O104" s="590"/>
      <c r="P104" s="590"/>
      <c r="Q104" s="590"/>
      <c r="R104" s="590"/>
      <c r="S104" s="590"/>
      <c r="T104" s="590"/>
      <c r="U104" s="590"/>
      <c r="V104" s="590"/>
      <c r="W104" s="590"/>
      <c r="X104" s="590"/>
      <c r="Y104" s="590"/>
      <c r="Z104" s="590"/>
    </row>
    <row r="105" spans="1:26" ht="11.25" customHeight="1">
      <c r="A105" s="574"/>
      <c r="B105" s="671" t="s">
        <v>129</v>
      </c>
      <c r="C105" s="1109" t="s">
        <v>668</v>
      </c>
      <c r="D105" s="1009"/>
      <c r="E105" s="1009"/>
      <c r="F105" s="1009"/>
      <c r="G105" s="1009"/>
      <c r="H105" s="1009"/>
      <c r="I105" s="1009"/>
      <c r="J105" s="686">
        <v>0</v>
      </c>
      <c r="K105" s="644"/>
      <c r="L105" s="590"/>
      <c r="M105" s="590"/>
      <c r="N105" s="590"/>
      <c r="O105" s="590"/>
      <c r="P105" s="590"/>
      <c r="Q105" s="590"/>
      <c r="R105" s="590"/>
      <c r="S105" s="590"/>
      <c r="T105" s="590"/>
      <c r="U105" s="590"/>
      <c r="V105" s="590"/>
      <c r="W105" s="590"/>
      <c r="X105" s="590"/>
      <c r="Y105" s="590"/>
      <c r="Z105" s="590"/>
    </row>
    <row r="106" spans="1:26" ht="11.25" customHeight="1">
      <c r="A106" s="574"/>
      <c r="B106" s="669"/>
      <c r="C106" s="1089" t="s">
        <v>594</v>
      </c>
      <c r="D106" s="1009"/>
      <c r="E106" s="1009"/>
      <c r="F106" s="1009"/>
      <c r="G106" s="1009"/>
      <c r="H106" s="1009"/>
      <c r="I106" s="1030"/>
      <c r="J106" s="652">
        <f>SUM(J92:J105)</f>
        <v>473.28000000000003</v>
      </c>
      <c r="K106" s="653"/>
      <c r="L106" s="590"/>
      <c r="M106" s="590"/>
      <c r="N106" s="590"/>
      <c r="O106" s="590"/>
      <c r="P106" s="590"/>
      <c r="Q106" s="590"/>
      <c r="R106" s="590"/>
      <c r="S106" s="590"/>
      <c r="T106" s="590"/>
      <c r="U106" s="590"/>
      <c r="V106" s="590"/>
      <c r="W106" s="590"/>
      <c r="X106" s="590"/>
      <c r="Y106" s="590"/>
      <c r="Z106" s="590"/>
    </row>
    <row r="107" spans="1:26" ht="7.5" customHeight="1">
      <c r="A107" s="574"/>
      <c r="B107" s="1122"/>
      <c r="C107" s="1009"/>
      <c r="D107" s="1009"/>
      <c r="E107" s="1009"/>
      <c r="F107" s="1009"/>
      <c r="G107" s="1009"/>
      <c r="H107" s="1009"/>
      <c r="I107" s="1009"/>
      <c r="J107" s="1010"/>
      <c r="K107" s="601"/>
      <c r="L107" s="590"/>
      <c r="M107" s="590"/>
      <c r="N107" s="590"/>
      <c r="O107" s="590"/>
      <c r="P107" s="590"/>
      <c r="Q107" s="590"/>
      <c r="R107" s="590"/>
      <c r="S107" s="590"/>
      <c r="T107" s="590"/>
      <c r="U107" s="590"/>
      <c r="V107" s="590"/>
      <c r="W107" s="590"/>
      <c r="X107" s="590"/>
      <c r="Y107" s="590"/>
      <c r="Z107" s="590"/>
    </row>
    <row r="108" spans="1:26" ht="37.5" customHeight="1">
      <c r="A108" s="574"/>
      <c r="B108" s="1111" t="s">
        <v>630</v>
      </c>
      <c r="C108" s="1009"/>
      <c r="D108" s="1009"/>
      <c r="E108" s="1009"/>
      <c r="F108" s="1009"/>
      <c r="G108" s="1009"/>
      <c r="H108" s="1009"/>
      <c r="I108" s="1009"/>
      <c r="J108" s="1010"/>
      <c r="K108" s="619"/>
      <c r="L108" s="590"/>
      <c r="M108" s="590"/>
      <c r="N108" s="590"/>
      <c r="O108" s="590"/>
      <c r="P108" s="590"/>
      <c r="Q108" s="590"/>
      <c r="R108" s="590"/>
      <c r="S108" s="590"/>
      <c r="T108" s="590"/>
      <c r="U108" s="590"/>
      <c r="V108" s="590"/>
      <c r="W108" s="590"/>
      <c r="X108" s="590"/>
      <c r="Y108" s="590"/>
      <c r="Z108" s="590"/>
    </row>
    <row r="109" spans="1:26" ht="7.5" customHeight="1">
      <c r="A109" s="574"/>
      <c r="B109" s="1117"/>
      <c r="C109" s="1009"/>
      <c r="D109" s="1009"/>
      <c r="E109" s="1009"/>
      <c r="F109" s="1009"/>
      <c r="G109" s="1009"/>
      <c r="H109" s="1009"/>
      <c r="I109" s="1009"/>
      <c r="J109" s="1010"/>
      <c r="K109" s="592"/>
      <c r="L109" s="590"/>
      <c r="M109" s="590"/>
      <c r="N109" s="590"/>
      <c r="O109" s="590"/>
      <c r="P109" s="590"/>
      <c r="Q109" s="590"/>
      <c r="R109" s="590"/>
      <c r="S109" s="590"/>
      <c r="T109" s="590"/>
      <c r="U109" s="590"/>
      <c r="V109" s="590"/>
      <c r="W109" s="590"/>
      <c r="X109" s="590"/>
      <c r="Y109" s="590"/>
      <c r="Z109" s="590"/>
    </row>
    <row r="110" spans="1:26" ht="19.5" customHeight="1">
      <c r="A110" s="574"/>
      <c r="B110" s="1108" t="s">
        <v>631</v>
      </c>
      <c r="C110" s="1009"/>
      <c r="D110" s="1009"/>
      <c r="E110" s="1009"/>
      <c r="F110" s="1009"/>
      <c r="G110" s="1009"/>
      <c r="H110" s="1009"/>
      <c r="I110" s="1009"/>
      <c r="J110" s="1010"/>
      <c r="K110" s="655"/>
      <c r="L110" s="590"/>
      <c r="M110" s="590"/>
      <c r="N110" s="590"/>
      <c r="O110" s="590"/>
      <c r="P110" s="590"/>
      <c r="Q110" s="590"/>
      <c r="R110" s="590"/>
      <c r="S110" s="590"/>
      <c r="T110" s="590"/>
      <c r="U110" s="590"/>
      <c r="V110" s="590"/>
      <c r="W110" s="590"/>
      <c r="X110" s="590"/>
      <c r="Y110" s="590"/>
      <c r="Z110" s="590"/>
    </row>
    <row r="111" spans="1:26" ht="15.75" customHeight="1">
      <c r="A111" s="574"/>
      <c r="B111" s="657">
        <v>2</v>
      </c>
      <c r="C111" s="1165" t="s">
        <v>632</v>
      </c>
      <c r="D111" s="1009"/>
      <c r="E111" s="1009"/>
      <c r="F111" s="1009"/>
      <c r="G111" s="1009"/>
      <c r="H111" s="1009"/>
      <c r="I111" s="1010"/>
      <c r="J111" s="657" t="s">
        <v>591</v>
      </c>
      <c r="K111" s="487"/>
      <c r="L111" s="590"/>
      <c r="M111" s="590"/>
      <c r="N111" s="590"/>
      <c r="O111" s="590"/>
      <c r="P111" s="590"/>
      <c r="Q111" s="590"/>
      <c r="R111" s="590"/>
      <c r="S111" s="590"/>
      <c r="T111" s="590"/>
      <c r="U111" s="590"/>
      <c r="V111" s="590"/>
      <c r="W111" s="590"/>
      <c r="X111" s="590"/>
      <c r="Y111" s="590"/>
      <c r="Z111" s="590"/>
    </row>
    <row r="112" spans="1:26" ht="21.75" customHeight="1">
      <c r="A112" s="574"/>
      <c r="B112" s="604" t="s">
        <v>589</v>
      </c>
      <c r="C112" s="1108" t="s">
        <v>819</v>
      </c>
      <c r="D112" s="1009"/>
      <c r="E112" s="1009"/>
      <c r="F112" s="1009"/>
      <c r="G112" s="1009"/>
      <c r="H112" s="1009"/>
      <c r="I112" s="1010"/>
      <c r="J112" s="687">
        <f>J72</f>
        <v>180.22</v>
      </c>
      <c r="K112" s="688"/>
      <c r="L112" s="590"/>
      <c r="M112" s="590"/>
      <c r="N112" s="590"/>
      <c r="O112" s="590"/>
      <c r="P112" s="590"/>
      <c r="Q112" s="590"/>
      <c r="R112" s="590"/>
      <c r="S112" s="590"/>
      <c r="T112" s="590"/>
      <c r="U112" s="590"/>
      <c r="V112" s="590"/>
      <c r="W112" s="590"/>
      <c r="X112" s="590"/>
      <c r="Y112" s="590"/>
      <c r="Z112" s="590"/>
    </row>
    <row r="113" spans="1:26" ht="11.25" customHeight="1">
      <c r="A113" s="574"/>
      <c r="B113" s="604" t="s">
        <v>597</v>
      </c>
      <c r="C113" s="1108" t="s">
        <v>598</v>
      </c>
      <c r="D113" s="1009"/>
      <c r="E113" s="1009"/>
      <c r="F113" s="1009"/>
      <c r="G113" s="1009"/>
      <c r="H113" s="1009"/>
      <c r="I113" s="1010"/>
      <c r="J113" s="687">
        <f>J86</f>
        <v>650.37</v>
      </c>
      <c r="K113" s="688"/>
      <c r="L113" s="590"/>
      <c r="M113" s="590"/>
      <c r="N113" s="590"/>
      <c r="O113" s="590"/>
      <c r="P113" s="590"/>
      <c r="Q113" s="590"/>
      <c r="R113" s="590"/>
      <c r="S113" s="590"/>
      <c r="T113" s="590"/>
      <c r="U113" s="590"/>
      <c r="V113" s="590"/>
      <c r="W113" s="590"/>
      <c r="X113" s="590"/>
      <c r="Y113" s="590"/>
      <c r="Z113" s="590"/>
    </row>
    <row r="114" spans="1:26" ht="11.25" customHeight="1">
      <c r="A114" s="574"/>
      <c r="B114" s="604" t="s">
        <v>612</v>
      </c>
      <c r="C114" s="1108" t="s">
        <v>613</v>
      </c>
      <c r="D114" s="1009"/>
      <c r="E114" s="1009"/>
      <c r="F114" s="1009"/>
      <c r="G114" s="1009"/>
      <c r="H114" s="1009"/>
      <c r="I114" s="1010"/>
      <c r="J114" s="687">
        <f>J106</f>
        <v>473.28000000000003</v>
      </c>
      <c r="K114" s="688"/>
      <c r="L114" s="590"/>
      <c r="M114" s="590"/>
      <c r="N114" s="590"/>
      <c r="O114" s="590"/>
      <c r="P114" s="590"/>
      <c r="Q114" s="590"/>
      <c r="R114" s="590"/>
      <c r="S114" s="590"/>
      <c r="T114" s="590"/>
      <c r="U114" s="590"/>
      <c r="V114" s="590"/>
      <c r="W114" s="590"/>
      <c r="X114" s="590"/>
      <c r="Y114" s="590"/>
      <c r="Z114" s="590"/>
    </row>
    <row r="115" spans="1:26" ht="11.25" customHeight="1">
      <c r="A115" s="574"/>
      <c r="B115" s="1160" t="s">
        <v>594</v>
      </c>
      <c r="C115" s="1009"/>
      <c r="D115" s="1009"/>
      <c r="E115" s="1009"/>
      <c r="F115" s="1009"/>
      <c r="G115" s="1009"/>
      <c r="H115" s="1009"/>
      <c r="I115" s="1010"/>
      <c r="J115" s="689">
        <f>SUM(J112+J113+J114)</f>
        <v>1303.8700000000001</v>
      </c>
      <c r="K115" s="688"/>
      <c r="L115" s="590"/>
      <c r="M115" s="590"/>
      <c r="N115" s="590"/>
      <c r="O115" s="590"/>
      <c r="P115" s="590"/>
      <c r="Q115" s="590"/>
      <c r="R115" s="590"/>
      <c r="S115" s="590"/>
      <c r="T115" s="590"/>
      <c r="U115" s="590"/>
      <c r="V115" s="590"/>
      <c r="W115" s="590"/>
      <c r="X115" s="590"/>
      <c r="Y115" s="590"/>
      <c r="Z115" s="590"/>
    </row>
    <row r="116" spans="1:26" ht="6" customHeight="1">
      <c r="A116" s="574"/>
      <c r="B116" s="1161"/>
      <c r="C116" s="1009"/>
      <c r="D116" s="1009"/>
      <c r="E116" s="1009"/>
      <c r="F116" s="1009"/>
      <c r="G116" s="1009"/>
      <c r="H116" s="1009"/>
      <c r="I116" s="1009"/>
      <c r="J116" s="1010"/>
      <c r="K116" s="690"/>
      <c r="L116" s="590"/>
      <c r="M116" s="590"/>
      <c r="N116" s="590"/>
      <c r="O116" s="590"/>
      <c r="P116" s="590"/>
      <c r="Q116" s="590"/>
      <c r="R116" s="590"/>
      <c r="S116" s="590"/>
      <c r="T116" s="590"/>
      <c r="U116" s="590"/>
      <c r="V116" s="590"/>
      <c r="W116" s="590"/>
      <c r="X116" s="590"/>
      <c r="Y116" s="590"/>
      <c r="Z116" s="590"/>
    </row>
    <row r="117" spans="1:26" ht="21.75" customHeight="1">
      <c r="A117" s="574"/>
      <c r="B117" s="1109" t="s">
        <v>634</v>
      </c>
      <c r="C117" s="1009"/>
      <c r="D117" s="1009"/>
      <c r="E117" s="1009"/>
      <c r="F117" s="1009"/>
      <c r="G117" s="1009"/>
      <c r="H117" s="1009"/>
      <c r="I117" s="1009"/>
      <c r="J117" s="1010"/>
      <c r="K117" s="691"/>
      <c r="L117" s="590"/>
      <c r="M117" s="590"/>
      <c r="N117" s="590"/>
      <c r="O117" s="590"/>
      <c r="P117" s="590"/>
      <c r="Q117" s="590"/>
      <c r="R117" s="590"/>
      <c r="S117" s="590"/>
      <c r="T117" s="590"/>
      <c r="U117" s="590"/>
      <c r="V117" s="590"/>
      <c r="W117" s="590"/>
      <c r="X117" s="590"/>
      <c r="Y117" s="590"/>
      <c r="Z117" s="590"/>
    </row>
    <row r="118" spans="1:26" ht="17.25" customHeight="1">
      <c r="A118" s="574"/>
      <c r="B118" s="669">
        <v>3</v>
      </c>
      <c r="C118" s="1162" t="s">
        <v>635</v>
      </c>
      <c r="D118" s="1009"/>
      <c r="E118" s="1009"/>
      <c r="F118" s="1009"/>
      <c r="G118" s="1009"/>
      <c r="H118" s="1009"/>
      <c r="I118" s="1010"/>
      <c r="J118" s="669" t="s">
        <v>591</v>
      </c>
      <c r="K118" s="601"/>
      <c r="L118" s="590"/>
      <c r="M118" s="590"/>
      <c r="N118" s="590"/>
      <c r="O118" s="590"/>
      <c r="P118" s="590"/>
      <c r="Q118" s="590"/>
      <c r="R118" s="590"/>
      <c r="S118" s="590"/>
      <c r="T118" s="590"/>
      <c r="U118" s="590"/>
      <c r="V118" s="590"/>
      <c r="W118" s="590"/>
      <c r="X118" s="590"/>
      <c r="Y118" s="590"/>
      <c r="Z118" s="590"/>
    </row>
    <row r="119" spans="1:26" ht="49.5" customHeight="1">
      <c r="A119" s="574"/>
      <c r="B119" s="671" t="s">
        <v>514</v>
      </c>
      <c r="C119" s="1069" t="s">
        <v>820</v>
      </c>
      <c r="D119" s="1009"/>
      <c r="E119" s="1009"/>
      <c r="F119" s="1009"/>
      <c r="G119" s="1009"/>
      <c r="H119" s="1009"/>
      <c r="I119" s="1010"/>
      <c r="J119" s="660">
        <f>ROUND((($J$58/12)+($J$70/12)+(J58/12/12)+($J$71/12))*(30/30)*0.05,2)</f>
        <v>7.92</v>
      </c>
      <c r="K119" s="653"/>
      <c r="L119" s="590"/>
      <c r="M119" s="590"/>
      <c r="N119" s="590"/>
      <c r="O119" s="590"/>
      <c r="P119" s="590"/>
      <c r="Q119" s="590"/>
      <c r="R119" s="590"/>
      <c r="S119" s="590"/>
      <c r="T119" s="590"/>
      <c r="U119" s="590"/>
      <c r="V119" s="590"/>
      <c r="W119" s="590"/>
      <c r="X119" s="590"/>
      <c r="Y119" s="590"/>
      <c r="Z119" s="590"/>
    </row>
    <row r="120" spans="1:26" ht="16.5" customHeight="1">
      <c r="A120" s="574"/>
      <c r="B120" s="671" t="s">
        <v>516</v>
      </c>
      <c r="C120" s="1109" t="s">
        <v>637</v>
      </c>
      <c r="D120" s="1009"/>
      <c r="E120" s="1009"/>
      <c r="F120" s="1009"/>
      <c r="G120" s="1009"/>
      <c r="H120" s="1009"/>
      <c r="I120" s="1010"/>
      <c r="J120" s="660">
        <f>ROUND($I$85*J119,2)</f>
        <v>0.63</v>
      </c>
      <c r="K120" s="653"/>
      <c r="L120" s="590"/>
      <c r="M120" s="590"/>
      <c r="N120" s="590"/>
      <c r="O120" s="590"/>
      <c r="P120" s="590"/>
      <c r="Q120" s="590"/>
      <c r="R120" s="590"/>
      <c r="S120" s="590"/>
      <c r="T120" s="590"/>
      <c r="U120" s="590"/>
      <c r="V120" s="590"/>
      <c r="W120" s="590"/>
      <c r="X120" s="590"/>
      <c r="Y120" s="590"/>
      <c r="Z120" s="590"/>
    </row>
    <row r="121" spans="1:26" ht="97.5" customHeight="1">
      <c r="A121" s="574"/>
      <c r="B121" s="671" t="s">
        <v>518</v>
      </c>
      <c r="C121" s="1110" t="s">
        <v>821</v>
      </c>
      <c r="D121" s="1009"/>
      <c r="E121" s="1009"/>
      <c r="F121" s="1009"/>
      <c r="G121" s="1009"/>
      <c r="H121" s="1009"/>
      <c r="I121" s="1010"/>
      <c r="J121" s="660">
        <f>ROUND(((7/30)/$I$11)*$J$58*1,2)</f>
        <v>12.34</v>
      </c>
      <c r="K121" s="653"/>
      <c r="L121" s="590"/>
      <c r="M121" s="590"/>
      <c r="N121" s="590"/>
      <c r="O121" s="590"/>
      <c r="P121" s="590"/>
      <c r="Q121" s="590"/>
      <c r="R121" s="590"/>
      <c r="S121" s="590"/>
      <c r="T121" s="590"/>
      <c r="U121" s="590"/>
      <c r="V121" s="590"/>
      <c r="W121" s="590"/>
      <c r="X121" s="590"/>
      <c r="Y121" s="590"/>
      <c r="Z121" s="590"/>
    </row>
    <row r="122" spans="1:26" ht="24.75" customHeight="1">
      <c r="A122" s="574"/>
      <c r="B122" s="671" t="s">
        <v>520</v>
      </c>
      <c r="C122" s="1109" t="s">
        <v>639</v>
      </c>
      <c r="D122" s="1009"/>
      <c r="E122" s="1009"/>
      <c r="F122" s="1009"/>
      <c r="G122" s="1009"/>
      <c r="H122" s="1009"/>
      <c r="I122" s="1010"/>
      <c r="J122" s="660">
        <f>ROUND($I$86*J121,2)</f>
        <v>4.54</v>
      </c>
      <c r="K122" s="653"/>
      <c r="L122" s="590"/>
      <c r="M122" s="590"/>
      <c r="N122" s="590"/>
      <c r="O122" s="590"/>
      <c r="P122" s="590"/>
      <c r="Q122" s="590"/>
      <c r="R122" s="590"/>
      <c r="S122" s="590"/>
      <c r="T122" s="590"/>
      <c r="U122" s="590"/>
      <c r="V122" s="590"/>
      <c r="W122" s="590"/>
      <c r="X122" s="590"/>
      <c r="Y122" s="590"/>
      <c r="Z122" s="590"/>
    </row>
    <row r="123" spans="1:26" ht="39" customHeight="1">
      <c r="A123" s="574"/>
      <c r="B123" s="671" t="s">
        <v>562</v>
      </c>
      <c r="C123" s="1069" t="s">
        <v>822</v>
      </c>
      <c r="D123" s="1009"/>
      <c r="E123" s="1009"/>
      <c r="F123" s="1009"/>
      <c r="G123" s="1009"/>
      <c r="H123" s="1010"/>
      <c r="I123" s="692">
        <v>0.04</v>
      </c>
      <c r="J123" s="660">
        <f>ROUND(J58*I123,2)</f>
        <v>63.49</v>
      </c>
      <c r="K123" s="653"/>
      <c r="L123" s="590"/>
      <c r="M123" s="590"/>
      <c r="N123" s="590"/>
      <c r="O123" s="590"/>
      <c r="P123" s="590"/>
      <c r="Q123" s="590"/>
      <c r="R123" s="590"/>
      <c r="S123" s="590"/>
      <c r="T123" s="590"/>
      <c r="U123" s="590"/>
      <c r="V123" s="590"/>
      <c r="W123" s="590"/>
      <c r="X123" s="590"/>
      <c r="Y123" s="590"/>
      <c r="Z123" s="590"/>
    </row>
    <row r="124" spans="1:26" ht="11.25" customHeight="1">
      <c r="A124" s="574"/>
      <c r="B124" s="1089" t="s">
        <v>641</v>
      </c>
      <c r="C124" s="1009"/>
      <c r="D124" s="1009"/>
      <c r="E124" s="1009"/>
      <c r="F124" s="1009"/>
      <c r="G124" s="1009"/>
      <c r="H124" s="1009"/>
      <c r="I124" s="1010"/>
      <c r="J124" s="652">
        <f>SUM(J119:J123)</f>
        <v>88.92</v>
      </c>
      <c r="K124" s="653"/>
      <c r="L124" s="590"/>
      <c r="M124" s="590"/>
      <c r="N124" s="590"/>
      <c r="O124" s="590"/>
      <c r="P124" s="590"/>
      <c r="Q124" s="590"/>
      <c r="R124" s="590"/>
      <c r="S124" s="590"/>
      <c r="T124" s="590"/>
      <c r="U124" s="590"/>
      <c r="V124" s="590"/>
      <c r="W124" s="590"/>
      <c r="X124" s="590"/>
      <c r="Y124" s="590"/>
      <c r="Z124" s="590"/>
    </row>
    <row r="125" spans="1:26" ht="6" customHeight="1">
      <c r="A125" s="574"/>
      <c r="B125" s="1085"/>
      <c r="C125" s="1009"/>
      <c r="D125" s="1009"/>
      <c r="E125" s="1009"/>
      <c r="F125" s="1009"/>
      <c r="G125" s="1009"/>
      <c r="H125" s="1009"/>
      <c r="I125" s="1009"/>
      <c r="J125" s="1010"/>
      <c r="K125" s="693"/>
      <c r="L125" s="590"/>
      <c r="M125" s="590"/>
      <c r="N125" s="590"/>
      <c r="O125" s="590"/>
      <c r="P125" s="590"/>
      <c r="Q125" s="590"/>
      <c r="R125" s="590"/>
      <c r="S125" s="590"/>
      <c r="T125" s="590"/>
      <c r="U125" s="590"/>
      <c r="V125" s="590"/>
      <c r="W125" s="590"/>
      <c r="X125" s="590"/>
      <c r="Y125" s="590"/>
      <c r="Z125" s="590"/>
    </row>
    <row r="126" spans="1:26" ht="21.75" customHeight="1">
      <c r="A126" s="574"/>
      <c r="B126" s="1069" t="s">
        <v>642</v>
      </c>
      <c r="C126" s="1009"/>
      <c r="D126" s="1009"/>
      <c r="E126" s="1009"/>
      <c r="F126" s="1009"/>
      <c r="G126" s="1009"/>
      <c r="H126" s="1009"/>
      <c r="I126" s="1009"/>
      <c r="J126" s="1010"/>
      <c r="K126" s="594"/>
      <c r="L126" s="590"/>
      <c r="M126" s="590"/>
      <c r="N126" s="590"/>
      <c r="O126" s="590"/>
      <c r="P126" s="590"/>
      <c r="Q126" s="590"/>
      <c r="R126" s="590"/>
      <c r="S126" s="590"/>
      <c r="T126" s="590"/>
      <c r="U126" s="590"/>
      <c r="V126" s="590"/>
      <c r="W126" s="590"/>
      <c r="X126" s="590"/>
      <c r="Y126" s="590"/>
      <c r="Z126" s="590"/>
    </row>
    <row r="127" spans="1:26" ht="27.75" customHeight="1">
      <c r="A127" s="574"/>
      <c r="B127" s="1111" t="s">
        <v>643</v>
      </c>
      <c r="C127" s="1009"/>
      <c r="D127" s="1009"/>
      <c r="E127" s="1009"/>
      <c r="F127" s="1009"/>
      <c r="G127" s="1009"/>
      <c r="H127" s="1009"/>
      <c r="I127" s="1009"/>
      <c r="J127" s="1010"/>
      <c r="K127" s="619"/>
      <c r="L127" s="590"/>
      <c r="M127" s="590"/>
      <c r="N127" s="590"/>
      <c r="O127" s="590"/>
      <c r="P127" s="590"/>
      <c r="Q127" s="590"/>
      <c r="R127" s="590"/>
      <c r="S127" s="590"/>
      <c r="T127" s="590"/>
      <c r="U127" s="590"/>
      <c r="V127" s="590"/>
      <c r="W127" s="590"/>
      <c r="X127" s="590"/>
      <c r="Y127" s="590"/>
      <c r="Z127" s="590"/>
    </row>
    <row r="128" spans="1:26" ht="53.25" customHeight="1">
      <c r="A128" s="574"/>
      <c r="B128" s="1108" t="s">
        <v>823</v>
      </c>
      <c r="C128" s="1009"/>
      <c r="D128" s="1009"/>
      <c r="E128" s="1009"/>
      <c r="F128" s="1009"/>
      <c r="G128" s="1009"/>
      <c r="H128" s="1009"/>
      <c r="I128" s="1009"/>
      <c r="J128" s="1010"/>
      <c r="K128" s="655"/>
      <c r="L128" s="590"/>
      <c r="M128" s="590"/>
      <c r="N128" s="590"/>
      <c r="O128" s="590"/>
      <c r="P128" s="590"/>
      <c r="Q128" s="590"/>
      <c r="R128" s="590"/>
      <c r="S128" s="590"/>
      <c r="T128" s="590"/>
      <c r="U128" s="590"/>
      <c r="V128" s="590"/>
      <c r="W128" s="590"/>
      <c r="X128" s="590"/>
      <c r="Y128" s="590"/>
      <c r="Z128" s="590"/>
    </row>
    <row r="129" spans="1:26" ht="39.75" customHeight="1">
      <c r="A129" s="574"/>
      <c r="B129" s="694" t="s">
        <v>645</v>
      </c>
      <c r="C129" s="695">
        <f>J58</f>
        <v>1587.1534545454547</v>
      </c>
      <c r="D129" s="696" t="s">
        <v>646</v>
      </c>
      <c r="E129" s="694" t="s">
        <v>824</v>
      </c>
      <c r="F129" s="695">
        <f>J115-J92-J97</f>
        <v>849.09000000000015</v>
      </c>
      <c r="G129" s="696" t="s">
        <v>646</v>
      </c>
      <c r="H129" s="694" t="s">
        <v>648</v>
      </c>
      <c r="I129" s="695">
        <f>J124</f>
        <v>88.92</v>
      </c>
      <c r="J129" s="686">
        <f>C129+F129+I129</f>
        <v>2525.1634545454549</v>
      </c>
      <c r="K129" s="644"/>
      <c r="L129" s="590"/>
      <c r="M129" s="590"/>
      <c r="N129" s="590"/>
      <c r="O129" s="590"/>
      <c r="P129" s="590"/>
      <c r="Q129" s="590"/>
      <c r="R129" s="590"/>
      <c r="S129" s="590"/>
      <c r="T129" s="590"/>
      <c r="U129" s="590"/>
      <c r="V129" s="590"/>
      <c r="W129" s="590"/>
      <c r="X129" s="590"/>
      <c r="Y129" s="590"/>
      <c r="Z129" s="590"/>
    </row>
    <row r="130" spans="1:26" ht="6" customHeight="1">
      <c r="A130" s="574"/>
      <c r="B130" s="1163"/>
      <c r="C130" s="1009"/>
      <c r="D130" s="1009"/>
      <c r="E130" s="1009"/>
      <c r="F130" s="1009"/>
      <c r="G130" s="1009"/>
      <c r="H130" s="1009"/>
      <c r="I130" s="1009"/>
      <c r="J130" s="1010"/>
      <c r="K130" s="697"/>
      <c r="L130" s="590"/>
      <c r="M130" s="590"/>
      <c r="N130" s="590"/>
      <c r="O130" s="590"/>
      <c r="P130" s="590"/>
      <c r="Q130" s="590"/>
      <c r="R130" s="590"/>
      <c r="S130" s="590"/>
      <c r="T130" s="590"/>
      <c r="U130" s="590"/>
      <c r="V130" s="590"/>
      <c r="W130" s="590"/>
      <c r="X130" s="590"/>
      <c r="Y130" s="590"/>
      <c r="Z130" s="590"/>
    </row>
    <row r="131" spans="1:26" ht="18" customHeight="1">
      <c r="A131" s="574"/>
      <c r="B131" s="1069" t="s">
        <v>649</v>
      </c>
      <c r="C131" s="1009"/>
      <c r="D131" s="1009"/>
      <c r="E131" s="1009"/>
      <c r="F131" s="1009"/>
      <c r="G131" s="1009"/>
      <c r="H131" s="1009"/>
      <c r="I131" s="1009"/>
      <c r="J131" s="1010"/>
      <c r="K131" s="698"/>
      <c r="L131" s="590"/>
      <c r="M131" s="590"/>
      <c r="N131" s="590"/>
      <c r="O131" s="590"/>
      <c r="P131" s="590"/>
      <c r="Q131" s="590"/>
      <c r="R131" s="590"/>
      <c r="S131" s="590"/>
      <c r="T131" s="590"/>
      <c r="U131" s="590"/>
      <c r="V131" s="590"/>
      <c r="W131" s="590"/>
      <c r="X131" s="590"/>
      <c r="Y131" s="590"/>
      <c r="Z131" s="590"/>
    </row>
    <row r="132" spans="1:26" ht="24.75" customHeight="1">
      <c r="A132" s="574"/>
      <c r="B132" s="699" t="s">
        <v>650</v>
      </c>
      <c r="C132" s="1162" t="s">
        <v>651</v>
      </c>
      <c r="D132" s="1009"/>
      <c r="E132" s="1009"/>
      <c r="F132" s="1009"/>
      <c r="G132" s="1009"/>
      <c r="H132" s="1009"/>
      <c r="I132" s="1010"/>
      <c r="J132" s="699" t="s">
        <v>591</v>
      </c>
      <c r="K132" s="700"/>
      <c r="L132" s="590"/>
      <c r="M132" s="590"/>
      <c r="N132" s="590"/>
      <c r="O132" s="590"/>
      <c r="P132" s="590"/>
      <c r="Q132" s="590"/>
      <c r="R132" s="590"/>
      <c r="S132" s="590"/>
      <c r="T132" s="590"/>
      <c r="U132" s="590"/>
      <c r="V132" s="590"/>
      <c r="W132" s="590"/>
      <c r="X132" s="590"/>
      <c r="Y132" s="590"/>
      <c r="Z132" s="590"/>
    </row>
    <row r="133" spans="1:26" ht="54.75" customHeight="1">
      <c r="A133" s="574"/>
      <c r="B133" s="671" t="s">
        <v>514</v>
      </c>
      <c r="C133" s="1108" t="s">
        <v>825</v>
      </c>
      <c r="D133" s="1009"/>
      <c r="E133" s="1009"/>
      <c r="F133" s="1009"/>
      <c r="G133" s="1009"/>
      <c r="H133" s="701">
        <v>9.0749999999999997E-2</v>
      </c>
      <c r="I133" s="702">
        <f>I86</f>
        <v>0.36800000000000005</v>
      </c>
      <c r="J133" s="660">
        <f>ROUND(H133*J58,2)*(1+I133)</f>
        <v>197.03304000000003</v>
      </c>
      <c r="K133" s="653"/>
      <c r="L133" s="590"/>
      <c r="M133" s="590"/>
      <c r="N133" s="590"/>
      <c r="O133" s="590"/>
      <c r="P133" s="590"/>
      <c r="Q133" s="590"/>
      <c r="R133" s="590"/>
      <c r="S133" s="590"/>
      <c r="T133" s="590"/>
      <c r="U133" s="590"/>
      <c r="V133" s="590"/>
      <c r="W133" s="590"/>
      <c r="X133" s="590"/>
      <c r="Y133" s="590"/>
      <c r="Z133" s="590"/>
    </row>
    <row r="134" spans="1:26" ht="24" customHeight="1">
      <c r="A134" s="574"/>
      <c r="B134" s="671" t="s">
        <v>516</v>
      </c>
      <c r="C134" s="1069" t="s">
        <v>826</v>
      </c>
      <c r="D134" s="1009"/>
      <c r="E134" s="1009"/>
      <c r="F134" s="1009"/>
      <c r="G134" s="1009"/>
      <c r="H134" s="1009"/>
      <c r="I134" s="1010"/>
      <c r="J134" s="660">
        <f>ROUND((1/30)/12*(J129),2)</f>
        <v>7.01</v>
      </c>
      <c r="K134" s="653"/>
      <c r="L134" s="590"/>
      <c r="M134" s="590"/>
      <c r="N134" s="590"/>
      <c r="O134" s="590"/>
      <c r="P134" s="590"/>
      <c r="Q134" s="590"/>
      <c r="R134" s="590"/>
      <c r="S134" s="590"/>
      <c r="T134" s="590"/>
      <c r="U134" s="590"/>
      <c r="V134" s="590"/>
      <c r="W134" s="590"/>
      <c r="X134" s="590"/>
      <c r="Y134" s="590"/>
      <c r="Z134" s="590"/>
    </row>
    <row r="135" spans="1:26" ht="24" customHeight="1">
      <c r="A135" s="574"/>
      <c r="B135" s="671" t="s">
        <v>518</v>
      </c>
      <c r="C135" s="1069" t="s">
        <v>827</v>
      </c>
      <c r="D135" s="1009"/>
      <c r="E135" s="1009"/>
      <c r="F135" s="1009"/>
      <c r="G135" s="1009"/>
      <c r="H135" s="1009"/>
      <c r="I135" s="1010"/>
      <c r="J135" s="660">
        <f>ROUND((5/30)/12*0.015*(J129),2)</f>
        <v>0.53</v>
      </c>
      <c r="K135" s="653"/>
      <c r="L135" s="590"/>
      <c r="M135" s="590"/>
      <c r="N135" s="590"/>
      <c r="O135" s="590"/>
      <c r="P135" s="590"/>
      <c r="Q135" s="590"/>
      <c r="R135" s="590"/>
      <c r="S135" s="590"/>
      <c r="T135" s="590"/>
      <c r="U135" s="590"/>
      <c r="V135" s="590"/>
      <c r="W135" s="590"/>
      <c r="X135" s="590"/>
      <c r="Y135" s="590"/>
      <c r="Z135" s="590"/>
    </row>
    <row r="136" spans="1:26" ht="24" customHeight="1">
      <c r="A136" s="574"/>
      <c r="B136" s="671" t="s">
        <v>520</v>
      </c>
      <c r="C136" s="1069" t="s">
        <v>828</v>
      </c>
      <c r="D136" s="1009"/>
      <c r="E136" s="1009"/>
      <c r="F136" s="1009"/>
      <c r="G136" s="1009"/>
      <c r="H136" s="1009"/>
      <c r="I136" s="1010"/>
      <c r="J136" s="660">
        <f>ROUND(((15/30)/12)*0.0078*(J129),2)</f>
        <v>0.82</v>
      </c>
      <c r="K136" s="653"/>
      <c r="L136" s="590"/>
      <c r="M136" s="590"/>
      <c r="N136" s="590"/>
      <c r="O136" s="590"/>
      <c r="P136" s="590"/>
      <c r="Q136" s="590"/>
      <c r="R136" s="590"/>
      <c r="S136" s="590"/>
      <c r="T136" s="590"/>
      <c r="U136" s="590"/>
      <c r="V136" s="590"/>
      <c r="W136" s="590"/>
      <c r="X136" s="590"/>
      <c r="Y136" s="590"/>
      <c r="Z136" s="590"/>
    </row>
    <row r="137" spans="1:26" ht="24" customHeight="1">
      <c r="A137" s="574"/>
      <c r="B137" s="703" t="s">
        <v>562</v>
      </c>
      <c r="C137" s="1164" t="s">
        <v>829</v>
      </c>
      <c r="D137" s="1009"/>
      <c r="E137" s="1009"/>
      <c r="F137" s="1009"/>
      <c r="G137" s="1009"/>
      <c r="H137" s="1009"/>
      <c r="I137" s="1010"/>
      <c r="J137" s="704">
        <f>ROUND(((((C129+C129/3)+(I86)*(C129+C129/3))*(4/12))/12)*0.02,2) + ((J106 -J92-J97+ J124)*4/12)*0.02</f>
        <v>2.3261333333333334</v>
      </c>
      <c r="K137" s="653"/>
      <c r="L137" s="590"/>
      <c r="M137" s="590"/>
      <c r="N137" s="590"/>
      <c r="O137" s="590"/>
      <c r="P137" s="590"/>
      <c r="Q137" s="590"/>
      <c r="R137" s="590"/>
      <c r="S137" s="590"/>
      <c r="T137" s="590"/>
      <c r="U137" s="590"/>
      <c r="V137" s="590"/>
      <c r="W137" s="590"/>
      <c r="X137" s="590"/>
      <c r="Y137" s="590"/>
      <c r="Z137" s="590"/>
    </row>
    <row r="138" spans="1:26" ht="24" customHeight="1">
      <c r="A138" s="574"/>
      <c r="B138" s="671" t="s">
        <v>566</v>
      </c>
      <c r="C138" s="1069" t="s">
        <v>830</v>
      </c>
      <c r="D138" s="1009"/>
      <c r="E138" s="1009"/>
      <c r="F138" s="1009"/>
      <c r="G138" s="1009"/>
      <c r="H138" s="1009"/>
      <c r="I138" s="1010"/>
      <c r="J138" s="660">
        <f>ROUND(((3/30)/12)*(J129),2)</f>
        <v>21.04</v>
      </c>
      <c r="K138" s="653"/>
      <c r="L138" s="590"/>
      <c r="M138" s="590"/>
      <c r="N138" s="590"/>
      <c r="O138" s="590"/>
      <c r="P138" s="590"/>
      <c r="Q138" s="590"/>
      <c r="R138" s="590"/>
      <c r="S138" s="590"/>
      <c r="T138" s="590"/>
      <c r="U138" s="590"/>
      <c r="V138" s="590"/>
      <c r="W138" s="590"/>
      <c r="X138" s="590"/>
      <c r="Y138" s="590"/>
      <c r="Z138" s="590"/>
    </row>
    <row r="139" spans="1:26" ht="11.25" customHeight="1">
      <c r="A139" s="574"/>
      <c r="B139" s="1089" t="s">
        <v>594</v>
      </c>
      <c r="C139" s="1009"/>
      <c r="D139" s="1009"/>
      <c r="E139" s="1009"/>
      <c r="F139" s="1009"/>
      <c r="G139" s="1009"/>
      <c r="H139" s="1009"/>
      <c r="I139" s="1010"/>
      <c r="J139" s="652">
        <f>SUM(J133:J138)</f>
        <v>228.75917333333334</v>
      </c>
      <c r="K139" s="653"/>
      <c r="L139" s="590"/>
      <c r="M139" s="590"/>
      <c r="N139" s="590"/>
      <c r="O139" s="590"/>
      <c r="P139" s="590"/>
      <c r="Q139" s="590"/>
      <c r="R139" s="590"/>
      <c r="S139" s="590"/>
      <c r="T139" s="590"/>
      <c r="U139" s="590"/>
      <c r="V139" s="590"/>
      <c r="W139" s="590"/>
      <c r="X139" s="590"/>
      <c r="Y139" s="590"/>
      <c r="Z139" s="590"/>
    </row>
    <row r="140" spans="1:26" ht="6" customHeight="1">
      <c r="A140" s="574"/>
      <c r="B140" s="1085"/>
      <c r="C140" s="1009"/>
      <c r="D140" s="1009"/>
      <c r="E140" s="1009"/>
      <c r="F140" s="1009"/>
      <c r="G140" s="1009"/>
      <c r="H140" s="1009"/>
      <c r="I140" s="1009"/>
      <c r="J140" s="1010"/>
      <c r="K140" s="693"/>
      <c r="L140" s="590"/>
      <c r="M140" s="590"/>
      <c r="N140" s="590"/>
      <c r="O140" s="590"/>
      <c r="P140" s="590"/>
      <c r="Q140" s="590"/>
      <c r="R140" s="590"/>
      <c r="S140" s="590"/>
      <c r="T140" s="590"/>
      <c r="U140" s="590"/>
      <c r="V140" s="590"/>
      <c r="W140" s="590"/>
      <c r="X140" s="590"/>
      <c r="Y140" s="590"/>
      <c r="Z140" s="590"/>
    </row>
    <row r="141" spans="1:26" ht="17.25" customHeight="1">
      <c r="A141" s="574"/>
      <c r="B141" s="1096" t="s">
        <v>658</v>
      </c>
      <c r="C141" s="1009"/>
      <c r="D141" s="1009"/>
      <c r="E141" s="1009"/>
      <c r="F141" s="1009"/>
      <c r="G141" s="1009"/>
      <c r="H141" s="1009"/>
      <c r="I141" s="1009"/>
      <c r="J141" s="1010"/>
      <c r="K141" s="646"/>
      <c r="L141" s="590"/>
      <c r="M141" s="590"/>
      <c r="N141" s="590"/>
      <c r="O141" s="590"/>
      <c r="P141" s="590"/>
      <c r="Q141" s="590"/>
      <c r="R141" s="590"/>
      <c r="S141" s="590"/>
      <c r="T141" s="590"/>
      <c r="U141" s="590"/>
      <c r="V141" s="590"/>
      <c r="W141" s="590"/>
      <c r="X141" s="590"/>
      <c r="Y141" s="590"/>
      <c r="Z141" s="590"/>
    </row>
    <row r="142" spans="1:26" ht="22.5" customHeight="1">
      <c r="A142" s="574"/>
      <c r="B142" s="705" t="s">
        <v>659</v>
      </c>
      <c r="C142" s="1097" t="s">
        <v>660</v>
      </c>
      <c r="D142" s="1009"/>
      <c r="E142" s="1009"/>
      <c r="F142" s="1009"/>
      <c r="G142" s="1009"/>
      <c r="H142" s="1009"/>
      <c r="I142" s="1010"/>
      <c r="J142" s="706" t="s">
        <v>591</v>
      </c>
      <c r="K142" s="707"/>
      <c r="L142" s="590"/>
      <c r="M142" s="590"/>
      <c r="N142" s="590"/>
      <c r="O142" s="590"/>
      <c r="P142" s="590"/>
      <c r="Q142" s="590"/>
      <c r="R142" s="590"/>
      <c r="S142" s="590"/>
      <c r="T142" s="590"/>
      <c r="U142" s="590"/>
      <c r="V142" s="590"/>
      <c r="W142" s="590"/>
      <c r="X142" s="590"/>
      <c r="Y142" s="590"/>
      <c r="Z142" s="590"/>
    </row>
    <row r="143" spans="1:26" ht="23.25" customHeight="1">
      <c r="A143" s="574"/>
      <c r="B143" s="647" t="s">
        <v>514</v>
      </c>
      <c r="C143" s="1096" t="s">
        <v>661</v>
      </c>
      <c r="D143" s="1009"/>
      <c r="E143" s="1009"/>
      <c r="F143" s="1009"/>
      <c r="G143" s="1009"/>
      <c r="H143" s="1009"/>
      <c r="I143" s="1010"/>
      <c r="J143" s="708">
        <v>0</v>
      </c>
      <c r="K143" s="709"/>
      <c r="L143" s="590"/>
      <c r="M143" s="590"/>
      <c r="N143" s="590"/>
      <c r="O143" s="590"/>
      <c r="P143" s="590"/>
      <c r="Q143" s="590"/>
      <c r="R143" s="590"/>
      <c r="S143" s="590"/>
      <c r="T143" s="590"/>
      <c r="U143" s="590"/>
      <c r="V143" s="590"/>
      <c r="W143" s="590"/>
      <c r="X143" s="590"/>
      <c r="Y143" s="590"/>
      <c r="Z143" s="590"/>
    </row>
    <row r="144" spans="1:26" ht="11.25" customHeight="1">
      <c r="A144" s="574"/>
      <c r="B144" s="1094" t="s">
        <v>594</v>
      </c>
      <c r="C144" s="1009"/>
      <c r="D144" s="1009"/>
      <c r="E144" s="1009"/>
      <c r="F144" s="1009"/>
      <c r="G144" s="1009"/>
      <c r="H144" s="1009"/>
      <c r="I144" s="1010"/>
      <c r="J144" s="710">
        <v>0</v>
      </c>
      <c r="K144" s="709"/>
      <c r="L144" s="590"/>
      <c r="M144" s="590"/>
      <c r="N144" s="590"/>
      <c r="O144" s="590"/>
      <c r="P144" s="590"/>
      <c r="Q144" s="590"/>
      <c r="R144" s="590"/>
      <c r="S144" s="590"/>
      <c r="T144" s="590"/>
      <c r="U144" s="590"/>
      <c r="V144" s="590"/>
      <c r="W144" s="590"/>
      <c r="X144" s="590"/>
      <c r="Y144" s="590"/>
      <c r="Z144" s="590"/>
    </row>
    <row r="145" spans="1:26" ht="6" customHeight="1">
      <c r="A145" s="574"/>
      <c r="B145" s="1095"/>
      <c r="C145" s="1009"/>
      <c r="D145" s="1009"/>
      <c r="E145" s="1009"/>
      <c r="F145" s="1009"/>
      <c r="G145" s="1009"/>
      <c r="H145" s="1009"/>
      <c r="I145" s="1009"/>
      <c r="J145" s="1010"/>
      <c r="K145" s="654"/>
      <c r="L145" s="590"/>
      <c r="M145" s="590"/>
      <c r="N145" s="590"/>
      <c r="O145" s="590"/>
      <c r="P145" s="590"/>
      <c r="Q145" s="590"/>
      <c r="R145" s="590"/>
      <c r="S145" s="590"/>
      <c r="T145" s="590"/>
      <c r="U145" s="590"/>
      <c r="V145" s="590"/>
      <c r="W145" s="590"/>
      <c r="X145" s="590"/>
      <c r="Y145" s="590"/>
      <c r="Z145" s="590"/>
    </row>
    <row r="146" spans="1:26" ht="19.5" customHeight="1">
      <c r="A146" s="574"/>
      <c r="B146" s="1096" t="s">
        <v>662</v>
      </c>
      <c r="C146" s="1009"/>
      <c r="D146" s="1009"/>
      <c r="E146" s="1009"/>
      <c r="F146" s="1009"/>
      <c r="G146" s="1009"/>
      <c r="H146" s="1009"/>
      <c r="I146" s="1009"/>
      <c r="J146" s="1010"/>
      <c r="K146" s="646"/>
      <c r="L146" s="590"/>
      <c r="M146" s="590"/>
      <c r="N146" s="590"/>
      <c r="O146" s="590"/>
      <c r="P146" s="590"/>
      <c r="Q146" s="590"/>
      <c r="R146" s="590"/>
      <c r="S146" s="590"/>
      <c r="T146" s="590"/>
      <c r="U146" s="590"/>
      <c r="V146" s="590"/>
      <c r="W146" s="590"/>
      <c r="X146" s="590"/>
      <c r="Y146" s="590"/>
      <c r="Z146" s="590"/>
    </row>
    <row r="147" spans="1:26" ht="23.25" customHeight="1">
      <c r="A147" s="574"/>
      <c r="B147" s="657">
        <v>4</v>
      </c>
      <c r="C147" s="1097" t="s">
        <v>663</v>
      </c>
      <c r="D147" s="1009"/>
      <c r="E147" s="1009"/>
      <c r="F147" s="1009"/>
      <c r="G147" s="1009"/>
      <c r="H147" s="1009"/>
      <c r="I147" s="1010"/>
      <c r="J147" s="706" t="s">
        <v>591</v>
      </c>
      <c r="K147" s="707"/>
      <c r="L147" s="590"/>
      <c r="M147" s="590"/>
      <c r="N147" s="590"/>
      <c r="O147" s="590"/>
      <c r="P147" s="590"/>
      <c r="Q147" s="590"/>
      <c r="R147" s="590"/>
      <c r="S147" s="590"/>
      <c r="T147" s="590"/>
      <c r="U147" s="590"/>
      <c r="V147" s="590"/>
      <c r="W147" s="590"/>
      <c r="X147" s="590"/>
      <c r="Y147" s="590"/>
      <c r="Z147" s="590"/>
    </row>
    <row r="148" spans="1:26" ht="11.25" customHeight="1">
      <c r="A148" s="574"/>
      <c r="B148" s="604" t="s">
        <v>650</v>
      </c>
      <c r="C148" s="1096" t="s">
        <v>651</v>
      </c>
      <c r="D148" s="1009"/>
      <c r="E148" s="1009"/>
      <c r="F148" s="1009"/>
      <c r="G148" s="1009"/>
      <c r="H148" s="1009"/>
      <c r="I148" s="1010"/>
      <c r="J148" s="708">
        <f>J139</f>
        <v>228.75917333333334</v>
      </c>
      <c r="K148" s="709"/>
      <c r="L148" s="590"/>
      <c r="M148" s="590"/>
      <c r="N148" s="590"/>
      <c r="O148" s="590"/>
      <c r="P148" s="590"/>
      <c r="Q148" s="590"/>
      <c r="R148" s="590"/>
      <c r="S148" s="590"/>
      <c r="T148" s="590"/>
      <c r="U148" s="590"/>
      <c r="V148" s="590"/>
      <c r="W148" s="590"/>
      <c r="X148" s="590"/>
      <c r="Y148" s="590"/>
      <c r="Z148" s="590"/>
    </row>
    <row r="149" spans="1:26" ht="11.25" customHeight="1">
      <c r="A149" s="574"/>
      <c r="B149" s="604" t="s">
        <v>664</v>
      </c>
      <c r="C149" s="1096" t="s">
        <v>660</v>
      </c>
      <c r="D149" s="1009"/>
      <c r="E149" s="1009"/>
      <c r="F149" s="1009"/>
      <c r="G149" s="1009"/>
      <c r="H149" s="1009"/>
      <c r="I149" s="1010"/>
      <c r="J149" s="708">
        <f>J144</f>
        <v>0</v>
      </c>
      <c r="K149" s="709"/>
      <c r="L149" s="590"/>
      <c r="M149" s="590"/>
      <c r="N149" s="590"/>
      <c r="O149" s="590"/>
      <c r="P149" s="590"/>
      <c r="Q149" s="590"/>
      <c r="R149" s="590"/>
      <c r="S149" s="590"/>
      <c r="T149" s="590"/>
      <c r="U149" s="590"/>
      <c r="V149" s="590"/>
      <c r="W149" s="590"/>
      <c r="X149" s="590"/>
      <c r="Y149" s="590"/>
      <c r="Z149" s="590"/>
    </row>
    <row r="150" spans="1:26" ht="11.25" customHeight="1">
      <c r="A150" s="574"/>
      <c r="B150" s="1160" t="s">
        <v>594</v>
      </c>
      <c r="C150" s="1009"/>
      <c r="D150" s="1009"/>
      <c r="E150" s="1009"/>
      <c r="F150" s="1009"/>
      <c r="G150" s="1009"/>
      <c r="H150" s="1009"/>
      <c r="I150" s="1010"/>
      <c r="J150" s="710">
        <f>SUM(J148+J149)</f>
        <v>228.75917333333334</v>
      </c>
      <c r="K150" s="709"/>
      <c r="L150" s="590"/>
      <c r="M150" s="590"/>
      <c r="N150" s="590"/>
      <c r="O150" s="590"/>
      <c r="P150" s="590"/>
      <c r="Q150" s="590"/>
      <c r="R150" s="590"/>
      <c r="S150" s="590"/>
      <c r="T150" s="590"/>
      <c r="U150" s="590"/>
      <c r="V150" s="590"/>
      <c r="W150" s="590"/>
      <c r="X150" s="590"/>
      <c r="Y150" s="590"/>
      <c r="Z150" s="590"/>
    </row>
    <row r="151" spans="1:26" ht="11.25" customHeight="1">
      <c r="A151" s="574"/>
      <c r="B151" s="1095"/>
      <c r="C151" s="1009"/>
      <c r="D151" s="1009"/>
      <c r="E151" s="1009"/>
      <c r="F151" s="1009"/>
      <c r="G151" s="1009"/>
      <c r="H151" s="1009"/>
      <c r="I151" s="1009"/>
      <c r="J151" s="1010"/>
      <c r="K151" s="654"/>
      <c r="L151" s="590"/>
      <c r="M151" s="590"/>
      <c r="N151" s="590"/>
      <c r="O151" s="590"/>
      <c r="P151" s="590"/>
      <c r="Q151" s="590"/>
      <c r="R151" s="590"/>
      <c r="S151" s="590"/>
      <c r="T151" s="590"/>
      <c r="U151" s="590"/>
      <c r="V151" s="590"/>
      <c r="W151" s="590"/>
      <c r="X151" s="590"/>
      <c r="Y151" s="590"/>
      <c r="Z151" s="590"/>
    </row>
    <row r="152" spans="1:26" ht="21" customHeight="1">
      <c r="A152" s="574"/>
      <c r="B152" s="1069" t="s">
        <v>665</v>
      </c>
      <c r="C152" s="1009"/>
      <c r="D152" s="1009"/>
      <c r="E152" s="1009"/>
      <c r="F152" s="1009"/>
      <c r="G152" s="1009"/>
      <c r="H152" s="1009"/>
      <c r="I152" s="1009"/>
      <c r="J152" s="1010"/>
      <c r="K152" s="594"/>
      <c r="L152" s="590"/>
      <c r="M152" s="590"/>
      <c r="N152" s="590"/>
      <c r="O152" s="590"/>
      <c r="P152" s="590"/>
      <c r="Q152" s="590"/>
      <c r="R152" s="590"/>
      <c r="S152" s="590"/>
      <c r="T152" s="590"/>
      <c r="U152" s="590"/>
      <c r="V152" s="590"/>
      <c r="W152" s="590"/>
      <c r="X152" s="590"/>
      <c r="Y152" s="590"/>
      <c r="Z152" s="590"/>
    </row>
    <row r="153" spans="1:26" ht="11.25" customHeight="1">
      <c r="A153" s="574"/>
      <c r="B153" s="669">
        <v>3</v>
      </c>
      <c r="C153" s="1083" t="s">
        <v>666</v>
      </c>
      <c r="D153" s="1009"/>
      <c r="E153" s="1009"/>
      <c r="F153" s="1009"/>
      <c r="G153" s="1009"/>
      <c r="H153" s="1009"/>
      <c r="I153" s="1010"/>
      <c r="J153" s="669" t="s">
        <v>591</v>
      </c>
      <c r="K153" s="601"/>
      <c r="L153" s="590"/>
      <c r="M153" s="590"/>
      <c r="N153" s="590"/>
      <c r="O153" s="590"/>
      <c r="P153" s="590"/>
      <c r="Q153" s="590"/>
      <c r="R153" s="590"/>
      <c r="S153" s="590"/>
      <c r="T153" s="590"/>
      <c r="U153" s="590"/>
      <c r="V153" s="590"/>
      <c r="W153" s="590"/>
      <c r="X153" s="590"/>
      <c r="Y153" s="590"/>
      <c r="Z153" s="590"/>
    </row>
    <row r="154" spans="1:26" ht="22.5" customHeight="1">
      <c r="A154" s="574"/>
      <c r="B154" s="671" t="s">
        <v>514</v>
      </c>
      <c r="C154" s="1069" t="s">
        <v>667</v>
      </c>
      <c r="D154" s="1009"/>
      <c r="E154" s="1009"/>
      <c r="F154" s="1009"/>
      <c r="G154" s="1009"/>
      <c r="H154" s="1009"/>
      <c r="I154" s="1010"/>
      <c r="J154" s="711">
        <f>'Uniformes - EPIs_TODOS'!E85</f>
        <v>116.70902777777776</v>
      </c>
      <c r="K154" s="653"/>
      <c r="L154" s="590"/>
      <c r="M154" s="590"/>
      <c r="N154" s="590"/>
      <c r="O154" s="590"/>
      <c r="P154" s="590"/>
      <c r="Q154" s="590"/>
      <c r="R154" s="590"/>
      <c r="S154" s="590"/>
      <c r="T154" s="590"/>
      <c r="U154" s="590"/>
      <c r="V154" s="590"/>
      <c r="W154" s="590"/>
      <c r="X154" s="590"/>
      <c r="Y154" s="590"/>
      <c r="Z154" s="590"/>
    </row>
    <row r="155" spans="1:26" ht="20.25" customHeight="1">
      <c r="A155" s="574"/>
      <c r="B155" s="671" t="s">
        <v>516</v>
      </c>
      <c r="C155" s="1069" t="s">
        <v>831</v>
      </c>
      <c r="D155" s="1009"/>
      <c r="E155" s="1009"/>
      <c r="F155" s="1009"/>
      <c r="G155" s="1009"/>
      <c r="H155" s="1009"/>
      <c r="I155" s="1010"/>
      <c r="J155" s="686">
        <f>'Uniformes - EPIs_TODOS'!E69</f>
        <v>174.59983333333329</v>
      </c>
      <c r="K155" s="644"/>
      <c r="L155" s="590"/>
      <c r="M155" s="590"/>
      <c r="N155" s="590"/>
      <c r="O155" s="590"/>
      <c r="P155" s="590"/>
      <c r="Q155" s="590"/>
      <c r="R155" s="590"/>
      <c r="S155" s="590"/>
      <c r="T155" s="590"/>
      <c r="U155" s="590"/>
      <c r="V155" s="590"/>
      <c r="W155" s="590"/>
      <c r="X155" s="590"/>
      <c r="Y155" s="590"/>
      <c r="Z155" s="590"/>
    </row>
    <row r="156" spans="1:26" ht="12.75" customHeight="1">
      <c r="A156" s="574"/>
      <c r="B156" s="671" t="s">
        <v>518</v>
      </c>
      <c r="C156" s="1069" t="s">
        <v>668</v>
      </c>
      <c r="D156" s="1009"/>
      <c r="E156" s="1009"/>
      <c r="F156" s="1009"/>
      <c r="G156" s="1009"/>
      <c r="H156" s="1009"/>
      <c r="I156" s="1010"/>
      <c r="J156" s="686" t="s">
        <v>669</v>
      </c>
      <c r="K156" s="644"/>
      <c r="L156" s="590"/>
      <c r="M156" s="590"/>
      <c r="N156" s="590"/>
      <c r="O156" s="590"/>
      <c r="P156" s="590"/>
      <c r="Q156" s="590"/>
      <c r="R156" s="590"/>
      <c r="S156" s="590"/>
      <c r="T156" s="590"/>
      <c r="U156" s="590"/>
      <c r="V156" s="590"/>
      <c r="W156" s="590"/>
      <c r="X156" s="590"/>
      <c r="Y156" s="590"/>
      <c r="Z156" s="590"/>
    </row>
    <row r="157" spans="1:26" ht="11.25" customHeight="1">
      <c r="A157" s="574"/>
      <c r="B157" s="1089" t="s">
        <v>670</v>
      </c>
      <c r="C157" s="1009"/>
      <c r="D157" s="1009"/>
      <c r="E157" s="1009"/>
      <c r="F157" s="1009"/>
      <c r="G157" s="1009"/>
      <c r="H157" s="1009"/>
      <c r="I157" s="1010"/>
      <c r="J157" s="643">
        <f>ROUND(SUM(J154:J156),2)</f>
        <v>291.31</v>
      </c>
      <c r="K157" s="644"/>
      <c r="L157" s="590"/>
      <c r="M157" s="590"/>
      <c r="N157" s="590"/>
      <c r="O157" s="590"/>
      <c r="P157" s="590"/>
      <c r="Q157" s="590"/>
      <c r="R157" s="590"/>
      <c r="S157" s="590"/>
      <c r="T157" s="590"/>
      <c r="U157" s="590"/>
      <c r="V157" s="590"/>
      <c r="W157" s="590"/>
      <c r="X157" s="590"/>
      <c r="Y157" s="590"/>
      <c r="Z157" s="590"/>
    </row>
    <row r="158" spans="1:26" ht="6.75" customHeight="1">
      <c r="A158" s="574"/>
      <c r="B158" s="1122"/>
      <c r="C158" s="1009"/>
      <c r="D158" s="1009"/>
      <c r="E158" s="1009"/>
      <c r="F158" s="1009"/>
      <c r="G158" s="1009"/>
      <c r="H158" s="1009"/>
      <c r="I158" s="1009"/>
      <c r="J158" s="1010"/>
      <c r="K158" s="601"/>
      <c r="L158" s="590"/>
      <c r="M158" s="590"/>
      <c r="N158" s="590"/>
      <c r="O158" s="590"/>
      <c r="P158" s="590"/>
      <c r="Q158" s="590"/>
      <c r="R158" s="590"/>
      <c r="S158" s="590"/>
      <c r="T158" s="590"/>
      <c r="U158" s="590"/>
      <c r="V158" s="590"/>
      <c r="W158" s="590"/>
      <c r="X158" s="590"/>
      <c r="Y158" s="590"/>
      <c r="Z158" s="590"/>
    </row>
    <row r="159" spans="1:26" ht="11.25" customHeight="1">
      <c r="A159" s="574"/>
      <c r="B159" s="1166" t="s">
        <v>671</v>
      </c>
      <c r="C159" s="1009"/>
      <c r="D159" s="1009"/>
      <c r="E159" s="1009"/>
      <c r="F159" s="1009"/>
      <c r="G159" s="1009"/>
      <c r="H159" s="1009"/>
      <c r="I159" s="1009"/>
      <c r="J159" s="1010"/>
      <c r="K159" s="712"/>
      <c r="L159" s="590"/>
      <c r="M159" s="590"/>
      <c r="N159" s="590"/>
      <c r="O159" s="590"/>
      <c r="P159" s="590"/>
      <c r="Q159" s="590"/>
      <c r="R159" s="590"/>
      <c r="S159" s="590"/>
      <c r="T159" s="590"/>
      <c r="U159" s="590"/>
      <c r="V159" s="590"/>
      <c r="W159" s="590"/>
      <c r="X159" s="590"/>
      <c r="Y159" s="590"/>
      <c r="Z159" s="590"/>
    </row>
    <row r="160" spans="1:26" ht="6.75" customHeight="1">
      <c r="A160" s="574"/>
      <c r="B160" s="713"/>
      <c r="C160" s="714"/>
      <c r="D160" s="714"/>
      <c r="E160" s="714"/>
      <c r="F160" s="714"/>
      <c r="G160" s="714"/>
      <c r="H160" s="714"/>
      <c r="I160" s="714"/>
      <c r="J160" s="715"/>
      <c r="K160" s="329"/>
      <c r="L160" s="590"/>
      <c r="M160" s="590"/>
      <c r="N160" s="590"/>
      <c r="O160" s="590"/>
      <c r="P160" s="590"/>
      <c r="Q160" s="590"/>
      <c r="R160" s="590"/>
      <c r="S160" s="590"/>
      <c r="T160" s="590"/>
      <c r="U160" s="590"/>
      <c r="V160" s="590"/>
      <c r="W160" s="590"/>
      <c r="X160" s="590"/>
      <c r="Y160" s="590"/>
      <c r="Z160" s="590"/>
    </row>
    <row r="161" spans="1:26" ht="21" customHeight="1">
      <c r="A161" s="574"/>
      <c r="B161" s="1109" t="s">
        <v>672</v>
      </c>
      <c r="C161" s="1009"/>
      <c r="D161" s="1009"/>
      <c r="E161" s="1009"/>
      <c r="F161" s="1009"/>
      <c r="G161" s="1009"/>
      <c r="H161" s="1009"/>
      <c r="I161" s="1009"/>
      <c r="J161" s="1010"/>
      <c r="K161" s="691"/>
      <c r="L161" s="590"/>
      <c r="M161" s="590"/>
      <c r="N161" s="590"/>
      <c r="O161" s="590"/>
      <c r="P161" s="590"/>
      <c r="Q161" s="590"/>
      <c r="R161" s="590"/>
      <c r="S161" s="590"/>
      <c r="T161" s="590"/>
      <c r="U161" s="590"/>
      <c r="V161" s="590"/>
      <c r="W161" s="590"/>
      <c r="X161" s="590"/>
      <c r="Y161" s="590"/>
      <c r="Z161" s="590"/>
    </row>
    <row r="162" spans="1:26" ht="31.5" customHeight="1">
      <c r="A162" s="574"/>
      <c r="B162" s="669">
        <v>6</v>
      </c>
      <c r="C162" s="1162" t="s">
        <v>673</v>
      </c>
      <c r="D162" s="1009"/>
      <c r="E162" s="1009"/>
      <c r="F162" s="1009"/>
      <c r="G162" s="1009"/>
      <c r="H162" s="1010"/>
      <c r="I162" s="670" t="s">
        <v>556</v>
      </c>
      <c r="J162" s="716" t="s">
        <v>599</v>
      </c>
      <c r="K162" s="717"/>
      <c r="L162" s="590"/>
      <c r="M162" s="590"/>
      <c r="N162" s="590"/>
      <c r="O162" s="590"/>
      <c r="P162" s="590"/>
      <c r="Q162" s="590"/>
      <c r="R162" s="590"/>
      <c r="S162" s="590"/>
      <c r="T162" s="590"/>
      <c r="U162" s="590"/>
      <c r="V162" s="590"/>
      <c r="W162" s="590"/>
      <c r="X162" s="590"/>
      <c r="Y162" s="590"/>
      <c r="Z162" s="590"/>
    </row>
    <row r="163" spans="1:26" ht="54.75" customHeight="1">
      <c r="A163" s="574"/>
      <c r="B163" s="1125" t="s">
        <v>674</v>
      </c>
      <c r="C163" s="1009"/>
      <c r="D163" s="1009"/>
      <c r="E163" s="1009"/>
      <c r="F163" s="1009"/>
      <c r="G163" s="1009"/>
      <c r="H163" s="1010"/>
      <c r="I163" s="718" t="s">
        <v>527</v>
      </c>
      <c r="J163" s="719">
        <f>SUM(J63+J115+J124+J150+J157)</f>
        <v>3500.0126278787884</v>
      </c>
      <c r="K163" s="720"/>
      <c r="L163" s="590"/>
      <c r="M163" s="590"/>
      <c r="N163" s="590"/>
      <c r="O163" s="590"/>
      <c r="P163" s="590"/>
      <c r="Q163" s="590"/>
      <c r="R163" s="590"/>
      <c r="S163" s="590"/>
      <c r="T163" s="590"/>
      <c r="U163" s="590"/>
      <c r="V163" s="590"/>
      <c r="W163" s="590"/>
      <c r="X163" s="590"/>
      <c r="Y163" s="590"/>
      <c r="Z163" s="590"/>
    </row>
    <row r="164" spans="1:26" ht="18" customHeight="1">
      <c r="A164" s="574"/>
      <c r="B164" s="671" t="s">
        <v>514</v>
      </c>
      <c r="C164" s="1109" t="s">
        <v>675</v>
      </c>
      <c r="D164" s="1009"/>
      <c r="E164" s="1009"/>
      <c r="F164" s="1009"/>
      <c r="G164" s="1009"/>
      <c r="H164" s="1010"/>
      <c r="I164" s="659">
        <f>'1-ABA-DE-CARREGAMENTO'!E85</f>
        <v>0.06</v>
      </c>
      <c r="J164" s="660">
        <f>ROUND(I164*J163,2)</f>
        <v>210</v>
      </c>
      <c r="K164" s="653"/>
      <c r="L164" s="590"/>
      <c r="M164" s="590"/>
      <c r="N164" s="590"/>
      <c r="O164" s="590"/>
      <c r="P164" s="590"/>
      <c r="Q164" s="590"/>
      <c r="R164" s="590"/>
      <c r="S164" s="590"/>
      <c r="T164" s="590"/>
      <c r="U164" s="590"/>
      <c r="V164" s="590"/>
      <c r="W164" s="590"/>
      <c r="X164" s="590"/>
      <c r="Y164" s="590"/>
      <c r="Z164" s="590"/>
    </row>
    <row r="165" spans="1:26" ht="51" customHeight="1">
      <c r="A165" s="574"/>
      <c r="B165" s="1125" t="s">
        <v>676</v>
      </c>
      <c r="C165" s="1009"/>
      <c r="D165" s="1009"/>
      <c r="E165" s="1009"/>
      <c r="F165" s="1009"/>
      <c r="G165" s="1009"/>
      <c r="H165" s="1010"/>
      <c r="I165" s="721" t="s">
        <v>527</v>
      </c>
      <c r="J165" s="719">
        <f>SUM(J63+J115+J124+J150+J157+J164)</f>
        <v>3710.0126278787884</v>
      </c>
      <c r="K165" s="720"/>
      <c r="L165" s="590"/>
      <c r="M165" s="590"/>
      <c r="N165" s="590"/>
      <c r="O165" s="590"/>
      <c r="P165" s="590"/>
      <c r="Q165" s="590"/>
      <c r="R165" s="590"/>
      <c r="S165" s="590"/>
      <c r="T165" s="590"/>
      <c r="U165" s="590"/>
      <c r="V165" s="590"/>
      <c r="W165" s="590"/>
      <c r="X165" s="590"/>
      <c r="Y165" s="590"/>
      <c r="Z165" s="590"/>
    </row>
    <row r="166" spans="1:26" ht="15" customHeight="1">
      <c r="A166" s="574"/>
      <c r="B166" s="671" t="s">
        <v>516</v>
      </c>
      <c r="C166" s="1109" t="s">
        <v>312</v>
      </c>
      <c r="D166" s="1009"/>
      <c r="E166" s="1009"/>
      <c r="F166" s="1009"/>
      <c r="G166" s="1009"/>
      <c r="H166" s="1010"/>
      <c r="I166" s="659">
        <f>'1-ABA-DE-CARREGAMENTO'!E86</f>
        <v>0.06</v>
      </c>
      <c r="J166" s="660">
        <f>ROUND(I166*J165,2)</f>
        <v>222.6</v>
      </c>
      <c r="K166" s="653"/>
      <c r="L166" s="590"/>
      <c r="M166" s="590"/>
      <c r="N166" s="590"/>
      <c r="O166" s="590"/>
      <c r="P166" s="590"/>
      <c r="Q166" s="590"/>
      <c r="R166" s="590"/>
      <c r="S166" s="590"/>
      <c r="T166" s="590"/>
      <c r="U166" s="590"/>
      <c r="V166" s="590"/>
      <c r="W166" s="590"/>
      <c r="X166" s="590"/>
      <c r="Y166" s="590"/>
      <c r="Z166" s="590"/>
    </row>
    <row r="167" spans="1:26" ht="58.5" customHeight="1">
      <c r="A167" s="574"/>
      <c r="B167" s="1125" t="s">
        <v>677</v>
      </c>
      <c r="C167" s="1009"/>
      <c r="D167" s="1009"/>
      <c r="E167" s="1009"/>
      <c r="F167" s="1009"/>
      <c r="G167" s="1009"/>
      <c r="H167" s="1010"/>
      <c r="I167" s="721" t="s">
        <v>527</v>
      </c>
      <c r="J167" s="719">
        <f>SUM(J163+J164+J166)</f>
        <v>3932.6126278787883</v>
      </c>
      <c r="K167" s="720"/>
      <c r="L167" s="590"/>
      <c r="M167" s="590"/>
      <c r="N167" s="590"/>
      <c r="O167" s="590"/>
      <c r="P167" s="590"/>
      <c r="Q167" s="590"/>
      <c r="R167" s="590"/>
      <c r="S167" s="590"/>
      <c r="T167" s="590"/>
      <c r="U167" s="590"/>
      <c r="V167" s="590"/>
      <c r="W167" s="590"/>
      <c r="X167" s="590"/>
      <c r="Y167" s="590"/>
      <c r="Z167" s="590"/>
    </row>
    <row r="168" spans="1:26" ht="18" customHeight="1">
      <c r="A168" s="574"/>
      <c r="B168" s="671" t="s">
        <v>518</v>
      </c>
      <c r="C168" s="1109" t="s">
        <v>678</v>
      </c>
      <c r="D168" s="1009"/>
      <c r="E168" s="1009"/>
      <c r="F168" s="1009"/>
      <c r="G168" s="1009"/>
      <c r="H168" s="1010"/>
      <c r="I168" s="628" t="s">
        <v>527</v>
      </c>
      <c r="J168" s="638" t="s">
        <v>527</v>
      </c>
      <c r="K168" s="639"/>
      <c r="L168" s="590"/>
      <c r="M168" s="590"/>
      <c r="N168" s="590"/>
      <c r="O168" s="590"/>
      <c r="P168" s="590"/>
      <c r="Q168" s="590"/>
      <c r="R168" s="590"/>
      <c r="S168" s="590"/>
      <c r="T168" s="590"/>
      <c r="U168" s="590"/>
      <c r="V168" s="590"/>
      <c r="W168" s="590"/>
      <c r="X168" s="590"/>
      <c r="Y168" s="590"/>
      <c r="Z168" s="590"/>
    </row>
    <row r="169" spans="1:26" ht="11.25" customHeight="1">
      <c r="A169" s="574"/>
      <c r="B169" s="671"/>
      <c r="C169" s="1109" t="s">
        <v>679</v>
      </c>
      <c r="D169" s="1009"/>
      <c r="E169" s="1009"/>
      <c r="F169" s="1009"/>
      <c r="G169" s="1009"/>
      <c r="H169" s="1010"/>
      <c r="I169" s="628" t="s">
        <v>527</v>
      </c>
      <c r="J169" s="638" t="s">
        <v>527</v>
      </c>
      <c r="K169" s="639"/>
      <c r="L169" s="590"/>
      <c r="M169" s="590"/>
      <c r="N169" s="590"/>
      <c r="O169" s="590"/>
      <c r="P169" s="590"/>
      <c r="Q169" s="590"/>
      <c r="R169" s="590"/>
      <c r="S169" s="590"/>
      <c r="T169" s="590"/>
      <c r="U169" s="590"/>
      <c r="V169" s="590"/>
      <c r="W169" s="590"/>
      <c r="X169" s="590"/>
      <c r="Y169" s="590"/>
      <c r="Z169" s="590"/>
    </row>
    <row r="170" spans="1:26" ht="15" customHeight="1">
      <c r="A170" s="574"/>
      <c r="B170" s="671"/>
      <c r="C170" s="1099" t="s">
        <v>832</v>
      </c>
      <c r="D170" s="1009"/>
      <c r="E170" s="1009"/>
      <c r="F170" s="1009"/>
      <c r="G170" s="1009"/>
      <c r="H170" s="1010"/>
      <c r="I170" s="627">
        <f>'1-ABA-DE-CARREGAMENTO'!E28</f>
        <v>1.6500000000000001E-2</v>
      </c>
      <c r="J170" s="722">
        <f t="shared" ref="J170:J171" si="3">ROUND(($J$167/(1-$I$179))*I170,2)</f>
        <v>74.8</v>
      </c>
      <c r="K170" s="723"/>
      <c r="L170" s="590"/>
      <c r="M170" s="590"/>
      <c r="N170" s="590"/>
      <c r="O170" s="590"/>
      <c r="P170" s="590"/>
      <c r="Q170" s="590"/>
      <c r="R170" s="590"/>
      <c r="S170" s="590"/>
      <c r="T170" s="590"/>
      <c r="U170" s="590"/>
      <c r="V170" s="590"/>
      <c r="W170" s="590"/>
      <c r="X170" s="590"/>
      <c r="Y170" s="590"/>
      <c r="Z170" s="590"/>
    </row>
    <row r="171" spans="1:26" ht="15" customHeight="1">
      <c r="A171" s="574"/>
      <c r="B171" s="671"/>
      <c r="C171" s="1099" t="s">
        <v>833</v>
      </c>
      <c r="D171" s="1009"/>
      <c r="E171" s="1009"/>
      <c r="F171" s="1009"/>
      <c r="G171" s="1009"/>
      <c r="H171" s="1010"/>
      <c r="I171" s="627">
        <f>'1-ABA-DE-CARREGAMENTO'!F28</f>
        <v>7.5999999999999998E-2</v>
      </c>
      <c r="J171" s="722">
        <f t="shared" si="3"/>
        <v>344.53</v>
      </c>
      <c r="K171" s="723"/>
      <c r="L171" s="590"/>
      <c r="M171" s="590"/>
      <c r="N171" s="590"/>
      <c r="O171" s="590"/>
      <c r="P171" s="590"/>
      <c r="Q171" s="590"/>
      <c r="R171" s="590"/>
      <c r="S171" s="590"/>
      <c r="T171" s="590"/>
      <c r="U171" s="590"/>
      <c r="V171" s="590"/>
      <c r="W171" s="590"/>
      <c r="X171" s="590"/>
      <c r="Y171" s="590"/>
      <c r="Z171" s="590"/>
    </row>
    <row r="172" spans="1:26" ht="11.25" customHeight="1">
      <c r="A172" s="574"/>
      <c r="B172" s="671"/>
      <c r="C172" s="1069" t="s">
        <v>834</v>
      </c>
      <c r="D172" s="1009"/>
      <c r="E172" s="1009"/>
      <c r="F172" s="1009"/>
      <c r="G172" s="1009"/>
      <c r="H172" s="1010"/>
      <c r="I172" s="627" t="s">
        <v>527</v>
      </c>
      <c r="J172" s="638" t="s">
        <v>527</v>
      </c>
      <c r="K172" s="639"/>
      <c r="L172" s="590"/>
      <c r="M172" s="590"/>
      <c r="N172" s="590"/>
      <c r="O172" s="590"/>
      <c r="P172" s="590"/>
      <c r="Q172" s="590"/>
      <c r="R172" s="590"/>
      <c r="S172" s="590"/>
      <c r="T172" s="590"/>
      <c r="U172" s="590"/>
      <c r="V172" s="590"/>
      <c r="W172" s="590"/>
      <c r="X172" s="590"/>
      <c r="Y172" s="590"/>
      <c r="Z172" s="590"/>
    </row>
    <row r="173" spans="1:26" ht="11.25" customHeight="1">
      <c r="A173" s="574"/>
      <c r="B173" s="671"/>
      <c r="C173" s="1069" t="s">
        <v>835</v>
      </c>
      <c r="D173" s="1009"/>
      <c r="E173" s="1009"/>
      <c r="F173" s="1009"/>
      <c r="G173" s="1009"/>
      <c r="H173" s="1010"/>
      <c r="I173" s="627" t="s">
        <v>527</v>
      </c>
      <c r="J173" s="638" t="s">
        <v>527</v>
      </c>
      <c r="K173" s="639"/>
      <c r="L173" s="590"/>
      <c r="M173" s="590"/>
      <c r="N173" s="590"/>
      <c r="O173" s="590"/>
      <c r="P173" s="590"/>
      <c r="Q173" s="590"/>
      <c r="R173" s="590"/>
      <c r="S173" s="590"/>
      <c r="T173" s="590"/>
      <c r="U173" s="590"/>
      <c r="V173" s="590"/>
      <c r="W173" s="590"/>
      <c r="X173" s="590"/>
      <c r="Y173" s="590"/>
      <c r="Z173" s="590"/>
    </row>
    <row r="174" spans="1:26" ht="11.25" customHeight="1">
      <c r="A174" s="574"/>
      <c r="B174" s="671"/>
      <c r="C174" s="1069" t="s">
        <v>684</v>
      </c>
      <c r="D174" s="1009"/>
      <c r="E174" s="1009"/>
      <c r="F174" s="1009"/>
      <c r="G174" s="1009"/>
      <c r="H174" s="1009"/>
      <c r="I174" s="724" t="s">
        <v>527</v>
      </c>
      <c r="J174" s="725" t="s">
        <v>527</v>
      </c>
      <c r="K174" s="726"/>
      <c r="L174" s="590"/>
      <c r="M174" s="590"/>
      <c r="N174" s="590"/>
      <c r="O174" s="590"/>
      <c r="P174" s="590"/>
      <c r="Q174" s="590"/>
      <c r="R174" s="590"/>
      <c r="S174" s="590"/>
      <c r="T174" s="590"/>
      <c r="U174" s="590"/>
      <c r="V174" s="590"/>
      <c r="W174" s="590"/>
      <c r="X174" s="590"/>
      <c r="Y174" s="590"/>
      <c r="Z174" s="590"/>
    </row>
    <row r="175" spans="1:26" ht="11.25" customHeight="1">
      <c r="A175" s="574"/>
      <c r="B175" s="671"/>
      <c r="C175" s="1069" t="s">
        <v>685</v>
      </c>
      <c r="D175" s="1009"/>
      <c r="E175" s="1009"/>
      <c r="F175" s="1009"/>
      <c r="G175" s="1009"/>
      <c r="H175" s="1009"/>
      <c r="I175" s="724" t="s">
        <v>527</v>
      </c>
      <c r="J175" s="725" t="s">
        <v>527</v>
      </c>
      <c r="K175" s="726"/>
      <c r="L175" s="590"/>
      <c r="M175" s="590"/>
      <c r="N175" s="590"/>
      <c r="O175" s="590"/>
      <c r="P175" s="590"/>
      <c r="Q175" s="590"/>
      <c r="R175" s="590"/>
      <c r="S175" s="590"/>
      <c r="T175" s="590"/>
      <c r="U175" s="590"/>
      <c r="V175" s="590"/>
      <c r="W175" s="590"/>
      <c r="X175" s="590"/>
      <c r="Y175" s="590"/>
      <c r="Z175" s="590"/>
    </row>
    <row r="176" spans="1:26" ht="11.25" customHeight="1">
      <c r="A176" s="574"/>
      <c r="B176" s="671"/>
      <c r="C176" s="1069" t="s">
        <v>836</v>
      </c>
      <c r="D176" s="1009"/>
      <c r="E176" s="1009"/>
      <c r="F176" s="1009"/>
      <c r="G176" s="1009"/>
      <c r="H176" s="1010"/>
      <c r="I176" s="727">
        <f>'1-ABA-DE-CARREGAMENTO'!D87</f>
        <v>0.04</v>
      </c>
      <c r="J176" s="722">
        <f>ROUND(($J$167/(1-$I$179))*I176,2)</f>
        <v>181.33</v>
      </c>
      <c r="K176" s="723"/>
      <c r="L176" s="590"/>
      <c r="M176" s="590"/>
      <c r="N176" s="590"/>
      <c r="O176" s="590"/>
      <c r="P176" s="590"/>
      <c r="Q176" s="590"/>
      <c r="R176" s="590"/>
      <c r="S176" s="590"/>
      <c r="T176" s="590"/>
      <c r="U176" s="590"/>
      <c r="V176" s="590"/>
      <c r="W176" s="590"/>
      <c r="X176" s="590"/>
      <c r="Y176" s="590"/>
      <c r="Z176" s="590"/>
    </row>
    <row r="177" spans="1:26" ht="11.25" customHeight="1">
      <c r="A177" s="574"/>
      <c r="B177" s="1089" t="s">
        <v>641</v>
      </c>
      <c r="C177" s="1009"/>
      <c r="D177" s="1009"/>
      <c r="E177" s="1009"/>
      <c r="F177" s="1009"/>
      <c r="G177" s="1009"/>
      <c r="H177" s="1009"/>
      <c r="I177" s="1010"/>
      <c r="J177" s="652">
        <f>SUM(J164+J166+J170+J171+J176)</f>
        <v>1033.26</v>
      </c>
      <c r="K177" s="653"/>
      <c r="L177" s="590"/>
      <c r="M177" s="590"/>
      <c r="N177" s="590"/>
      <c r="O177" s="590"/>
      <c r="P177" s="590"/>
      <c r="Q177" s="590"/>
      <c r="R177" s="590"/>
      <c r="S177" s="590"/>
      <c r="T177" s="590"/>
      <c r="U177" s="590"/>
      <c r="V177" s="590"/>
      <c r="W177" s="590"/>
      <c r="X177" s="590"/>
      <c r="Y177" s="590"/>
      <c r="Z177" s="590"/>
    </row>
    <row r="178" spans="1:26" ht="6.75" customHeight="1">
      <c r="A178" s="574"/>
      <c r="B178" s="1085"/>
      <c r="C178" s="1009"/>
      <c r="D178" s="1009"/>
      <c r="E178" s="1009"/>
      <c r="F178" s="1009"/>
      <c r="G178" s="1009"/>
      <c r="H178" s="1009"/>
      <c r="I178" s="1009"/>
      <c r="J178" s="1010"/>
      <c r="K178" s="693"/>
      <c r="L178" s="590"/>
      <c r="M178" s="590"/>
      <c r="N178" s="590"/>
      <c r="O178" s="590"/>
      <c r="P178" s="590"/>
      <c r="Q178" s="590"/>
      <c r="R178" s="590"/>
      <c r="S178" s="590"/>
      <c r="T178" s="590"/>
      <c r="U178" s="590"/>
      <c r="V178" s="590"/>
      <c r="W178" s="590"/>
      <c r="X178" s="590"/>
      <c r="Y178" s="590"/>
      <c r="Z178" s="590"/>
    </row>
    <row r="179" spans="1:26" ht="11.25" customHeight="1">
      <c r="A179" s="574"/>
      <c r="B179" s="1100" t="s">
        <v>687</v>
      </c>
      <c r="C179" s="1009"/>
      <c r="D179" s="1009"/>
      <c r="E179" s="1009"/>
      <c r="F179" s="1009"/>
      <c r="G179" s="1009"/>
      <c r="H179" s="1010"/>
      <c r="I179" s="728">
        <f t="shared" ref="I179:J179" si="4">SUM(I170:I176)</f>
        <v>0.13250000000000001</v>
      </c>
      <c r="J179" s="719">
        <f t="shared" si="4"/>
        <v>600.66</v>
      </c>
      <c r="K179" s="720"/>
      <c r="L179" s="590"/>
      <c r="M179" s="590"/>
      <c r="N179" s="590"/>
      <c r="O179" s="590"/>
      <c r="P179" s="590"/>
      <c r="Q179" s="590"/>
      <c r="R179" s="590"/>
      <c r="S179" s="590"/>
      <c r="T179" s="590"/>
      <c r="U179" s="590"/>
      <c r="V179" s="590"/>
      <c r="W179" s="590"/>
      <c r="X179" s="590"/>
      <c r="Y179" s="590"/>
      <c r="Z179" s="590"/>
    </row>
    <row r="180" spans="1:26" ht="11.25" customHeight="1">
      <c r="A180" s="574"/>
      <c r="B180" s="1101" t="s">
        <v>688</v>
      </c>
      <c r="C180" s="1023"/>
      <c r="D180" s="1104" t="s">
        <v>689</v>
      </c>
      <c r="E180" s="1023"/>
      <c r="F180" s="1023"/>
      <c r="G180" s="1023"/>
      <c r="H180" s="1023"/>
      <c r="I180" s="1023"/>
      <c r="J180" s="1040"/>
      <c r="K180" s="729"/>
      <c r="L180" s="590"/>
      <c r="M180" s="590"/>
      <c r="N180" s="590"/>
      <c r="O180" s="590"/>
      <c r="P180" s="590"/>
      <c r="Q180" s="590"/>
      <c r="R180" s="590"/>
      <c r="S180" s="590"/>
      <c r="T180" s="590"/>
      <c r="U180" s="590"/>
      <c r="V180" s="590"/>
      <c r="W180" s="590"/>
      <c r="X180" s="590"/>
      <c r="Y180" s="590"/>
      <c r="Z180" s="590"/>
    </row>
    <row r="181" spans="1:26" ht="11.25" customHeight="1">
      <c r="A181" s="574"/>
      <c r="B181" s="1102"/>
      <c r="C181" s="1023"/>
      <c r="D181" s="1105" t="s">
        <v>690</v>
      </c>
      <c r="E181" s="1023"/>
      <c r="F181" s="1023"/>
      <c r="G181" s="1023"/>
      <c r="H181" s="1023"/>
      <c r="I181" s="1023"/>
      <c r="J181" s="1040"/>
      <c r="K181" s="730"/>
      <c r="L181" s="590"/>
      <c r="M181" s="590"/>
      <c r="N181" s="590"/>
      <c r="O181" s="590"/>
      <c r="P181" s="590"/>
      <c r="Q181" s="590"/>
      <c r="R181" s="590"/>
      <c r="S181" s="590"/>
      <c r="T181" s="590"/>
      <c r="U181" s="590"/>
      <c r="V181" s="590"/>
      <c r="W181" s="590"/>
      <c r="X181" s="590"/>
      <c r="Y181" s="590"/>
      <c r="Z181" s="590"/>
    </row>
    <row r="182" spans="1:26" ht="11.25" customHeight="1">
      <c r="A182" s="574"/>
      <c r="B182" s="1103"/>
      <c r="C182" s="1060"/>
      <c r="D182" s="1106" t="s">
        <v>691</v>
      </c>
      <c r="E182" s="1060"/>
      <c r="F182" s="1060"/>
      <c r="G182" s="1060"/>
      <c r="H182" s="1060"/>
      <c r="I182" s="1060"/>
      <c r="J182" s="1062"/>
      <c r="K182" s="729"/>
      <c r="L182" s="590"/>
      <c r="M182" s="590"/>
      <c r="N182" s="590"/>
      <c r="O182" s="590"/>
      <c r="P182" s="590"/>
      <c r="Q182" s="590"/>
      <c r="R182" s="590"/>
      <c r="S182" s="590"/>
      <c r="T182" s="590"/>
      <c r="U182" s="590"/>
      <c r="V182" s="590"/>
      <c r="W182" s="590"/>
      <c r="X182" s="590"/>
      <c r="Y182" s="590"/>
      <c r="Z182" s="590"/>
    </row>
    <row r="183" spans="1:26" ht="6.75" customHeight="1">
      <c r="A183" s="574"/>
      <c r="B183" s="1107"/>
      <c r="C183" s="1009"/>
      <c r="D183" s="1009"/>
      <c r="E183" s="1009"/>
      <c r="F183" s="1009"/>
      <c r="G183" s="1009"/>
      <c r="H183" s="1009"/>
      <c r="I183" s="1009"/>
      <c r="J183" s="1010"/>
      <c r="K183" s="731"/>
      <c r="L183" s="590"/>
      <c r="M183" s="590"/>
      <c r="N183" s="590"/>
      <c r="O183" s="590"/>
      <c r="P183" s="590"/>
      <c r="Q183" s="590"/>
      <c r="R183" s="590"/>
      <c r="S183" s="590"/>
      <c r="T183" s="590"/>
      <c r="U183" s="590"/>
      <c r="V183" s="590"/>
      <c r="W183" s="590"/>
      <c r="X183" s="590"/>
      <c r="Y183" s="590"/>
      <c r="Z183" s="590"/>
    </row>
    <row r="184" spans="1:26" ht="11.25" customHeight="1">
      <c r="A184" s="574"/>
      <c r="B184" s="1084" t="s">
        <v>692</v>
      </c>
      <c r="C184" s="1009"/>
      <c r="D184" s="1009"/>
      <c r="E184" s="1009"/>
      <c r="F184" s="1009"/>
      <c r="G184" s="1009"/>
      <c r="H184" s="1009"/>
      <c r="I184" s="1009"/>
      <c r="J184" s="1010"/>
      <c r="K184" s="600"/>
      <c r="L184" s="590"/>
      <c r="M184" s="590"/>
      <c r="N184" s="590"/>
      <c r="O184" s="590"/>
      <c r="P184" s="590"/>
      <c r="Q184" s="590"/>
      <c r="R184" s="590"/>
      <c r="S184" s="590"/>
      <c r="T184" s="590"/>
      <c r="U184" s="590"/>
      <c r="V184" s="590"/>
      <c r="W184" s="590"/>
      <c r="X184" s="590"/>
      <c r="Y184" s="590"/>
      <c r="Z184" s="590"/>
    </row>
    <row r="185" spans="1:26" ht="6.75" customHeight="1">
      <c r="A185" s="574"/>
      <c r="B185" s="1085"/>
      <c r="C185" s="1009"/>
      <c r="D185" s="1009"/>
      <c r="E185" s="1009"/>
      <c r="F185" s="1009"/>
      <c r="G185" s="1009"/>
      <c r="H185" s="1009"/>
      <c r="I185" s="1009"/>
      <c r="J185" s="1010"/>
      <c r="K185" s="693"/>
      <c r="L185" s="590"/>
      <c r="M185" s="590"/>
      <c r="N185" s="590"/>
      <c r="O185" s="590"/>
      <c r="P185" s="590"/>
      <c r="Q185" s="590"/>
      <c r="R185" s="590"/>
      <c r="S185" s="590"/>
      <c r="T185" s="590"/>
      <c r="U185" s="590"/>
      <c r="V185" s="590"/>
      <c r="W185" s="590"/>
      <c r="X185" s="590"/>
      <c r="Y185" s="590"/>
      <c r="Z185" s="590"/>
    </row>
    <row r="186" spans="1:26" ht="11.25" customHeight="1">
      <c r="A186" s="574"/>
      <c r="B186" s="1069" t="s">
        <v>837</v>
      </c>
      <c r="C186" s="1009"/>
      <c r="D186" s="1009"/>
      <c r="E186" s="1009"/>
      <c r="F186" s="1009"/>
      <c r="G186" s="1009"/>
      <c r="H186" s="1009"/>
      <c r="I186" s="1009"/>
      <c r="J186" s="1010"/>
      <c r="K186" s="594"/>
      <c r="L186" s="590"/>
      <c r="M186" s="590"/>
      <c r="N186" s="590"/>
      <c r="O186" s="590"/>
      <c r="P186" s="590"/>
      <c r="Q186" s="590"/>
      <c r="R186" s="590"/>
      <c r="S186" s="590"/>
      <c r="T186" s="590"/>
      <c r="U186" s="590"/>
      <c r="V186" s="590"/>
      <c r="W186" s="590"/>
      <c r="X186" s="590"/>
      <c r="Y186" s="590"/>
      <c r="Z186" s="590"/>
    </row>
    <row r="187" spans="1:26" ht="11.25" customHeight="1">
      <c r="A187" s="574"/>
      <c r="B187" s="1086" t="s">
        <v>694</v>
      </c>
      <c r="C187" s="1009"/>
      <c r="D187" s="1009"/>
      <c r="E187" s="1009"/>
      <c r="F187" s="1009"/>
      <c r="G187" s="1009"/>
      <c r="H187" s="1009"/>
      <c r="I187" s="1010"/>
      <c r="J187" s="670" t="s">
        <v>591</v>
      </c>
      <c r="K187" s="592"/>
      <c r="L187" s="590"/>
      <c r="M187" s="590"/>
      <c r="N187" s="590"/>
      <c r="O187" s="590"/>
      <c r="P187" s="590"/>
      <c r="Q187" s="590"/>
      <c r="R187" s="590"/>
      <c r="S187" s="590"/>
      <c r="T187" s="590"/>
      <c r="U187" s="590"/>
      <c r="V187" s="590"/>
      <c r="W187" s="590"/>
      <c r="X187" s="590"/>
      <c r="Y187" s="590"/>
      <c r="Z187" s="590"/>
    </row>
    <row r="188" spans="1:26" ht="11.25" customHeight="1">
      <c r="A188" s="574"/>
      <c r="B188" s="732" t="s">
        <v>514</v>
      </c>
      <c r="C188" s="1078" t="s">
        <v>695</v>
      </c>
      <c r="D188" s="1009"/>
      <c r="E188" s="1009"/>
      <c r="F188" s="1009"/>
      <c r="G188" s="1009"/>
      <c r="H188" s="1009"/>
      <c r="I188" s="1009"/>
      <c r="J188" s="686">
        <f>J63</f>
        <v>1587.1534545454547</v>
      </c>
      <c r="K188" s="644"/>
      <c r="L188" s="590"/>
      <c r="M188" s="590"/>
      <c r="N188" s="590"/>
      <c r="O188" s="590"/>
      <c r="P188" s="590"/>
      <c r="Q188" s="590"/>
      <c r="R188" s="590"/>
      <c r="S188" s="590"/>
      <c r="T188" s="590"/>
      <c r="U188" s="590"/>
      <c r="V188" s="590"/>
      <c r="W188" s="590"/>
      <c r="X188" s="590"/>
      <c r="Y188" s="590"/>
      <c r="Z188" s="590"/>
    </row>
    <row r="189" spans="1:26" ht="11.25" customHeight="1">
      <c r="A189" s="574"/>
      <c r="B189" s="732" t="s">
        <v>516</v>
      </c>
      <c r="C189" s="1078" t="s">
        <v>696</v>
      </c>
      <c r="D189" s="1009"/>
      <c r="E189" s="1009"/>
      <c r="F189" s="1009"/>
      <c r="G189" s="1009"/>
      <c r="H189" s="1009"/>
      <c r="I189" s="1009"/>
      <c r="J189" s="686">
        <f>J115</f>
        <v>1303.8700000000001</v>
      </c>
      <c r="K189" s="644"/>
      <c r="L189" s="590"/>
      <c r="M189" s="590"/>
      <c r="N189" s="590"/>
      <c r="O189" s="590"/>
      <c r="P189" s="590"/>
      <c r="Q189" s="590"/>
      <c r="R189" s="590"/>
      <c r="S189" s="590"/>
      <c r="T189" s="590"/>
      <c r="U189" s="590"/>
      <c r="V189" s="590"/>
      <c r="W189" s="590"/>
      <c r="X189" s="590"/>
      <c r="Y189" s="590"/>
      <c r="Z189" s="590"/>
    </row>
    <row r="190" spans="1:26" ht="11.25" customHeight="1">
      <c r="A190" s="574"/>
      <c r="B190" s="732" t="s">
        <v>518</v>
      </c>
      <c r="C190" s="1078" t="s">
        <v>697</v>
      </c>
      <c r="D190" s="1009"/>
      <c r="E190" s="1009"/>
      <c r="F190" s="1009"/>
      <c r="G190" s="1009"/>
      <c r="H190" s="1009"/>
      <c r="I190" s="1009"/>
      <c r="J190" s="686">
        <f>J124</f>
        <v>88.92</v>
      </c>
      <c r="K190" s="644"/>
      <c r="L190" s="590"/>
      <c r="M190" s="590"/>
      <c r="N190" s="590"/>
      <c r="O190" s="590"/>
      <c r="P190" s="590"/>
      <c r="Q190" s="590"/>
      <c r="R190" s="590"/>
      <c r="S190" s="590"/>
      <c r="T190" s="590"/>
      <c r="U190" s="590"/>
      <c r="V190" s="590"/>
      <c r="W190" s="590"/>
      <c r="X190" s="590"/>
      <c r="Y190" s="590"/>
      <c r="Z190" s="590"/>
    </row>
    <row r="191" spans="1:26" ht="11.25" customHeight="1">
      <c r="A191" s="574"/>
      <c r="B191" s="732" t="s">
        <v>520</v>
      </c>
      <c r="C191" s="1078" t="s">
        <v>698</v>
      </c>
      <c r="D191" s="1009"/>
      <c r="E191" s="1009"/>
      <c r="F191" s="1009"/>
      <c r="G191" s="1009"/>
      <c r="H191" s="1009"/>
      <c r="I191" s="1009"/>
      <c r="J191" s="686">
        <f>J150</f>
        <v>228.75917333333334</v>
      </c>
      <c r="K191" s="644"/>
      <c r="L191" s="590"/>
      <c r="M191" s="590"/>
      <c r="N191" s="590"/>
      <c r="O191" s="590"/>
      <c r="P191" s="590"/>
      <c r="Q191" s="590"/>
      <c r="R191" s="590"/>
      <c r="S191" s="590"/>
      <c r="T191" s="590"/>
      <c r="U191" s="590"/>
      <c r="V191" s="590"/>
      <c r="W191" s="590"/>
      <c r="X191" s="590"/>
      <c r="Y191" s="590"/>
      <c r="Z191" s="590"/>
    </row>
    <row r="192" spans="1:26" ht="11.25" customHeight="1">
      <c r="A192" s="574"/>
      <c r="B192" s="732" t="s">
        <v>562</v>
      </c>
      <c r="C192" s="1078" t="s">
        <v>699</v>
      </c>
      <c r="D192" s="1009"/>
      <c r="E192" s="1009"/>
      <c r="F192" s="1009"/>
      <c r="G192" s="1009"/>
      <c r="H192" s="1009"/>
      <c r="I192" s="1009"/>
      <c r="J192" s="686">
        <f>J157</f>
        <v>291.31</v>
      </c>
      <c r="K192" s="644"/>
      <c r="L192" s="590"/>
      <c r="M192" s="590"/>
      <c r="N192" s="590"/>
      <c r="O192" s="590"/>
      <c r="P192" s="590"/>
      <c r="Q192" s="590"/>
      <c r="R192" s="590"/>
      <c r="S192" s="590"/>
      <c r="T192" s="590"/>
      <c r="U192" s="590"/>
      <c r="V192" s="590"/>
      <c r="W192" s="590"/>
      <c r="X192" s="590"/>
      <c r="Y192" s="590"/>
      <c r="Z192" s="590"/>
    </row>
    <row r="193" spans="1:26" ht="11.25" customHeight="1">
      <c r="A193" s="574"/>
      <c r="B193" s="1077" t="s">
        <v>700</v>
      </c>
      <c r="C193" s="1009"/>
      <c r="D193" s="1009"/>
      <c r="E193" s="1009"/>
      <c r="F193" s="1009"/>
      <c r="G193" s="1009"/>
      <c r="H193" s="1009"/>
      <c r="I193" s="1030"/>
      <c r="J193" s="643">
        <f>ROUND(SUM(J188:J192),2)</f>
        <v>3500.01</v>
      </c>
      <c r="K193" s="644"/>
      <c r="L193" s="590"/>
      <c r="M193" s="590"/>
      <c r="N193" s="590"/>
      <c r="O193" s="590"/>
      <c r="P193" s="590"/>
      <c r="Q193" s="590"/>
      <c r="R193" s="590"/>
      <c r="S193" s="590"/>
      <c r="T193" s="590"/>
      <c r="U193" s="590"/>
      <c r="V193" s="590"/>
      <c r="W193" s="590"/>
      <c r="X193" s="590"/>
      <c r="Y193" s="590"/>
      <c r="Z193" s="590"/>
    </row>
    <row r="194" spans="1:26" ht="11.25" customHeight="1">
      <c r="A194" s="574"/>
      <c r="B194" s="733" t="s">
        <v>566</v>
      </c>
      <c r="C194" s="1078" t="s">
        <v>672</v>
      </c>
      <c r="D194" s="1009"/>
      <c r="E194" s="1009"/>
      <c r="F194" s="1009"/>
      <c r="G194" s="1009"/>
      <c r="H194" s="1009"/>
      <c r="I194" s="1009"/>
      <c r="J194" s="686">
        <f>J177</f>
        <v>1033.26</v>
      </c>
      <c r="K194" s="644"/>
      <c r="L194" s="590"/>
      <c r="M194" s="590"/>
      <c r="N194" s="590"/>
      <c r="O194" s="590"/>
      <c r="P194" s="590"/>
      <c r="Q194" s="590"/>
      <c r="R194" s="590"/>
      <c r="S194" s="590"/>
      <c r="T194" s="590"/>
      <c r="U194" s="590"/>
      <c r="V194" s="590"/>
      <c r="W194" s="590"/>
      <c r="X194" s="590"/>
      <c r="Y194" s="590"/>
      <c r="Z194" s="590"/>
    </row>
    <row r="195" spans="1:26" ht="11.25" customHeight="1">
      <c r="A195" s="574"/>
      <c r="B195" s="1077" t="s">
        <v>777</v>
      </c>
      <c r="C195" s="1009"/>
      <c r="D195" s="1009"/>
      <c r="E195" s="1009"/>
      <c r="F195" s="1009"/>
      <c r="G195" s="1009"/>
      <c r="H195" s="1009"/>
      <c r="I195" s="1030"/>
      <c r="J195" s="643">
        <f>J193+J194</f>
        <v>4533.2700000000004</v>
      </c>
      <c r="K195" s="644"/>
      <c r="L195" s="590"/>
      <c r="M195" s="590"/>
      <c r="N195" s="590"/>
      <c r="O195" s="590"/>
      <c r="P195" s="590"/>
      <c r="Q195" s="590"/>
      <c r="R195" s="590"/>
      <c r="S195" s="590"/>
      <c r="T195" s="590"/>
      <c r="U195" s="590"/>
      <c r="V195" s="590"/>
      <c r="W195" s="590"/>
      <c r="X195" s="590"/>
      <c r="Y195" s="590"/>
      <c r="Z195" s="590"/>
    </row>
    <row r="196" spans="1:26" ht="42" customHeight="1">
      <c r="A196" s="574"/>
      <c r="B196" s="1079" t="s">
        <v>702</v>
      </c>
      <c r="C196" s="1009"/>
      <c r="D196" s="1009"/>
      <c r="E196" s="1009"/>
      <c r="F196" s="1009"/>
      <c r="G196" s="1009"/>
      <c r="H196" s="1009"/>
      <c r="I196" s="1009"/>
      <c r="J196" s="1010"/>
      <c r="K196" s="735"/>
      <c r="L196" s="590"/>
      <c r="M196" s="590"/>
      <c r="N196" s="590"/>
      <c r="O196" s="590"/>
      <c r="P196" s="590"/>
      <c r="Q196" s="590"/>
      <c r="R196" s="590"/>
      <c r="S196" s="590"/>
      <c r="T196" s="590"/>
      <c r="U196" s="590"/>
      <c r="V196" s="590"/>
      <c r="W196" s="590"/>
      <c r="X196" s="590"/>
      <c r="Y196" s="590"/>
      <c r="Z196" s="590"/>
    </row>
    <row r="197" spans="1:26" ht="9" customHeight="1">
      <c r="A197" s="574"/>
      <c r="B197" s="1175"/>
      <c r="C197" s="1009"/>
      <c r="D197" s="1009"/>
      <c r="E197" s="1009"/>
      <c r="F197" s="1009"/>
      <c r="G197" s="1009"/>
      <c r="H197" s="1009"/>
      <c r="I197" s="1009"/>
      <c r="J197" s="1010"/>
      <c r="K197" s="736"/>
      <c r="L197" s="590"/>
      <c r="M197" s="590"/>
      <c r="N197" s="590"/>
      <c r="O197" s="590"/>
      <c r="P197" s="590"/>
      <c r="Q197" s="590"/>
      <c r="R197" s="590"/>
      <c r="S197" s="590"/>
      <c r="T197" s="590"/>
      <c r="U197" s="590"/>
      <c r="V197" s="590"/>
      <c r="W197" s="590"/>
      <c r="X197" s="590"/>
      <c r="Y197" s="590"/>
      <c r="Z197" s="590"/>
    </row>
    <row r="198" spans="1:26" ht="11.25" customHeight="1">
      <c r="A198" s="574"/>
      <c r="B198" s="737"/>
      <c r="C198" s="594"/>
      <c r="D198" s="594"/>
      <c r="E198" s="594"/>
      <c r="F198" s="594"/>
      <c r="G198" s="594"/>
      <c r="H198" s="594"/>
      <c r="I198" s="738"/>
      <c r="J198" s="739"/>
      <c r="K198" s="738"/>
      <c r="L198" s="590"/>
      <c r="M198" s="590"/>
      <c r="N198" s="590"/>
      <c r="O198" s="590"/>
      <c r="P198" s="590"/>
      <c r="Q198" s="590"/>
      <c r="R198" s="590"/>
      <c r="S198" s="590"/>
      <c r="T198" s="590"/>
      <c r="U198" s="590"/>
      <c r="V198" s="590"/>
      <c r="W198" s="590"/>
      <c r="X198" s="590"/>
      <c r="Y198" s="590"/>
      <c r="Z198" s="590"/>
    </row>
    <row r="199" spans="1:26" ht="17.25" customHeight="1">
      <c r="A199" s="574"/>
      <c r="B199" s="1082" t="s">
        <v>703</v>
      </c>
      <c r="C199" s="1023"/>
      <c r="D199" s="1023"/>
      <c r="E199" s="1023"/>
      <c r="F199" s="1023"/>
      <c r="G199" s="1023"/>
      <c r="H199" s="1023"/>
      <c r="I199" s="1023"/>
      <c r="J199" s="1040"/>
      <c r="K199" s="594"/>
      <c r="L199" s="590"/>
      <c r="M199" s="590"/>
      <c r="N199" s="590"/>
      <c r="O199" s="590"/>
      <c r="P199" s="590"/>
      <c r="Q199" s="590"/>
      <c r="R199" s="590"/>
      <c r="S199" s="590"/>
      <c r="T199" s="590"/>
      <c r="U199" s="590"/>
      <c r="V199" s="590"/>
      <c r="W199" s="590"/>
      <c r="X199" s="590"/>
      <c r="Y199" s="590"/>
      <c r="Z199" s="590"/>
    </row>
    <row r="200" spans="1:26" ht="11.25" customHeight="1">
      <c r="A200" s="574"/>
      <c r="B200" s="1083" t="s">
        <v>704</v>
      </c>
      <c r="C200" s="1009"/>
      <c r="D200" s="1009"/>
      <c r="E200" s="1010"/>
      <c r="F200" s="1083" t="s">
        <v>778</v>
      </c>
      <c r="G200" s="1010"/>
      <c r="H200" s="670" t="s">
        <v>707</v>
      </c>
      <c r="I200" s="1083" t="s">
        <v>708</v>
      </c>
      <c r="J200" s="1010"/>
      <c r="K200" s="592"/>
      <c r="L200" s="590"/>
      <c r="M200" s="590"/>
      <c r="N200" s="590"/>
      <c r="O200" s="590"/>
      <c r="P200" s="590"/>
      <c r="Q200" s="590"/>
      <c r="R200" s="590"/>
      <c r="S200" s="590"/>
      <c r="T200" s="590"/>
      <c r="U200" s="590"/>
      <c r="V200" s="590"/>
      <c r="W200" s="590"/>
      <c r="X200" s="590"/>
      <c r="Y200" s="590"/>
      <c r="Z200" s="590"/>
    </row>
    <row r="201" spans="1:26" ht="38.25" hidden="1" customHeight="1" outlineLevel="1">
      <c r="A201" s="574"/>
      <c r="B201" s="1069" t="s">
        <v>709</v>
      </c>
      <c r="C201" s="1009"/>
      <c r="D201" s="1009"/>
      <c r="E201" s="1010"/>
      <c r="F201" s="1081">
        <v>0</v>
      </c>
      <c r="G201" s="1010"/>
      <c r="H201" s="742">
        <f t="shared" ref="H201:H202" si="5">E201*F201</f>
        <v>0</v>
      </c>
      <c r="I201" s="1081">
        <f t="shared" ref="I201:I203" si="6">F201*H201</f>
        <v>0</v>
      </c>
      <c r="J201" s="1010"/>
      <c r="K201" s="717"/>
      <c r="L201" s="590"/>
      <c r="M201" s="590"/>
      <c r="N201" s="590"/>
      <c r="O201" s="590"/>
      <c r="P201" s="590"/>
      <c r="Q201" s="590"/>
      <c r="R201" s="590"/>
      <c r="S201" s="590"/>
      <c r="T201" s="590"/>
      <c r="U201" s="590"/>
      <c r="V201" s="590"/>
      <c r="W201" s="590"/>
      <c r="X201" s="590"/>
      <c r="Y201" s="590"/>
      <c r="Z201" s="590"/>
    </row>
    <row r="202" spans="1:26" ht="38.25" hidden="1" customHeight="1" outlineLevel="1">
      <c r="A202" s="574"/>
      <c r="B202" s="1069" t="s">
        <v>710</v>
      </c>
      <c r="C202" s="1009"/>
      <c r="D202" s="1009"/>
      <c r="E202" s="1010"/>
      <c r="F202" s="1081">
        <v>0</v>
      </c>
      <c r="G202" s="1010"/>
      <c r="H202" s="742">
        <f t="shared" si="5"/>
        <v>0</v>
      </c>
      <c r="I202" s="1081">
        <f t="shared" si="6"/>
        <v>0</v>
      </c>
      <c r="J202" s="1010"/>
      <c r="K202" s="717"/>
      <c r="L202" s="590"/>
      <c r="M202" s="590"/>
      <c r="N202" s="590"/>
      <c r="O202" s="590"/>
      <c r="P202" s="590"/>
      <c r="Q202" s="590"/>
      <c r="R202" s="590"/>
      <c r="S202" s="590"/>
      <c r="T202" s="590"/>
      <c r="U202" s="590"/>
      <c r="V202" s="590"/>
      <c r="W202" s="590"/>
      <c r="X202" s="590"/>
      <c r="Y202" s="590"/>
      <c r="Z202" s="590"/>
    </row>
    <row r="203" spans="1:26" ht="38.25" customHeight="1" collapsed="1">
      <c r="A203" s="574"/>
      <c r="B203" s="1098" t="str">
        <f>B3</f>
        <v>5135-05_AUX.COZINHA_hs</v>
      </c>
      <c r="C203" s="1009"/>
      <c r="D203" s="1009"/>
      <c r="E203" s="1010"/>
      <c r="F203" s="1087">
        <f>J195</f>
        <v>4533.2700000000004</v>
      </c>
      <c r="G203" s="1010"/>
      <c r="H203" s="742">
        <f>I17</f>
        <v>8</v>
      </c>
      <c r="I203" s="1081">
        <f t="shared" si="6"/>
        <v>36266.160000000003</v>
      </c>
      <c r="J203" s="1010"/>
      <c r="K203" s="717"/>
      <c r="L203" s="590"/>
      <c r="M203" s="590"/>
      <c r="N203" s="590"/>
      <c r="O203" s="590"/>
      <c r="P203" s="590"/>
      <c r="Q203" s="590"/>
      <c r="R203" s="590"/>
      <c r="S203" s="590"/>
      <c r="T203" s="590"/>
      <c r="U203" s="590"/>
      <c r="V203" s="590"/>
      <c r="W203" s="590"/>
      <c r="X203" s="590"/>
      <c r="Y203" s="590"/>
      <c r="Z203" s="590"/>
    </row>
    <row r="204" spans="1:26" ht="38.25" hidden="1" customHeight="1" outlineLevel="1">
      <c r="A204" s="574"/>
      <c r="B204" s="1069" t="s">
        <v>711</v>
      </c>
      <c r="C204" s="1009"/>
      <c r="D204" s="1009"/>
      <c r="E204" s="1010"/>
      <c r="F204" s="1087">
        <v>0</v>
      </c>
      <c r="G204" s="1010"/>
      <c r="H204" s="742">
        <f t="shared" ref="H204:I204" si="7">E204*G204</f>
        <v>0</v>
      </c>
      <c r="I204" s="1081">
        <f t="shared" si="7"/>
        <v>0</v>
      </c>
      <c r="J204" s="1010"/>
      <c r="K204" s="717"/>
      <c r="L204" s="590"/>
      <c r="M204" s="590"/>
      <c r="N204" s="590"/>
      <c r="O204" s="590"/>
      <c r="P204" s="590"/>
      <c r="Q204" s="590"/>
      <c r="R204" s="590"/>
      <c r="S204" s="590"/>
      <c r="T204" s="590"/>
      <c r="U204" s="590"/>
      <c r="V204" s="590"/>
      <c r="W204" s="590"/>
      <c r="X204" s="590"/>
      <c r="Y204" s="590"/>
      <c r="Z204" s="590"/>
    </row>
    <row r="205" spans="1:26" ht="38.25" hidden="1" customHeight="1" outlineLevel="1">
      <c r="A205" s="574"/>
      <c r="B205" s="1069" t="s">
        <v>712</v>
      </c>
      <c r="C205" s="1009"/>
      <c r="D205" s="1009"/>
      <c r="E205" s="1010"/>
      <c r="F205" s="1087">
        <v>0</v>
      </c>
      <c r="G205" s="1010"/>
      <c r="H205" s="742">
        <f t="shared" ref="H205:I205" si="8">E205*G205</f>
        <v>0</v>
      </c>
      <c r="I205" s="1081">
        <f t="shared" si="8"/>
        <v>0</v>
      </c>
      <c r="J205" s="1010"/>
      <c r="K205" s="717"/>
      <c r="L205" s="590"/>
      <c r="M205" s="590"/>
      <c r="N205" s="590"/>
      <c r="O205" s="590"/>
      <c r="P205" s="590"/>
      <c r="Q205" s="590"/>
      <c r="R205" s="590"/>
      <c r="S205" s="590"/>
      <c r="T205" s="590"/>
      <c r="U205" s="590"/>
      <c r="V205" s="590"/>
      <c r="W205" s="590"/>
      <c r="X205" s="590"/>
      <c r="Y205" s="590"/>
      <c r="Z205" s="590"/>
    </row>
    <row r="206" spans="1:26" ht="38.25" hidden="1" customHeight="1" outlineLevel="1">
      <c r="A206" s="574"/>
      <c r="B206" s="1088" t="s">
        <v>838</v>
      </c>
      <c r="C206" s="1009"/>
      <c r="D206" s="1009"/>
      <c r="E206" s="1010"/>
      <c r="F206" s="1081">
        <v>0</v>
      </c>
      <c r="G206" s="1010"/>
      <c r="H206" s="742">
        <f t="shared" ref="H206:I206" si="9">E206*G206</f>
        <v>0</v>
      </c>
      <c r="I206" s="1081">
        <f t="shared" si="9"/>
        <v>0</v>
      </c>
      <c r="J206" s="1010"/>
      <c r="K206" s="717"/>
      <c r="L206" s="590"/>
      <c r="M206" s="590"/>
      <c r="N206" s="590"/>
      <c r="O206" s="590"/>
      <c r="P206" s="590"/>
      <c r="Q206" s="590"/>
      <c r="R206" s="590"/>
      <c r="S206" s="590"/>
      <c r="T206" s="590"/>
      <c r="U206" s="590"/>
      <c r="V206" s="590"/>
      <c r="W206" s="590"/>
      <c r="X206" s="590"/>
      <c r="Y206" s="590"/>
      <c r="Z206" s="590"/>
    </row>
    <row r="207" spans="1:26" ht="11.25" customHeight="1" collapsed="1">
      <c r="A207" s="574"/>
      <c r="B207" s="1089" t="s">
        <v>714</v>
      </c>
      <c r="C207" s="1009"/>
      <c r="D207" s="1009"/>
      <c r="E207" s="1009"/>
      <c r="F207" s="1009"/>
      <c r="G207" s="1010"/>
      <c r="H207" s="744">
        <f>SUM(H201:H206)</f>
        <v>8</v>
      </c>
      <c r="I207" s="1090">
        <f>SUM(I201:J206)</f>
        <v>36266.160000000003</v>
      </c>
      <c r="J207" s="1010"/>
      <c r="K207" s="745"/>
      <c r="L207" s="590"/>
      <c r="M207" s="590"/>
      <c r="N207" s="590"/>
      <c r="O207" s="590"/>
      <c r="P207" s="590"/>
      <c r="Q207" s="590"/>
      <c r="R207" s="590"/>
      <c r="S207" s="590"/>
      <c r="T207" s="590"/>
      <c r="U207" s="590"/>
      <c r="V207" s="590"/>
      <c r="W207" s="590"/>
      <c r="X207" s="590"/>
      <c r="Y207" s="590"/>
      <c r="Z207" s="590"/>
    </row>
    <row r="208" spans="1:26" ht="8.25" customHeight="1">
      <c r="A208" s="574"/>
      <c r="B208" s="1091"/>
      <c r="C208" s="1092"/>
      <c r="D208" s="1092"/>
      <c r="E208" s="1092"/>
      <c r="F208" s="1092"/>
      <c r="G208" s="1092"/>
      <c r="H208" s="1092"/>
      <c r="I208" s="1092"/>
      <c r="J208" s="1093"/>
      <c r="K208" s="693"/>
      <c r="L208" s="590"/>
      <c r="M208" s="590"/>
      <c r="N208" s="590"/>
      <c r="O208" s="590"/>
      <c r="P208" s="590"/>
      <c r="Q208" s="590"/>
      <c r="R208" s="590"/>
      <c r="S208" s="590"/>
      <c r="T208" s="590"/>
      <c r="U208" s="590"/>
      <c r="V208" s="590"/>
      <c r="W208" s="590"/>
      <c r="X208" s="590"/>
      <c r="Y208" s="590"/>
      <c r="Z208" s="590"/>
    </row>
    <row r="209" spans="1:26" ht="13.5" customHeight="1">
      <c r="A209" s="574"/>
      <c r="B209" s="1071" t="s">
        <v>715</v>
      </c>
      <c r="C209" s="1060"/>
      <c r="D209" s="1060"/>
      <c r="E209" s="1060"/>
      <c r="F209" s="1060"/>
      <c r="G209" s="1060"/>
      <c r="H209" s="1060"/>
      <c r="I209" s="1060"/>
      <c r="J209" s="1062"/>
      <c r="K209" s="600"/>
      <c r="L209" s="590"/>
      <c r="M209" s="590"/>
      <c r="N209" s="590"/>
      <c r="O209" s="590"/>
      <c r="P209" s="590"/>
      <c r="Q209" s="590"/>
      <c r="R209" s="590"/>
      <c r="S209" s="590"/>
      <c r="T209" s="590"/>
      <c r="U209" s="590"/>
      <c r="V209" s="590"/>
      <c r="W209" s="590"/>
      <c r="X209" s="590"/>
      <c r="Y209" s="590"/>
      <c r="Z209" s="590"/>
    </row>
    <row r="210" spans="1:26" ht="8.25" customHeight="1">
      <c r="A210" s="574"/>
      <c r="B210" s="1072"/>
      <c r="C210" s="1009"/>
      <c r="D210" s="1009"/>
      <c r="E210" s="1009"/>
      <c r="F210" s="1009"/>
      <c r="G210" s="1009"/>
      <c r="H210" s="1009"/>
      <c r="I210" s="1009"/>
      <c r="J210" s="1010"/>
      <c r="K210" s="746"/>
      <c r="L210" s="590"/>
      <c r="M210" s="590"/>
      <c r="N210" s="590"/>
      <c r="O210" s="590"/>
      <c r="P210" s="590"/>
      <c r="Q210" s="590"/>
      <c r="R210" s="590"/>
      <c r="S210" s="590"/>
      <c r="T210" s="590"/>
      <c r="U210" s="590"/>
      <c r="V210" s="590"/>
      <c r="W210" s="590"/>
      <c r="X210" s="590"/>
      <c r="Y210" s="590"/>
      <c r="Z210" s="590"/>
    </row>
    <row r="211" spans="1:26" ht="20.25" customHeight="1">
      <c r="A211" s="574"/>
      <c r="B211" s="1069" t="s">
        <v>716</v>
      </c>
      <c r="C211" s="1009"/>
      <c r="D211" s="1009"/>
      <c r="E211" s="1009"/>
      <c r="F211" s="1009"/>
      <c r="G211" s="1010"/>
      <c r="H211" s="1073">
        <f>$I$207</f>
        <v>36266.160000000003</v>
      </c>
      <c r="I211" s="1009"/>
      <c r="J211" s="1010"/>
      <c r="K211" s="603"/>
      <c r="L211" s="590"/>
      <c r="M211" s="590"/>
      <c r="N211" s="590"/>
      <c r="O211" s="590"/>
      <c r="P211" s="590"/>
      <c r="Q211" s="590"/>
      <c r="R211" s="590"/>
      <c r="S211" s="590"/>
      <c r="T211" s="590"/>
      <c r="U211" s="590"/>
      <c r="V211" s="590"/>
      <c r="W211" s="590"/>
      <c r="X211" s="590"/>
      <c r="Y211" s="590"/>
      <c r="Z211" s="590"/>
    </row>
    <row r="212" spans="1:26" ht="8.25" customHeight="1">
      <c r="A212" s="574"/>
      <c r="B212" s="1074"/>
      <c r="C212" s="1015"/>
      <c r="D212" s="1015"/>
      <c r="E212" s="1015"/>
      <c r="F212" s="1015"/>
      <c r="G212" s="1015"/>
      <c r="H212" s="1015"/>
      <c r="I212" s="1015"/>
      <c r="J212" s="1075"/>
      <c r="K212" s="700"/>
      <c r="L212" s="590"/>
      <c r="M212" s="590"/>
      <c r="N212" s="590"/>
      <c r="O212" s="590"/>
      <c r="P212" s="590"/>
      <c r="Q212" s="590"/>
      <c r="R212" s="590"/>
      <c r="S212" s="590"/>
      <c r="T212" s="590"/>
      <c r="U212" s="590"/>
      <c r="V212" s="590"/>
      <c r="W212" s="590"/>
      <c r="X212" s="590"/>
      <c r="Y212" s="590"/>
      <c r="Z212" s="590"/>
    </row>
    <row r="213" spans="1:26" ht="20.25" customHeight="1">
      <c r="A213" s="574"/>
      <c r="B213" s="1069" t="s">
        <v>717</v>
      </c>
      <c r="C213" s="1009"/>
      <c r="D213" s="1009"/>
      <c r="E213" s="1009"/>
      <c r="F213" s="1009"/>
      <c r="G213" s="1010"/>
      <c r="H213" s="1076">
        <f>$I$11</f>
        <v>30</v>
      </c>
      <c r="I213" s="1009"/>
      <c r="J213" s="1010"/>
      <c r="K213" s="593"/>
      <c r="L213" s="590"/>
      <c r="M213" s="590"/>
      <c r="N213" s="590"/>
      <c r="O213" s="590"/>
      <c r="P213" s="590"/>
      <c r="Q213" s="590"/>
      <c r="R213" s="590"/>
      <c r="S213" s="590"/>
      <c r="T213" s="590"/>
      <c r="U213" s="590"/>
      <c r="V213" s="590"/>
      <c r="W213" s="590"/>
      <c r="X213" s="590"/>
      <c r="Y213" s="590"/>
      <c r="Z213" s="590"/>
    </row>
    <row r="214" spans="1:26" ht="8.25" customHeight="1">
      <c r="A214" s="574"/>
      <c r="B214" s="1068"/>
      <c r="C214" s="1009"/>
      <c r="D214" s="1009"/>
      <c r="E214" s="1009"/>
      <c r="F214" s="1009"/>
      <c r="G214" s="1009"/>
      <c r="H214" s="1009"/>
      <c r="I214" s="1009"/>
      <c r="J214" s="1010"/>
      <c r="K214" s="594"/>
      <c r="L214" s="590"/>
      <c r="M214" s="590"/>
      <c r="N214" s="590"/>
      <c r="O214" s="590"/>
      <c r="P214" s="590"/>
      <c r="Q214" s="590"/>
      <c r="R214" s="590"/>
      <c r="S214" s="590"/>
      <c r="T214" s="590"/>
      <c r="U214" s="590"/>
      <c r="V214" s="590"/>
      <c r="W214" s="590"/>
      <c r="X214" s="590"/>
      <c r="Y214" s="590"/>
      <c r="Z214" s="590"/>
    </row>
    <row r="215" spans="1:26" ht="33.75" customHeight="1">
      <c r="A215" s="574"/>
      <c r="B215" s="1069" t="s">
        <v>839</v>
      </c>
      <c r="C215" s="1009"/>
      <c r="D215" s="1009"/>
      <c r="E215" s="1009"/>
      <c r="F215" s="1009"/>
      <c r="G215" s="1010"/>
      <c r="H215" s="1070">
        <f>ROUND(H211*H213,2)</f>
        <v>1087984.8</v>
      </c>
      <c r="I215" s="1009"/>
      <c r="J215" s="1010"/>
      <c r="K215" s="747"/>
      <c r="L215" s="590"/>
      <c r="M215" s="590"/>
      <c r="N215" s="590"/>
      <c r="O215" s="590"/>
      <c r="P215" s="590"/>
      <c r="Q215" s="590"/>
      <c r="R215" s="590"/>
      <c r="S215" s="590"/>
      <c r="T215" s="590"/>
      <c r="U215" s="590"/>
      <c r="V215" s="590"/>
      <c r="W215" s="590"/>
      <c r="X215" s="590"/>
      <c r="Y215" s="590"/>
      <c r="Z215" s="590"/>
    </row>
    <row r="216" spans="1:26" ht="7.5" customHeight="1">
      <c r="A216" s="574"/>
      <c r="B216" s="1068"/>
      <c r="C216" s="1009"/>
      <c r="D216" s="1009"/>
      <c r="E216" s="1009"/>
      <c r="F216" s="1009"/>
      <c r="G216" s="1009"/>
      <c r="H216" s="1009"/>
      <c r="I216" s="1009"/>
      <c r="J216" s="1010"/>
      <c r="K216" s="594"/>
      <c r="L216" s="590"/>
      <c r="M216" s="590"/>
      <c r="N216" s="590"/>
      <c r="O216" s="590"/>
      <c r="P216" s="590"/>
      <c r="Q216" s="590"/>
      <c r="R216" s="590"/>
      <c r="S216" s="590"/>
      <c r="T216" s="590"/>
      <c r="U216" s="590"/>
      <c r="V216" s="590"/>
      <c r="W216" s="590"/>
      <c r="X216" s="590"/>
      <c r="Y216" s="590"/>
      <c r="Z216" s="590"/>
    </row>
    <row r="217" spans="1:26" ht="11.25" customHeight="1">
      <c r="A217" s="574"/>
      <c r="B217" s="574"/>
      <c r="C217" s="574"/>
      <c r="D217" s="574"/>
      <c r="E217" s="574"/>
      <c r="F217" s="574"/>
      <c r="G217" s="574"/>
      <c r="H217" s="574"/>
      <c r="I217" s="574"/>
      <c r="J217" s="574"/>
      <c r="K217" s="574"/>
      <c r="L217" s="590"/>
      <c r="M217" s="590"/>
      <c r="N217" s="590"/>
      <c r="O217" s="590"/>
      <c r="P217" s="590"/>
      <c r="Q217" s="590"/>
      <c r="R217" s="590"/>
      <c r="S217" s="590"/>
      <c r="T217" s="590"/>
      <c r="U217" s="590"/>
      <c r="V217" s="590"/>
      <c r="W217" s="590"/>
      <c r="X217" s="590"/>
      <c r="Y217" s="590"/>
      <c r="Z217" s="590"/>
    </row>
    <row r="218" spans="1:26" ht="15.75" customHeight="1">
      <c r="A218" s="590"/>
      <c r="B218" s="590"/>
      <c r="C218" s="590"/>
      <c r="D218" s="590"/>
      <c r="E218" s="590"/>
      <c r="F218" s="590"/>
      <c r="G218" s="590"/>
      <c r="H218" s="590"/>
      <c r="I218" s="590"/>
      <c r="J218" s="590"/>
      <c r="K218" s="590"/>
      <c r="L218" s="590"/>
      <c r="M218" s="590"/>
      <c r="N218" s="590"/>
      <c r="O218" s="590"/>
      <c r="P218" s="590"/>
      <c r="Q218" s="590"/>
      <c r="R218" s="590"/>
      <c r="S218" s="590"/>
      <c r="T218" s="590"/>
      <c r="U218" s="590"/>
      <c r="V218" s="590"/>
      <c r="W218" s="590"/>
      <c r="X218" s="590"/>
      <c r="Y218" s="590"/>
      <c r="Z218" s="590"/>
    </row>
    <row r="219" spans="1:26" ht="15.75" customHeight="1">
      <c r="A219" s="590"/>
      <c r="B219" s="590"/>
      <c r="C219" s="590"/>
      <c r="D219" s="590"/>
      <c r="E219" s="590"/>
      <c r="F219" s="590"/>
      <c r="G219" s="590"/>
      <c r="H219" s="590"/>
      <c r="I219" s="590"/>
      <c r="J219" s="590"/>
      <c r="K219" s="590"/>
      <c r="L219" s="590"/>
      <c r="M219" s="590"/>
      <c r="N219" s="590"/>
      <c r="O219" s="590"/>
      <c r="P219" s="590"/>
      <c r="Q219" s="590"/>
      <c r="R219" s="590"/>
      <c r="S219" s="590"/>
      <c r="T219" s="590"/>
      <c r="U219" s="590"/>
      <c r="V219" s="590"/>
      <c r="W219" s="590"/>
      <c r="X219" s="590"/>
      <c r="Y219" s="590"/>
      <c r="Z219" s="590"/>
    </row>
    <row r="220" spans="1:26" ht="15.75" customHeight="1">
      <c r="A220" s="590"/>
      <c r="B220" s="590"/>
      <c r="C220" s="590"/>
      <c r="D220" s="590"/>
      <c r="E220" s="590"/>
      <c r="F220" s="590"/>
      <c r="G220" s="590"/>
      <c r="H220" s="590"/>
      <c r="I220" s="590"/>
      <c r="J220" s="590"/>
      <c r="K220" s="590"/>
      <c r="L220" s="590"/>
      <c r="M220" s="590"/>
      <c r="N220" s="590"/>
      <c r="O220" s="590"/>
      <c r="P220" s="590"/>
      <c r="Q220" s="590"/>
      <c r="R220" s="590"/>
      <c r="S220" s="590"/>
      <c r="T220" s="590"/>
      <c r="U220" s="590"/>
      <c r="V220" s="590"/>
      <c r="W220" s="590"/>
      <c r="X220" s="590"/>
      <c r="Y220" s="590"/>
      <c r="Z220" s="590"/>
    </row>
    <row r="221" spans="1:26" ht="15.75" customHeight="1">
      <c r="A221" s="590"/>
      <c r="B221" s="590"/>
      <c r="C221" s="590"/>
      <c r="D221" s="590"/>
      <c r="E221" s="590"/>
      <c r="F221" s="590"/>
      <c r="G221" s="590"/>
      <c r="H221" s="590"/>
      <c r="I221" s="590"/>
      <c r="J221" s="590"/>
      <c r="K221" s="590"/>
      <c r="L221" s="590"/>
      <c r="M221" s="590"/>
      <c r="N221" s="590"/>
      <c r="O221" s="590"/>
      <c r="P221" s="590"/>
      <c r="Q221" s="590"/>
      <c r="R221" s="590"/>
      <c r="S221" s="590"/>
      <c r="T221" s="590"/>
      <c r="U221" s="590"/>
      <c r="V221" s="590"/>
      <c r="W221" s="590"/>
      <c r="X221" s="590"/>
      <c r="Y221" s="590"/>
      <c r="Z221" s="590"/>
    </row>
    <row r="222" spans="1:26" ht="15.75" customHeight="1">
      <c r="A222" s="590"/>
      <c r="B222" s="590"/>
      <c r="C222" s="590"/>
      <c r="D222" s="590"/>
      <c r="E222" s="590"/>
      <c r="F222" s="590"/>
      <c r="G222" s="590"/>
      <c r="H222" s="590"/>
      <c r="I222" s="590"/>
      <c r="J222" s="590"/>
      <c r="K222" s="590"/>
      <c r="L222" s="590"/>
      <c r="M222" s="590"/>
      <c r="N222" s="590"/>
      <c r="O222" s="590"/>
      <c r="P222" s="590"/>
      <c r="Q222" s="590"/>
      <c r="R222" s="590"/>
      <c r="S222" s="590"/>
      <c r="T222" s="590"/>
      <c r="U222" s="590"/>
      <c r="V222" s="590"/>
      <c r="W222" s="590"/>
      <c r="X222" s="590"/>
      <c r="Y222" s="590"/>
      <c r="Z222" s="590"/>
    </row>
    <row r="223" spans="1:26" ht="15.75" customHeight="1">
      <c r="A223" s="590"/>
      <c r="B223" s="590"/>
      <c r="C223" s="590"/>
      <c r="D223" s="590"/>
      <c r="E223" s="590"/>
      <c r="F223" s="590"/>
      <c r="G223" s="590"/>
      <c r="H223" s="590"/>
      <c r="I223" s="590"/>
      <c r="J223" s="590"/>
      <c r="K223" s="590"/>
      <c r="L223" s="590"/>
      <c r="M223" s="590"/>
      <c r="N223" s="590"/>
      <c r="O223" s="590"/>
      <c r="P223" s="590"/>
      <c r="Q223" s="590"/>
      <c r="R223" s="590"/>
      <c r="S223" s="590"/>
      <c r="T223" s="590"/>
      <c r="U223" s="590"/>
      <c r="V223" s="590"/>
      <c r="W223" s="590"/>
      <c r="X223" s="590"/>
      <c r="Y223" s="590"/>
      <c r="Z223" s="590"/>
    </row>
    <row r="224" spans="1:26" ht="15.75" customHeight="1">
      <c r="A224" s="590"/>
      <c r="B224" s="590"/>
      <c r="C224" s="590"/>
      <c r="D224" s="590"/>
      <c r="E224" s="590"/>
      <c r="F224" s="590"/>
      <c r="G224" s="590"/>
      <c r="H224" s="590"/>
      <c r="I224" s="590"/>
      <c r="J224" s="590"/>
      <c r="K224" s="590"/>
      <c r="L224" s="590"/>
      <c r="M224" s="590"/>
      <c r="N224" s="590"/>
      <c r="O224" s="590"/>
      <c r="P224" s="590"/>
      <c r="Q224" s="590"/>
      <c r="R224" s="590"/>
      <c r="S224" s="590"/>
      <c r="T224" s="590"/>
      <c r="U224" s="590"/>
      <c r="V224" s="590"/>
      <c r="W224" s="590"/>
      <c r="X224" s="590"/>
      <c r="Y224" s="590"/>
      <c r="Z224" s="590"/>
    </row>
    <row r="225" spans="1:26" ht="15.75" customHeight="1">
      <c r="A225" s="590"/>
      <c r="B225" s="590"/>
      <c r="C225" s="590"/>
      <c r="D225" s="590"/>
      <c r="E225" s="590"/>
      <c r="F225" s="590"/>
      <c r="G225" s="590"/>
      <c r="H225" s="590"/>
      <c r="I225" s="590"/>
      <c r="J225" s="590"/>
      <c r="K225" s="590"/>
      <c r="L225" s="590"/>
      <c r="M225" s="590"/>
      <c r="N225" s="590"/>
      <c r="O225" s="590"/>
      <c r="P225" s="590"/>
      <c r="Q225" s="590"/>
      <c r="R225" s="590"/>
      <c r="S225" s="590"/>
      <c r="T225" s="590"/>
      <c r="U225" s="590"/>
      <c r="V225" s="590"/>
      <c r="W225" s="590"/>
      <c r="X225" s="590"/>
      <c r="Y225" s="590"/>
      <c r="Z225" s="590"/>
    </row>
    <row r="226" spans="1:26" ht="15.75" customHeight="1">
      <c r="A226" s="590"/>
      <c r="B226" s="590"/>
      <c r="C226" s="590"/>
      <c r="D226" s="590"/>
      <c r="E226" s="590"/>
      <c r="F226" s="590"/>
      <c r="G226" s="590"/>
      <c r="H226" s="590"/>
      <c r="I226" s="590"/>
      <c r="J226" s="590"/>
      <c r="K226" s="590"/>
      <c r="L226" s="590"/>
      <c r="M226" s="590"/>
      <c r="N226" s="590"/>
      <c r="O226" s="590"/>
      <c r="P226" s="590"/>
      <c r="Q226" s="590"/>
      <c r="R226" s="590"/>
      <c r="S226" s="590"/>
      <c r="T226" s="590"/>
      <c r="U226" s="590"/>
      <c r="V226" s="590"/>
      <c r="W226" s="590"/>
      <c r="X226" s="590"/>
      <c r="Y226" s="590"/>
      <c r="Z226" s="590"/>
    </row>
    <row r="227" spans="1:26" ht="15.75" customHeight="1">
      <c r="A227" s="590"/>
      <c r="B227" s="590"/>
      <c r="C227" s="590"/>
      <c r="D227" s="590"/>
      <c r="E227" s="590"/>
      <c r="F227" s="590"/>
      <c r="G227" s="590"/>
      <c r="H227" s="590"/>
      <c r="I227" s="590"/>
      <c r="J227" s="590"/>
      <c r="K227" s="590"/>
      <c r="L227" s="590"/>
      <c r="M227" s="590"/>
      <c r="N227" s="590"/>
      <c r="O227" s="590"/>
      <c r="P227" s="590"/>
      <c r="Q227" s="590"/>
      <c r="R227" s="590"/>
      <c r="S227" s="590"/>
      <c r="T227" s="590"/>
      <c r="U227" s="590"/>
      <c r="V227" s="590"/>
      <c r="W227" s="590"/>
      <c r="X227" s="590"/>
      <c r="Y227" s="590"/>
      <c r="Z227" s="590"/>
    </row>
    <row r="228" spans="1:26" ht="15.75" customHeight="1">
      <c r="A228" s="590"/>
      <c r="B228" s="590"/>
      <c r="C228" s="590"/>
      <c r="D228" s="590"/>
      <c r="E228" s="590"/>
      <c r="F228" s="590"/>
      <c r="G228" s="590"/>
      <c r="H228" s="590"/>
      <c r="I228" s="590"/>
      <c r="J228" s="590"/>
      <c r="K228" s="590"/>
      <c r="L228" s="590"/>
      <c r="M228" s="590"/>
      <c r="N228" s="590"/>
      <c r="O228" s="590"/>
      <c r="P228" s="590"/>
      <c r="Q228" s="590"/>
      <c r="R228" s="590"/>
      <c r="S228" s="590"/>
      <c r="T228" s="590"/>
      <c r="U228" s="590"/>
      <c r="V228" s="590"/>
      <c r="W228" s="590"/>
      <c r="X228" s="590"/>
      <c r="Y228" s="590"/>
      <c r="Z228" s="590"/>
    </row>
    <row r="229" spans="1:26" ht="15.75" customHeight="1">
      <c r="A229" s="590"/>
      <c r="B229" s="590"/>
      <c r="C229" s="590"/>
      <c r="D229" s="590"/>
      <c r="E229" s="590"/>
      <c r="F229" s="590"/>
      <c r="G229" s="590"/>
      <c r="H229" s="590"/>
      <c r="I229" s="590"/>
      <c r="J229" s="590"/>
      <c r="K229" s="590"/>
      <c r="L229" s="590"/>
      <c r="M229" s="590"/>
      <c r="N229" s="590"/>
      <c r="O229" s="590"/>
      <c r="P229" s="590"/>
      <c r="Q229" s="590"/>
      <c r="R229" s="590"/>
      <c r="S229" s="590"/>
      <c r="T229" s="590"/>
      <c r="U229" s="590"/>
      <c r="V229" s="590"/>
      <c r="W229" s="590"/>
      <c r="X229" s="590"/>
      <c r="Y229" s="590"/>
      <c r="Z229" s="590"/>
    </row>
    <row r="230" spans="1:26" ht="15.75" customHeight="1">
      <c r="A230" s="590"/>
      <c r="B230" s="590"/>
      <c r="C230" s="590"/>
      <c r="D230" s="590"/>
      <c r="E230" s="590"/>
      <c r="F230" s="590"/>
      <c r="G230" s="590"/>
      <c r="H230" s="590"/>
      <c r="I230" s="590"/>
      <c r="J230" s="590"/>
      <c r="K230" s="590"/>
      <c r="L230" s="590"/>
      <c r="M230" s="590"/>
      <c r="N230" s="590"/>
      <c r="O230" s="590"/>
      <c r="P230" s="590"/>
      <c r="Q230" s="590"/>
      <c r="R230" s="590"/>
      <c r="S230" s="590"/>
      <c r="T230" s="590"/>
      <c r="U230" s="590"/>
      <c r="V230" s="590"/>
      <c r="W230" s="590"/>
      <c r="X230" s="590"/>
      <c r="Y230" s="590"/>
      <c r="Z230" s="590"/>
    </row>
    <row r="231" spans="1:26" ht="15.75" customHeight="1">
      <c r="A231" s="590"/>
      <c r="B231" s="590"/>
      <c r="C231" s="590"/>
      <c r="D231" s="590"/>
      <c r="E231" s="590"/>
      <c r="F231" s="590"/>
      <c r="G231" s="590"/>
      <c r="H231" s="590"/>
      <c r="I231" s="590"/>
      <c r="J231" s="590"/>
      <c r="K231" s="590"/>
      <c r="L231" s="590"/>
      <c r="M231" s="590"/>
      <c r="N231" s="590"/>
      <c r="O231" s="590"/>
      <c r="P231" s="590"/>
      <c r="Q231" s="590"/>
      <c r="R231" s="590"/>
      <c r="S231" s="590"/>
      <c r="T231" s="590"/>
      <c r="U231" s="590"/>
      <c r="V231" s="590"/>
      <c r="W231" s="590"/>
      <c r="X231" s="590"/>
      <c r="Y231" s="590"/>
      <c r="Z231" s="590"/>
    </row>
    <row r="232" spans="1:26" ht="15.75" customHeight="1">
      <c r="A232" s="590"/>
      <c r="B232" s="590"/>
      <c r="C232" s="590"/>
      <c r="D232" s="590"/>
      <c r="E232" s="590"/>
      <c r="F232" s="590"/>
      <c r="G232" s="590"/>
      <c r="H232" s="590"/>
      <c r="I232" s="590"/>
      <c r="J232" s="590"/>
      <c r="K232" s="590"/>
      <c r="L232" s="590"/>
      <c r="M232" s="590"/>
      <c r="N232" s="590"/>
      <c r="O232" s="590"/>
      <c r="P232" s="590"/>
      <c r="Q232" s="590"/>
      <c r="R232" s="590"/>
      <c r="S232" s="590"/>
      <c r="T232" s="590"/>
      <c r="U232" s="590"/>
      <c r="V232" s="590"/>
      <c r="W232" s="590"/>
      <c r="X232" s="590"/>
      <c r="Y232" s="590"/>
      <c r="Z232" s="590"/>
    </row>
    <row r="233" spans="1:26" ht="15.75" customHeight="1">
      <c r="A233" s="590"/>
      <c r="B233" s="590"/>
      <c r="C233" s="590"/>
      <c r="D233" s="590"/>
      <c r="E233" s="590"/>
      <c r="F233" s="590"/>
      <c r="G233" s="590"/>
      <c r="H233" s="590"/>
      <c r="I233" s="590"/>
      <c r="J233" s="590"/>
      <c r="K233" s="590"/>
      <c r="L233" s="590"/>
      <c r="M233" s="590"/>
      <c r="N233" s="590"/>
      <c r="O233" s="590"/>
      <c r="P233" s="590"/>
      <c r="Q233" s="590"/>
      <c r="R233" s="590"/>
      <c r="S233" s="590"/>
      <c r="T233" s="590"/>
      <c r="U233" s="590"/>
      <c r="V233" s="590"/>
      <c r="W233" s="590"/>
      <c r="X233" s="590"/>
      <c r="Y233" s="590"/>
      <c r="Z233" s="590"/>
    </row>
    <row r="234" spans="1:26" ht="15.75" customHeight="1">
      <c r="A234" s="590"/>
      <c r="B234" s="590"/>
      <c r="C234" s="590"/>
      <c r="D234" s="590"/>
      <c r="E234" s="590"/>
      <c r="F234" s="590"/>
      <c r="G234" s="590"/>
      <c r="H234" s="590"/>
      <c r="I234" s="590"/>
      <c r="J234" s="590"/>
      <c r="K234" s="590"/>
      <c r="L234" s="590"/>
      <c r="M234" s="590"/>
      <c r="N234" s="590"/>
      <c r="O234" s="590"/>
      <c r="P234" s="590"/>
      <c r="Q234" s="590"/>
      <c r="R234" s="590"/>
      <c r="S234" s="590"/>
      <c r="T234" s="590"/>
      <c r="U234" s="590"/>
      <c r="V234" s="590"/>
      <c r="W234" s="590"/>
      <c r="X234" s="590"/>
      <c r="Y234" s="590"/>
      <c r="Z234" s="590"/>
    </row>
    <row r="235" spans="1:26" ht="15.75" customHeight="1">
      <c r="A235" s="590"/>
      <c r="B235" s="590"/>
      <c r="C235" s="590"/>
      <c r="D235" s="590"/>
      <c r="E235" s="590"/>
      <c r="F235" s="590"/>
      <c r="G235" s="590"/>
      <c r="H235" s="590"/>
      <c r="I235" s="590"/>
      <c r="J235" s="590"/>
      <c r="K235" s="590"/>
      <c r="L235" s="590"/>
      <c r="M235" s="590"/>
      <c r="N235" s="590"/>
      <c r="O235" s="590"/>
      <c r="P235" s="590"/>
      <c r="Q235" s="590"/>
      <c r="R235" s="590"/>
      <c r="S235" s="590"/>
      <c r="T235" s="590"/>
      <c r="U235" s="590"/>
      <c r="V235" s="590"/>
      <c r="W235" s="590"/>
      <c r="X235" s="590"/>
      <c r="Y235" s="590"/>
      <c r="Z235" s="590"/>
    </row>
    <row r="236" spans="1:26" ht="15.75" customHeight="1">
      <c r="A236" s="590"/>
      <c r="B236" s="590"/>
      <c r="C236" s="590"/>
      <c r="D236" s="590"/>
      <c r="E236" s="590"/>
      <c r="F236" s="590"/>
      <c r="G236" s="590"/>
      <c r="H236" s="590"/>
      <c r="I236" s="590"/>
      <c r="J236" s="590"/>
      <c r="K236" s="590"/>
      <c r="L236" s="590"/>
      <c r="M236" s="590"/>
      <c r="N236" s="590"/>
      <c r="O236" s="590"/>
      <c r="P236" s="590"/>
      <c r="Q236" s="590"/>
      <c r="R236" s="590"/>
      <c r="S236" s="590"/>
      <c r="T236" s="590"/>
      <c r="U236" s="590"/>
      <c r="V236" s="590"/>
      <c r="W236" s="590"/>
      <c r="X236" s="590"/>
      <c r="Y236" s="590"/>
      <c r="Z236" s="590"/>
    </row>
    <row r="237" spans="1:26" ht="15.75" customHeight="1">
      <c r="A237" s="590"/>
      <c r="B237" s="590"/>
      <c r="C237" s="590"/>
      <c r="D237" s="590"/>
      <c r="E237" s="590"/>
      <c r="F237" s="590"/>
      <c r="G237" s="590"/>
      <c r="H237" s="590"/>
      <c r="I237" s="590"/>
      <c r="J237" s="590"/>
      <c r="K237" s="590"/>
      <c r="L237" s="590"/>
      <c r="M237" s="590"/>
      <c r="N237" s="590"/>
      <c r="O237" s="590"/>
      <c r="P237" s="590"/>
      <c r="Q237" s="590"/>
      <c r="R237" s="590"/>
      <c r="S237" s="590"/>
      <c r="T237" s="590"/>
      <c r="U237" s="590"/>
      <c r="V237" s="590"/>
      <c r="W237" s="590"/>
      <c r="X237" s="590"/>
      <c r="Y237" s="590"/>
      <c r="Z237" s="590"/>
    </row>
    <row r="238" spans="1:26" ht="15.75" customHeight="1">
      <c r="A238" s="590"/>
      <c r="B238" s="590"/>
      <c r="C238" s="590"/>
      <c r="D238" s="590"/>
      <c r="E238" s="590"/>
      <c r="F238" s="590"/>
      <c r="G238" s="590"/>
      <c r="H238" s="590"/>
      <c r="I238" s="590"/>
      <c r="J238" s="590"/>
      <c r="K238" s="590"/>
      <c r="L238" s="590"/>
      <c r="M238" s="590"/>
      <c r="N238" s="590"/>
      <c r="O238" s="590"/>
      <c r="P238" s="590"/>
      <c r="Q238" s="590"/>
      <c r="R238" s="590"/>
      <c r="S238" s="590"/>
      <c r="T238" s="590"/>
      <c r="U238" s="590"/>
      <c r="V238" s="590"/>
      <c r="W238" s="590"/>
      <c r="X238" s="590"/>
      <c r="Y238" s="590"/>
      <c r="Z238" s="590"/>
    </row>
    <row r="239" spans="1:26" ht="15.75" customHeight="1">
      <c r="A239" s="590"/>
      <c r="B239" s="590"/>
      <c r="C239" s="590"/>
      <c r="D239" s="590"/>
      <c r="E239" s="590"/>
      <c r="F239" s="590"/>
      <c r="G239" s="590"/>
      <c r="H239" s="590"/>
      <c r="I239" s="590"/>
      <c r="J239" s="590"/>
      <c r="K239" s="590"/>
      <c r="L239" s="590"/>
      <c r="M239" s="590"/>
      <c r="N239" s="590"/>
      <c r="O239" s="590"/>
      <c r="P239" s="590"/>
      <c r="Q239" s="590"/>
      <c r="R239" s="590"/>
      <c r="S239" s="590"/>
      <c r="T239" s="590"/>
      <c r="U239" s="590"/>
      <c r="V239" s="590"/>
      <c r="W239" s="590"/>
      <c r="X239" s="590"/>
      <c r="Y239" s="590"/>
      <c r="Z239" s="590"/>
    </row>
    <row r="240" spans="1:26" ht="15.75" customHeight="1">
      <c r="A240" s="590"/>
      <c r="B240" s="590"/>
      <c r="C240" s="590"/>
      <c r="D240" s="590"/>
      <c r="E240" s="590"/>
      <c r="F240" s="590"/>
      <c r="G240" s="590"/>
      <c r="H240" s="590"/>
      <c r="I240" s="590"/>
      <c r="J240" s="590"/>
      <c r="K240" s="590"/>
      <c r="L240" s="590"/>
      <c r="M240" s="590"/>
      <c r="N240" s="590"/>
      <c r="O240" s="590"/>
      <c r="P240" s="590"/>
      <c r="Q240" s="590"/>
      <c r="R240" s="590"/>
      <c r="S240" s="590"/>
      <c r="T240" s="590"/>
      <c r="U240" s="590"/>
      <c r="V240" s="590"/>
      <c r="W240" s="590"/>
      <c r="X240" s="590"/>
      <c r="Y240" s="590"/>
      <c r="Z240" s="590"/>
    </row>
    <row r="241" spans="1:26" ht="15.75" customHeight="1">
      <c r="A241" s="590"/>
      <c r="B241" s="590"/>
      <c r="C241" s="590"/>
      <c r="D241" s="590"/>
      <c r="E241" s="590"/>
      <c r="F241" s="590"/>
      <c r="G241" s="590"/>
      <c r="H241" s="590"/>
      <c r="I241" s="590"/>
      <c r="J241" s="590"/>
      <c r="K241" s="590"/>
      <c r="L241" s="590"/>
      <c r="M241" s="590"/>
      <c r="N241" s="590"/>
      <c r="O241" s="590"/>
      <c r="P241" s="590"/>
      <c r="Q241" s="590"/>
      <c r="R241" s="590"/>
      <c r="S241" s="590"/>
      <c r="T241" s="590"/>
      <c r="U241" s="590"/>
      <c r="V241" s="590"/>
      <c r="W241" s="590"/>
      <c r="X241" s="590"/>
      <c r="Y241" s="590"/>
      <c r="Z241" s="590"/>
    </row>
    <row r="242" spans="1:26" ht="15.75" customHeight="1">
      <c r="A242" s="590"/>
      <c r="B242" s="590"/>
      <c r="C242" s="590"/>
      <c r="D242" s="590"/>
      <c r="E242" s="590"/>
      <c r="F242" s="590"/>
      <c r="G242" s="590"/>
      <c r="H242" s="590"/>
      <c r="I242" s="590"/>
      <c r="J242" s="590"/>
      <c r="K242" s="590"/>
      <c r="L242" s="590"/>
      <c r="M242" s="590"/>
      <c r="N242" s="590"/>
      <c r="O242" s="590"/>
      <c r="P242" s="590"/>
      <c r="Q242" s="590"/>
      <c r="R242" s="590"/>
      <c r="S242" s="590"/>
      <c r="T242" s="590"/>
      <c r="U242" s="590"/>
      <c r="V242" s="590"/>
      <c r="W242" s="590"/>
      <c r="X242" s="590"/>
      <c r="Y242" s="590"/>
      <c r="Z242" s="590"/>
    </row>
    <row r="243" spans="1:26" ht="15.75" customHeight="1">
      <c r="A243" s="590"/>
      <c r="B243" s="590"/>
      <c r="C243" s="590"/>
      <c r="D243" s="590"/>
      <c r="E243" s="590"/>
      <c r="F243" s="590"/>
      <c r="G243" s="590"/>
      <c r="H243" s="590"/>
      <c r="I243" s="590"/>
      <c r="J243" s="590"/>
      <c r="K243" s="590"/>
      <c r="L243" s="590"/>
      <c r="M243" s="590"/>
      <c r="N243" s="590"/>
      <c r="O243" s="590"/>
      <c r="P243" s="590"/>
      <c r="Q243" s="590"/>
      <c r="R243" s="590"/>
      <c r="S243" s="590"/>
      <c r="T243" s="590"/>
      <c r="U243" s="590"/>
      <c r="V243" s="590"/>
      <c r="W243" s="590"/>
      <c r="X243" s="590"/>
      <c r="Y243" s="590"/>
      <c r="Z243" s="590"/>
    </row>
    <row r="244" spans="1:26" ht="15.75" customHeight="1">
      <c r="A244" s="590"/>
      <c r="B244" s="590"/>
      <c r="C244" s="590"/>
      <c r="D244" s="590"/>
      <c r="E244" s="590"/>
      <c r="F244" s="590"/>
      <c r="G244" s="590"/>
      <c r="H244" s="590"/>
      <c r="I244" s="590"/>
      <c r="J244" s="590"/>
      <c r="K244" s="590"/>
      <c r="L244" s="590"/>
      <c r="M244" s="590"/>
      <c r="N244" s="590"/>
      <c r="O244" s="590"/>
      <c r="P244" s="590"/>
      <c r="Q244" s="590"/>
      <c r="R244" s="590"/>
      <c r="S244" s="590"/>
      <c r="T244" s="590"/>
      <c r="U244" s="590"/>
      <c r="V244" s="590"/>
      <c r="W244" s="590"/>
      <c r="X244" s="590"/>
      <c r="Y244" s="590"/>
      <c r="Z244" s="590"/>
    </row>
    <row r="245" spans="1:26" ht="15.75" customHeight="1">
      <c r="A245" s="590"/>
      <c r="B245" s="590"/>
      <c r="C245" s="590"/>
      <c r="D245" s="590"/>
      <c r="E245" s="590"/>
      <c r="F245" s="590"/>
      <c r="G245" s="590"/>
      <c r="H245" s="590"/>
      <c r="I245" s="590"/>
      <c r="J245" s="590"/>
      <c r="K245" s="590"/>
      <c r="L245" s="590"/>
      <c r="M245" s="590"/>
      <c r="N245" s="590"/>
      <c r="O245" s="590"/>
      <c r="P245" s="590"/>
      <c r="Q245" s="590"/>
      <c r="R245" s="590"/>
      <c r="S245" s="590"/>
      <c r="T245" s="590"/>
      <c r="U245" s="590"/>
      <c r="V245" s="590"/>
      <c r="W245" s="590"/>
      <c r="X245" s="590"/>
      <c r="Y245" s="590"/>
      <c r="Z245" s="590"/>
    </row>
    <row r="246" spans="1:26" ht="15.75" customHeight="1">
      <c r="A246" s="590"/>
      <c r="B246" s="590"/>
      <c r="C246" s="590"/>
      <c r="D246" s="590"/>
      <c r="E246" s="590"/>
      <c r="F246" s="590"/>
      <c r="G246" s="590"/>
      <c r="H246" s="590"/>
      <c r="I246" s="590"/>
      <c r="J246" s="590"/>
      <c r="K246" s="590"/>
      <c r="L246" s="590"/>
      <c r="M246" s="590"/>
      <c r="N246" s="590"/>
      <c r="O246" s="590"/>
      <c r="P246" s="590"/>
      <c r="Q246" s="590"/>
      <c r="R246" s="590"/>
      <c r="S246" s="590"/>
      <c r="T246" s="590"/>
      <c r="U246" s="590"/>
      <c r="V246" s="590"/>
      <c r="W246" s="590"/>
      <c r="X246" s="590"/>
      <c r="Y246" s="590"/>
      <c r="Z246" s="590"/>
    </row>
    <row r="247" spans="1:26" ht="15.75" customHeight="1">
      <c r="A247" s="590"/>
      <c r="B247" s="590"/>
      <c r="C247" s="590"/>
      <c r="D247" s="590"/>
      <c r="E247" s="590"/>
      <c r="F247" s="590"/>
      <c r="G247" s="590"/>
      <c r="H247" s="590"/>
      <c r="I247" s="590"/>
      <c r="J247" s="590"/>
      <c r="K247" s="590"/>
      <c r="L247" s="590"/>
      <c r="M247" s="590"/>
      <c r="N247" s="590"/>
      <c r="O247" s="590"/>
      <c r="P247" s="590"/>
      <c r="Q247" s="590"/>
      <c r="R247" s="590"/>
      <c r="S247" s="590"/>
      <c r="T247" s="590"/>
      <c r="U247" s="590"/>
      <c r="V247" s="590"/>
      <c r="W247" s="590"/>
      <c r="X247" s="590"/>
      <c r="Y247" s="590"/>
      <c r="Z247" s="590"/>
    </row>
    <row r="248" spans="1:26" ht="15.75" customHeight="1">
      <c r="A248" s="590"/>
      <c r="B248" s="590"/>
      <c r="C248" s="590"/>
      <c r="D248" s="590"/>
      <c r="E248" s="590"/>
      <c r="F248" s="590"/>
      <c r="G248" s="590"/>
      <c r="H248" s="590"/>
      <c r="I248" s="590"/>
      <c r="J248" s="590"/>
      <c r="K248" s="590"/>
      <c r="L248" s="590"/>
      <c r="M248" s="590"/>
      <c r="N248" s="590"/>
      <c r="O248" s="590"/>
      <c r="P248" s="590"/>
      <c r="Q248" s="590"/>
      <c r="R248" s="590"/>
      <c r="S248" s="590"/>
      <c r="T248" s="590"/>
      <c r="U248" s="590"/>
      <c r="V248" s="590"/>
      <c r="W248" s="590"/>
      <c r="X248" s="590"/>
      <c r="Y248" s="590"/>
      <c r="Z248" s="590"/>
    </row>
    <row r="249" spans="1:26" ht="15.75" customHeight="1">
      <c r="A249" s="590"/>
      <c r="B249" s="590"/>
      <c r="C249" s="590"/>
      <c r="D249" s="590"/>
      <c r="E249" s="590"/>
      <c r="F249" s="590"/>
      <c r="G249" s="590"/>
      <c r="H249" s="590"/>
      <c r="I249" s="590"/>
      <c r="J249" s="590"/>
      <c r="K249" s="590"/>
      <c r="L249" s="590"/>
      <c r="M249" s="590"/>
      <c r="N249" s="590"/>
      <c r="O249" s="590"/>
      <c r="P249" s="590"/>
      <c r="Q249" s="590"/>
      <c r="R249" s="590"/>
      <c r="S249" s="590"/>
      <c r="T249" s="590"/>
      <c r="U249" s="590"/>
      <c r="V249" s="590"/>
      <c r="W249" s="590"/>
      <c r="X249" s="590"/>
      <c r="Y249" s="590"/>
      <c r="Z249" s="590"/>
    </row>
    <row r="250" spans="1:26" ht="15.75" customHeight="1">
      <c r="A250" s="590"/>
      <c r="B250" s="590"/>
      <c r="C250" s="590"/>
      <c r="D250" s="590"/>
      <c r="E250" s="590"/>
      <c r="F250" s="590"/>
      <c r="G250" s="590"/>
      <c r="H250" s="590"/>
      <c r="I250" s="590"/>
      <c r="J250" s="590"/>
      <c r="K250" s="590"/>
      <c r="L250" s="590"/>
      <c r="M250" s="590"/>
      <c r="N250" s="590"/>
      <c r="O250" s="590"/>
      <c r="P250" s="590"/>
      <c r="Q250" s="590"/>
      <c r="R250" s="590"/>
      <c r="S250" s="590"/>
      <c r="T250" s="590"/>
      <c r="U250" s="590"/>
      <c r="V250" s="590"/>
      <c r="W250" s="590"/>
      <c r="X250" s="590"/>
      <c r="Y250" s="590"/>
      <c r="Z250" s="590"/>
    </row>
    <row r="251" spans="1:26" ht="15.75" customHeight="1">
      <c r="A251" s="590"/>
      <c r="B251" s="590"/>
      <c r="C251" s="590"/>
      <c r="D251" s="590"/>
      <c r="E251" s="590"/>
      <c r="F251" s="590"/>
      <c r="G251" s="590"/>
      <c r="H251" s="590"/>
      <c r="I251" s="590"/>
      <c r="J251" s="590"/>
      <c r="K251" s="590"/>
      <c r="L251" s="590"/>
      <c r="M251" s="590"/>
      <c r="N251" s="590"/>
      <c r="O251" s="590"/>
      <c r="P251" s="590"/>
      <c r="Q251" s="590"/>
      <c r="R251" s="590"/>
      <c r="S251" s="590"/>
      <c r="T251" s="590"/>
      <c r="U251" s="590"/>
      <c r="V251" s="590"/>
      <c r="W251" s="590"/>
      <c r="X251" s="590"/>
      <c r="Y251" s="590"/>
      <c r="Z251" s="590"/>
    </row>
    <row r="252" spans="1:26" ht="15.75" customHeight="1">
      <c r="A252" s="590"/>
      <c r="B252" s="590"/>
      <c r="C252" s="590"/>
      <c r="D252" s="590"/>
      <c r="E252" s="590"/>
      <c r="F252" s="590"/>
      <c r="G252" s="590"/>
      <c r="H252" s="590"/>
      <c r="I252" s="590"/>
      <c r="J252" s="590"/>
      <c r="K252" s="590"/>
      <c r="L252" s="590"/>
      <c r="M252" s="590"/>
      <c r="N252" s="590"/>
      <c r="O252" s="590"/>
      <c r="P252" s="590"/>
      <c r="Q252" s="590"/>
      <c r="R252" s="590"/>
      <c r="S252" s="590"/>
      <c r="T252" s="590"/>
      <c r="U252" s="590"/>
      <c r="V252" s="590"/>
      <c r="W252" s="590"/>
      <c r="X252" s="590"/>
      <c r="Y252" s="590"/>
      <c r="Z252" s="590"/>
    </row>
    <row r="253" spans="1:26" ht="15.75" customHeight="1">
      <c r="A253" s="590"/>
      <c r="B253" s="590"/>
      <c r="C253" s="590"/>
      <c r="D253" s="590"/>
      <c r="E253" s="590"/>
      <c r="F253" s="590"/>
      <c r="G253" s="590"/>
      <c r="H253" s="590"/>
      <c r="I253" s="590"/>
      <c r="J253" s="590"/>
      <c r="K253" s="590"/>
      <c r="L253" s="590"/>
      <c r="M253" s="590"/>
      <c r="N253" s="590"/>
      <c r="O253" s="590"/>
      <c r="P253" s="590"/>
      <c r="Q253" s="590"/>
      <c r="R253" s="590"/>
      <c r="S253" s="590"/>
      <c r="T253" s="590"/>
      <c r="U253" s="590"/>
      <c r="V253" s="590"/>
      <c r="W253" s="590"/>
      <c r="X253" s="590"/>
      <c r="Y253" s="590"/>
      <c r="Z253" s="590"/>
    </row>
    <row r="254" spans="1:26" ht="15.75" customHeight="1">
      <c r="A254" s="590"/>
      <c r="B254" s="590"/>
      <c r="C254" s="590"/>
      <c r="D254" s="590"/>
      <c r="E254" s="590"/>
      <c r="F254" s="590"/>
      <c r="G254" s="590"/>
      <c r="H254" s="590"/>
      <c r="I254" s="590"/>
      <c r="J254" s="590"/>
      <c r="K254" s="590"/>
      <c r="L254" s="590"/>
      <c r="M254" s="590"/>
      <c r="N254" s="590"/>
      <c r="O254" s="590"/>
      <c r="P254" s="590"/>
      <c r="Q254" s="590"/>
      <c r="R254" s="590"/>
      <c r="S254" s="590"/>
      <c r="T254" s="590"/>
      <c r="U254" s="590"/>
      <c r="V254" s="590"/>
      <c r="W254" s="590"/>
      <c r="X254" s="590"/>
      <c r="Y254" s="590"/>
      <c r="Z254" s="590"/>
    </row>
    <row r="255" spans="1:26" ht="15.75" customHeight="1">
      <c r="A255" s="590"/>
      <c r="B255" s="590"/>
      <c r="C255" s="590"/>
      <c r="D255" s="590"/>
      <c r="E255" s="590"/>
      <c r="F255" s="590"/>
      <c r="G255" s="590"/>
      <c r="H255" s="590"/>
      <c r="I255" s="590"/>
      <c r="J255" s="590"/>
      <c r="K255" s="590"/>
      <c r="L255" s="590"/>
      <c r="M255" s="590"/>
      <c r="N255" s="590"/>
      <c r="O255" s="590"/>
      <c r="P255" s="590"/>
      <c r="Q255" s="590"/>
      <c r="R255" s="590"/>
      <c r="S255" s="590"/>
      <c r="T255" s="590"/>
      <c r="U255" s="590"/>
      <c r="V255" s="590"/>
      <c r="W255" s="590"/>
      <c r="X255" s="590"/>
      <c r="Y255" s="590"/>
      <c r="Z255" s="590"/>
    </row>
    <row r="256" spans="1:26" ht="15.75" customHeight="1">
      <c r="A256" s="590"/>
      <c r="B256" s="590"/>
      <c r="C256" s="590"/>
      <c r="D256" s="590"/>
      <c r="E256" s="590"/>
      <c r="F256" s="590"/>
      <c r="G256" s="590"/>
      <c r="H256" s="590"/>
      <c r="I256" s="590"/>
      <c r="J256" s="590"/>
      <c r="K256" s="590"/>
      <c r="L256" s="590"/>
      <c r="M256" s="590"/>
      <c r="N256" s="590"/>
      <c r="O256" s="590"/>
      <c r="P256" s="590"/>
      <c r="Q256" s="590"/>
      <c r="R256" s="590"/>
      <c r="S256" s="590"/>
      <c r="T256" s="590"/>
      <c r="U256" s="590"/>
      <c r="V256" s="590"/>
      <c r="W256" s="590"/>
      <c r="X256" s="590"/>
      <c r="Y256" s="590"/>
      <c r="Z256" s="590"/>
    </row>
    <row r="257" spans="1:26" ht="15.75" customHeight="1">
      <c r="A257" s="590"/>
      <c r="B257" s="590"/>
      <c r="C257" s="590"/>
      <c r="D257" s="590"/>
      <c r="E257" s="590"/>
      <c r="F257" s="590"/>
      <c r="G257" s="590"/>
      <c r="H257" s="590"/>
      <c r="I257" s="590"/>
      <c r="J257" s="590"/>
      <c r="K257" s="590"/>
      <c r="L257" s="590"/>
      <c r="M257" s="590"/>
      <c r="N257" s="590"/>
      <c r="O257" s="590"/>
      <c r="P257" s="590"/>
      <c r="Q257" s="590"/>
      <c r="R257" s="590"/>
      <c r="S257" s="590"/>
      <c r="T257" s="590"/>
      <c r="U257" s="590"/>
      <c r="V257" s="590"/>
      <c r="W257" s="590"/>
      <c r="X257" s="590"/>
      <c r="Y257" s="590"/>
      <c r="Z257" s="590"/>
    </row>
    <row r="258" spans="1:26" ht="15.75" customHeight="1">
      <c r="A258" s="590"/>
      <c r="B258" s="590"/>
      <c r="C258" s="590"/>
      <c r="D258" s="590"/>
      <c r="E258" s="590"/>
      <c r="F258" s="590"/>
      <c r="G258" s="590"/>
      <c r="H258" s="590"/>
      <c r="I258" s="590"/>
      <c r="J258" s="590"/>
      <c r="K258" s="590"/>
      <c r="L258" s="590"/>
      <c r="M258" s="590"/>
      <c r="N258" s="590"/>
      <c r="O258" s="590"/>
      <c r="P258" s="590"/>
      <c r="Q258" s="590"/>
      <c r="R258" s="590"/>
      <c r="S258" s="590"/>
      <c r="T258" s="590"/>
      <c r="U258" s="590"/>
      <c r="V258" s="590"/>
      <c r="W258" s="590"/>
      <c r="X258" s="590"/>
      <c r="Y258" s="590"/>
      <c r="Z258" s="590"/>
    </row>
    <row r="259" spans="1:26" ht="15.75" customHeight="1">
      <c r="A259" s="590"/>
      <c r="B259" s="590"/>
      <c r="C259" s="590"/>
      <c r="D259" s="590"/>
      <c r="E259" s="590"/>
      <c r="F259" s="590"/>
      <c r="G259" s="590"/>
      <c r="H259" s="590"/>
      <c r="I259" s="590"/>
      <c r="J259" s="590"/>
      <c r="K259" s="590"/>
      <c r="L259" s="590"/>
      <c r="M259" s="590"/>
      <c r="N259" s="590"/>
      <c r="O259" s="590"/>
      <c r="P259" s="590"/>
      <c r="Q259" s="590"/>
      <c r="R259" s="590"/>
      <c r="S259" s="590"/>
      <c r="T259" s="590"/>
      <c r="U259" s="590"/>
      <c r="V259" s="590"/>
      <c r="W259" s="590"/>
      <c r="X259" s="590"/>
      <c r="Y259" s="590"/>
      <c r="Z259" s="590"/>
    </row>
    <row r="260" spans="1:26" ht="15.75" customHeight="1">
      <c r="A260" s="590"/>
      <c r="B260" s="590"/>
      <c r="C260" s="590"/>
      <c r="D260" s="590"/>
      <c r="E260" s="590"/>
      <c r="F260" s="590"/>
      <c r="G260" s="590"/>
      <c r="H260" s="590"/>
      <c r="I260" s="590"/>
      <c r="J260" s="590"/>
      <c r="K260" s="590"/>
      <c r="L260" s="590"/>
      <c r="M260" s="590"/>
      <c r="N260" s="590"/>
      <c r="O260" s="590"/>
      <c r="P260" s="590"/>
      <c r="Q260" s="590"/>
      <c r="R260" s="590"/>
      <c r="S260" s="590"/>
      <c r="T260" s="590"/>
      <c r="U260" s="590"/>
      <c r="V260" s="590"/>
      <c r="W260" s="590"/>
      <c r="X260" s="590"/>
      <c r="Y260" s="590"/>
      <c r="Z260" s="590"/>
    </row>
    <row r="261" spans="1:26" ht="15.75" customHeight="1">
      <c r="A261" s="590"/>
      <c r="B261" s="590"/>
      <c r="C261" s="590"/>
      <c r="D261" s="590"/>
      <c r="E261" s="590"/>
      <c r="F261" s="590"/>
      <c r="G261" s="590"/>
      <c r="H261" s="590"/>
      <c r="I261" s="590"/>
      <c r="J261" s="590"/>
      <c r="K261" s="590"/>
      <c r="L261" s="590"/>
      <c r="M261" s="590"/>
      <c r="N261" s="590"/>
      <c r="O261" s="590"/>
      <c r="P261" s="590"/>
      <c r="Q261" s="590"/>
      <c r="R261" s="590"/>
      <c r="S261" s="590"/>
      <c r="T261" s="590"/>
      <c r="U261" s="590"/>
      <c r="V261" s="590"/>
      <c r="W261" s="590"/>
      <c r="X261" s="590"/>
      <c r="Y261" s="590"/>
      <c r="Z261" s="590"/>
    </row>
    <row r="262" spans="1:26" ht="15.75" customHeight="1">
      <c r="A262" s="590"/>
      <c r="B262" s="590"/>
      <c r="C262" s="590"/>
      <c r="D262" s="590"/>
      <c r="E262" s="590"/>
      <c r="F262" s="590"/>
      <c r="G262" s="590"/>
      <c r="H262" s="590"/>
      <c r="I262" s="590"/>
      <c r="J262" s="590"/>
      <c r="K262" s="590"/>
      <c r="L262" s="590"/>
      <c r="M262" s="590"/>
      <c r="N262" s="590"/>
      <c r="O262" s="590"/>
      <c r="P262" s="590"/>
      <c r="Q262" s="590"/>
      <c r="R262" s="590"/>
      <c r="S262" s="590"/>
      <c r="T262" s="590"/>
      <c r="U262" s="590"/>
      <c r="V262" s="590"/>
      <c r="W262" s="590"/>
      <c r="X262" s="590"/>
      <c r="Y262" s="590"/>
      <c r="Z262" s="590"/>
    </row>
    <row r="263" spans="1:26" ht="15.75" customHeight="1">
      <c r="A263" s="590"/>
      <c r="B263" s="590"/>
      <c r="C263" s="590"/>
      <c r="D263" s="590"/>
      <c r="E263" s="590"/>
      <c r="F263" s="590"/>
      <c r="G263" s="590"/>
      <c r="H263" s="590"/>
      <c r="I263" s="590"/>
      <c r="J263" s="590"/>
      <c r="K263" s="590"/>
      <c r="L263" s="590"/>
      <c r="M263" s="590"/>
      <c r="N263" s="590"/>
      <c r="O263" s="590"/>
      <c r="P263" s="590"/>
      <c r="Q263" s="590"/>
      <c r="R263" s="590"/>
      <c r="S263" s="590"/>
      <c r="T263" s="590"/>
      <c r="U263" s="590"/>
      <c r="V263" s="590"/>
      <c r="W263" s="590"/>
      <c r="X263" s="590"/>
      <c r="Y263" s="590"/>
      <c r="Z263" s="590"/>
    </row>
    <row r="264" spans="1:26" ht="15.75" customHeight="1">
      <c r="A264" s="590"/>
      <c r="B264" s="590"/>
      <c r="C264" s="590"/>
      <c r="D264" s="590"/>
      <c r="E264" s="590"/>
      <c r="F264" s="590"/>
      <c r="G264" s="590"/>
      <c r="H264" s="590"/>
      <c r="I264" s="590"/>
      <c r="J264" s="590"/>
      <c r="K264" s="590"/>
      <c r="L264" s="590"/>
      <c r="M264" s="590"/>
      <c r="N264" s="590"/>
      <c r="O264" s="590"/>
      <c r="P264" s="590"/>
      <c r="Q264" s="590"/>
      <c r="R264" s="590"/>
      <c r="S264" s="590"/>
      <c r="T264" s="590"/>
      <c r="U264" s="590"/>
      <c r="V264" s="590"/>
      <c r="W264" s="590"/>
      <c r="X264" s="590"/>
      <c r="Y264" s="590"/>
      <c r="Z264" s="590"/>
    </row>
    <row r="265" spans="1:26" ht="15.75" customHeight="1">
      <c r="A265" s="590"/>
      <c r="B265" s="590"/>
      <c r="C265" s="590"/>
      <c r="D265" s="590"/>
      <c r="E265" s="590"/>
      <c r="F265" s="590"/>
      <c r="G265" s="590"/>
      <c r="H265" s="590"/>
      <c r="I265" s="590"/>
      <c r="J265" s="590"/>
      <c r="K265" s="590"/>
      <c r="L265" s="590"/>
      <c r="M265" s="590"/>
      <c r="N265" s="590"/>
      <c r="O265" s="590"/>
      <c r="P265" s="590"/>
      <c r="Q265" s="590"/>
      <c r="R265" s="590"/>
      <c r="S265" s="590"/>
      <c r="T265" s="590"/>
      <c r="U265" s="590"/>
      <c r="V265" s="590"/>
      <c r="W265" s="590"/>
      <c r="X265" s="590"/>
      <c r="Y265" s="590"/>
      <c r="Z265" s="590"/>
    </row>
    <row r="266" spans="1:26" ht="15.75" customHeight="1">
      <c r="A266" s="590"/>
      <c r="B266" s="590"/>
      <c r="C266" s="590"/>
      <c r="D266" s="590"/>
      <c r="E266" s="590"/>
      <c r="F266" s="590"/>
      <c r="G266" s="590"/>
      <c r="H266" s="590"/>
      <c r="I266" s="590"/>
      <c r="J266" s="590"/>
      <c r="K266" s="590"/>
      <c r="L266" s="590"/>
      <c r="M266" s="590"/>
      <c r="N266" s="590"/>
      <c r="O266" s="590"/>
      <c r="P266" s="590"/>
      <c r="Q266" s="590"/>
      <c r="R266" s="590"/>
      <c r="S266" s="590"/>
      <c r="T266" s="590"/>
      <c r="U266" s="590"/>
      <c r="V266" s="590"/>
      <c r="W266" s="590"/>
      <c r="X266" s="590"/>
      <c r="Y266" s="590"/>
      <c r="Z266" s="590"/>
    </row>
    <row r="267" spans="1:26" ht="15.75" customHeight="1">
      <c r="A267" s="590"/>
      <c r="B267" s="590"/>
      <c r="C267" s="590"/>
      <c r="D267" s="590"/>
      <c r="E267" s="590"/>
      <c r="F267" s="590"/>
      <c r="G267" s="590"/>
      <c r="H267" s="590"/>
      <c r="I267" s="590"/>
      <c r="J267" s="590"/>
      <c r="K267" s="590"/>
      <c r="L267" s="590"/>
      <c r="M267" s="590"/>
      <c r="N267" s="590"/>
      <c r="O267" s="590"/>
      <c r="P267" s="590"/>
      <c r="Q267" s="590"/>
      <c r="R267" s="590"/>
      <c r="S267" s="590"/>
      <c r="T267" s="590"/>
      <c r="U267" s="590"/>
      <c r="V267" s="590"/>
      <c r="W267" s="590"/>
      <c r="X267" s="590"/>
      <c r="Y267" s="590"/>
      <c r="Z267" s="590"/>
    </row>
    <row r="268" spans="1:26" ht="15.75" customHeight="1">
      <c r="A268" s="590"/>
      <c r="B268" s="590"/>
      <c r="C268" s="590"/>
      <c r="D268" s="590"/>
      <c r="E268" s="590"/>
      <c r="F268" s="590"/>
      <c r="G268" s="590"/>
      <c r="H268" s="590"/>
      <c r="I268" s="590"/>
      <c r="J268" s="590"/>
      <c r="K268" s="590"/>
      <c r="L268" s="590"/>
      <c r="M268" s="590"/>
      <c r="N268" s="590"/>
      <c r="O268" s="590"/>
      <c r="P268" s="590"/>
      <c r="Q268" s="590"/>
      <c r="R268" s="590"/>
      <c r="S268" s="590"/>
      <c r="T268" s="590"/>
      <c r="U268" s="590"/>
      <c r="V268" s="590"/>
      <c r="W268" s="590"/>
      <c r="X268" s="590"/>
      <c r="Y268" s="590"/>
      <c r="Z268" s="590"/>
    </row>
    <row r="269" spans="1:26" ht="15.75" customHeight="1">
      <c r="A269" s="590"/>
      <c r="B269" s="590"/>
      <c r="C269" s="590"/>
      <c r="D269" s="590"/>
      <c r="E269" s="590"/>
      <c r="F269" s="590"/>
      <c r="G269" s="590"/>
      <c r="H269" s="590"/>
      <c r="I269" s="590"/>
      <c r="J269" s="590"/>
      <c r="K269" s="590"/>
      <c r="L269" s="590"/>
      <c r="M269" s="590"/>
      <c r="N269" s="590"/>
      <c r="O269" s="590"/>
      <c r="P269" s="590"/>
      <c r="Q269" s="590"/>
      <c r="R269" s="590"/>
      <c r="S269" s="590"/>
      <c r="T269" s="590"/>
      <c r="U269" s="590"/>
      <c r="V269" s="590"/>
      <c r="W269" s="590"/>
      <c r="X269" s="590"/>
      <c r="Y269" s="590"/>
      <c r="Z269" s="590"/>
    </row>
    <row r="270" spans="1:26" ht="15.75" customHeight="1">
      <c r="A270" s="590"/>
      <c r="B270" s="590"/>
      <c r="C270" s="590"/>
      <c r="D270" s="590"/>
      <c r="E270" s="590"/>
      <c r="F270" s="590"/>
      <c r="G270" s="590"/>
      <c r="H270" s="590"/>
      <c r="I270" s="590"/>
      <c r="J270" s="590"/>
      <c r="K270" s="590"/>
      <c r="L270" s="590"/>
      <c r="M270" s="590"/>
      <c r="N270" s="590"/>
      <c r="O270" s="590"/>
      <c r="P270" s="590"/>
      <c r="Q270" s="590"/>
      <c r="R270" s="590"/>
      <c r="S270" s="590"/>
      <c r="T270" s="590"/>
      <c r="U270" s="590"/>
      <c r="V270" s="590"/>
      <c r="W270" s="590"/>
      <c r="X270" s="590"/>
      <c r="Y270" s="590"/>
      <c r="Z270" s="590"/>
    </row>
    <row r="271" spans="1:26" ht="15.75" customHeight="1">
      <c r="A271" s="590"/>
      <c r="B271" s="590"/>
      <c r="C271" s="590"/>
      <c r="D271" s="590"/>
      <c r="E271" s="590"/>
      <c r="F271" s="590"/>
      <c r="G271" s="590"/>
      <c r="H271" s="590"/>
      <c r="I271" s="590"/>
      <c r="J271" s="590"/>
      <c r="K271" s="590"/>
      <c r="L271" s="590"/>
      <c r="M271" s="590"/>
      <c r="N271" s="590"/>
      <c r="O271" s="590"/>
      <c r="P271" s="590"/>
      <c r="Q271" s="590"/>
      <c r="R271" s="590"/>
      <c r="S271" s="590"/>
      <c r="T271" s="590"/>
      <c r="U271" s="590"/>
      <c r="V271" s="590"/>
      <c r="W271" s="590"/>
      <c r="X271" s="590"/>
      <c r="Y271" s="590"/>
      <c r="Z271" s="590"/>
    </row>
    <row r="272" spans="1:26" ht="15.75" customHeight="1">
      <c r="A272" s="590"/>
      <c r="B272" s="590"/>
      <c r="C272" s="590"/>
      <c r="D272" s="590"/>
      <c r="E272" s="590"/>
      <c r="F272" s="590"/>
      <c r="G272" s="590"/>
      <c r="H272" s="590"/>
      <c r="I272" s="590"/>
      <c r="J272" s="590"/>
      <c r="K272" s="590"/>
      <c r="L272" s="590"/>
      <c r="M272" s="590"/>
      <c r="N272" s="590"/>
      <c r="O272" s="590"/>
      <c r="P272" s="590"/>
      <c r="Q272" s="590"/>
      <c r="R272" s="590"/>
      <c r="S272" s="590"/>
      <c r="T272" s="590"/>
      <c r="U272" s="590"/>
      <c r="V272" s="590"/>
      <c r="W272" s="590"/>
      <c r="X272" s="590"/>
      <c r="Y272" s="590"/>
      <c r="Z272" s="590"/>
    </row>
    <row r="273" spans="1:26" ht="15.75" customHeight="1">
      <c r="A273" s="590"/>
      <c r="B273" s="590"/>
      <c r="C273" s="590"/>
      <c r="D273" s="590"/>
      <c r="E273" s="590"/>
      <c r="F273" s="590"/>
      <c r="G273" s="590"/>
      <c r="H273" s="590"/>
      <c r="I273" s="590"/>
      <c r="J273" s="590"/>
      <c r="K273" s="590"/>
      <c r="L273" s="590"/>
      <c r="M273" s="590"/>
      <c r="N273" s="590"/>
      <c r="O273" s="590"/>
      <c r="P273" s="590"/>
      <c r="Q273" s="590"/>
      <c r="R273" s="590"/>
      <c r="S273" s="590"/>
      <c r="T273" s="590"/>
      <c r="U273" s="590"/>
      <c r="V273" s="590"/>
      <c r="W273" s="590"/>
      <c r="X273" s="590"/>
      <c r="Y273" s="590"/>
      <c r="Z273" s="590"/>
    </row>
    <row r="274" spans="1:26" ht="15.75" customHeight="1">
      <c r="A274" s="590"/>
      <c r="B274" s="590"/>
      <c r="C274" s="590"/>
      <c r="D274" s="590"/>
      <c r="E274" s="590"/>
      <c r="F274" s="590"/>
      <c r="G274" s="590"/>
      <c r="H274" s="590"/>
      <c r="I274" s="590"/>
      <c r="J274" s="590"/>
      <c r="K274" s="590"/>
      <c r="L274" s="590"/>
      <c r="M274" s="590"/>
      <c r="N274" s="590"/>
      <c r="O274" s="590"/>
      <c r="P274" s="590"/>
      <c r="Q274" s="590"/>
      <c r="R274" s="590"/>
      <c r="S274" s="590"/>
      <c r="T274" s="590"/>
      <c r="U274" s="590"/>
      <c r="V274" s="590"/>
      <c r="W274" s="590"/>
      <c r="X274" s="590"/>
      <c r="Y274" s="590"/>
      <c r="Z274" s="590"/>
    </row>
    <row r="275" spans="1:26" ht="15.75" customHeight="1">
      <c r="A275" s="590"/>
      <c r="B275" s="590"/>
      <c r="C275" s="590"/>
      <c r="D275" s="590"/>
      <c r="E275" s="590"/>
      <c r="F275" s="590"/>
      <c r="G275" s="590"/>
      <c r="H275" s="590"/>
      <c r="I275" s="590"/>
      <c r="J275" s="590"/>
      <c r="K275" s="590"/>
      <c r="L275" s="590"/>
      <c r="M275" s="590"/>
      <c r="N275" s="590"/>
      <c r="O275" s="590"/>
      <c r="P275" s="590"/>
      <c r="Q275" s="590"/>
      <c r="R275" s="590"/>
      <c r="S275" s="590"/>
      <c r="T275" s="590"/>
      <c r="U275" s="590"/>
      <c r="V275" s="590"/>
      <c r="W275" s="590"/>
      <c r="X275" s="590"/>
      <c r="Y275" s="590"/>
      <c r="Z275" s="590"/>
    </row>
    <row r="276" spans="1:26" ht="15.75" customHeight="1">
      <c r="A276" s="590"/>
      <c r="B276" s="590"/>
      <c r="C276" s="590"/>
      <c r="D276" s="590"/>
      <c r="E276" s="590"/>
      <c r="F276" s="590"/>
      <c r="G276" s="590"/>
      <c r="H276" s="590"/>
      <c r="I276" s="590"/>
      <c r="J276" s="590"/>
      <c r="K276" s="590"/>
      <c r="L276" s="590"/>
      <c r="M276" s="590"/>
      <c r="N276" s="590"/>
      <c r="O276" s="590"/>
      <c r="P276" s="590"/>
      <c r="Q276" s="590"/>
      <c r="R276" s="590"/>
      <c r="S276" s="590"/>
      <c r="T276" s="590"/>
      <c r="U276" s="590"/>
      <c r="V276" s="590"/>
      <c r="W276" s="590"/>
      <c r="X276" s="590"/>
      <c r="Y276" s="590"/>
      <c r="Z276" s="590"/>
    </row>
    <row r="277" spans="1:26" ht="15.75" customHeight="1">
      <c r="A277" s="590"/>
      <c r="B277" s="590"/>
      <c r="C277" s="590"/>
      <c r="D277" s="590"/>
      <c r="E277" s="590"/>
      <c r="F277" s="590"/>
      <c r="G277" s="590"/>
      <c r="H277" s="590"/>
      <c r="I277" s="590"/>
      <c r="J277" s="590"/>
      <c r="K277" s="590"/>
      <c r="L277" s="590"/>
      <c r="M277" s="590"/>
      <c r="N277" s="590"/>
      <c r="O277" s="590"/>
      <c r="P277" s="590"/>
      <c r="Q277" s="590"/>
      <c r="R277" s="590"/>
      <c r="S277" s="590"/>
      <c r="T277" s="590"/>
      <c r="U277" s="590"/>
      <c r="V277" s="590"/>
      <c r="W277" s="590"/>
      <c r="X277" s="590"/>
      <c r="Y277" s="590"/>
      <c r="Z277" s="590"/>
    </row>
    <row r="278" spans="1:26" ht="15.75" customHeight="1">
      <c r="A278" s="590"/>
      <c r="B278" s="590"/>
      <c r="C278" s="590"/>
      <c r="D278" s="590"/>
      <c r="E278" s="590"/>
      <c r="F278" s="590"/>
      <c r="G278" s="590"/>
      <c r="H278" s="590"/>
      <c r="I278" s="590"/>
      <c r="J278" s="590"/>
      <c r="K278" s="590"/>
      <c r="L278" s="590"/>
      <c r="M278" s="590"/>
      <c r="N278" s="590"/>
      <c r="O278" s="590"/>
      <c r="P278" s="590"/>
      <c r="Q278" s="590"/>
      <c r="R278" s="590"/>
      <c r="S278" s="590"/>
      <c r="T278" s="590"/>
      <c r="U278" s="590"/>
      <c r="V278" s="590"/>
      <c r="W278" s="590"/>
      <c r="X278" s="590"/>
      <c r="Y278" s="590"/>
      <c r="Z278" s="590"/>
    </row>
    <row r="279" spans="1:26" ht="15.75" customHeight="1">
      <c r="A279" s="590"/>
      <c r="B279" s="590"/>
      <c r="C279" s="590"/>
      <c r="D279" s="590"/>
      <c r="E279" s="590"/>
      <c r="F279" s="590"/>
      <c r="G279" s="590"/>
      <c r="H279" s="590"/>
      <c r="I279" s="590"/>
      <c r="J279" s="590"/>
      <c r="K279" s="590"/>
      <c r="L279" s="590"/>
      <c r="M279" s="590"/>
      <c r="N279" s="590"/>
      <c r="O279" s="590"/>
      <c r="P279" s="590"/>
      <c r="Q279" s="590"/>
      <c r="R279" s="590"/>
      <c r="S279" s="590"/>
      <c r="T279" s="590"/>
      <c r="U279" s="590"/>
      <c r="V279" s="590"/>
      <c r="W279" s="590"/>
      <c r="X279" s="590"/>
      <c r="Y279" s="590"/>
      <c r="Z279" s="590"/>
    </row>
    <row r="280" spans="1:26" ht="15.75" customHeight="1">
      <c r="A280" s="590"/>
      <c r="B280" s="590"/>
      <c r="C280" s="590"/>
      <c r="D280" s="590"/>
      <c r="E280" s="590"/>
      <c r="F280" s="590"/>
      <c r="G280" s="590"/>
      <c r="H280" s="590"/>
      <c r="I280" s="590"/>
      <c r="J280" s="590"/>
      <c r="K280" s="590"/>
      <c r="L280" s="590"/>
      <c r="M280" s="590"/>
      <c r="N280" s="590"/>
      <c r="O280" s="590"/>
      <c r="P280" s="590"/>
      <c r="Q280" s="590"/>
      <c r="R280" s="590"/>
      <c r="S280" s="590"/>
      <c r="T280" s="590"/>
      <c r="U280" s="590"/>
      <c r="V280" s="590"/>
      <c r="W280" s="590"/>
      <c r="X280" s="590"/>
      <c r="Y280" s="590"/>
      <c r="Z280" s="590"/>
    </row>
    <row r="281" spans="1:26" ht="15.75" customHeight="1">
      <c r="A281" s="590"/>
      <c r="B281" s="590"/>
      <c r="C281" s="590"/>
      <c r="D281" s="590"/>
      <c r="E281" s="590"/>
      <c r="F281" s="590"/>
      <c r="G281" s="590"/>
      <c r="H281" s="590"/>
      <c r="I281" s="590"/>
      <c r="J281" s="590"/>
      <c r="K281" s="590"/>
      <c r="L281" s="590"/>
      <c r="M281" s="590"/>
      <c r="N281" s="590"/>
      <c r="O281" s="590"/>
      <c r="P281" s="590"/>
      <c r="Q281" s="590"/>
      <c r="R281" s="590"/>
      <c r="S281" s="590"/>
      <c r="T281" s="590"/>
      <c r="U281" s="590"/>
      <c r="V281" s="590"/>
      <c r="W281" s="590"/>
      <c r="X281" s="590"/>
      <c r="Y281" s="590"/>
      <c r="Z281" s="590"/>
    </row>
    <row r="282" spans="1:26" ht="15.75" customHeight="1">
      <c r="A282" s="590"/>
      <c r="B282" s="590"/>
      <c r="C282" s="590"/>
      <c r="D282" s="590"/>
      <c r="E282" s="590"/>
      <c r="F282" s="590"/>
      <c r="G282" s="590"/>
      <c r="H282" s="590"/>
      <c r="I282" s="590"/>
      <c r="J282" s="590"/>
      <c r="K282" s="590"/>
      <c r="L282" s="590"/>
      <c r="M282" s="590"/>
      <c r="N282" s="590"/>
      <c r="O282" s="590"/>
      <c r="P282" s="590"/>
      <c r="Q282" s="590"/>
      <c r="R282" s="590"/>
      <c r="S282" s="590"/>
      <c r="T282" s="590"/>
      <c r="U282" s="590"/>
      <c r="V282" s="590"/>
      <c r="W282" s="590"/>
      <c r="X282" s="590"/>
      <c r="Y282" s="590"/>
      <c r="Z282" s="590"/>
    </row>
    <row r="283" spans="1:26" ht="15.75" customHeight="1">
      <c r="A283" s="590"/>
      <c r="B283" s="590"/>
      <c r="C283" s="590"/>
      <c r="D283" s="590"/>
      <c r="E283" s="590"/>
      <c r="F283" s="590"/>
      <c r="G283" s="590"/>
      <c r="H283" s="590"/>
      <c r="I283" s="590"/>
      <c r="J283" s="590"/>
      <c r="K283" s="590"/>
      <c r="L283" s="590"/>
      <c r="M283" s="590"/>
      <c r="N283" s="590"/>
      <c r="O283" s="590"/>
      <c r="P283" s="590"/>
      <c r="Q283" s="590"/>
      <c r="R283" s="590"/>
      <c r="S283" s="590"/>
      <c r="T283" s="590"/>
      <c r="U283" s="590"/>
      <c r="V283" s="590"/>
      <c r="W283" s="590"/>
      <c r="X283" s="590"/>
      <c r="Y283" s="590"/>
      <c r="Z283" s="590"/>
    </row>
    <row r="284" spans="1:26" ht="15.75" customHeight="1">
      <c r="A284" s="590"/>
      <c r="B284" s="590"/>
      <c r="C284" s="590"/>
      <c r="D284" s="590"/>
      <c r="E284" s="590"/>
      <c r="F284" s="590"/>
      <c r="G284" s="590"/>
      <c r="H284" s="590"/>
      <c r="I284" s="590"/>
      <c r="J284" s="590"/>
      <c r="K284" s="590"/>
      <c r="L284" s="590"/>
      <c r="M284" s="590"/>
      <c r="N284" s="590"/>
      <c r="O284" s="590"/>
      <c r="P284" s="590"/>
      <c r="Q284" s="590"/>
      <c r="R284" s="590"/>
      <c r="S284" s="590"/>
      <c r="T284" s="590"/>
      <c r="U284" s="590"/>
      <c r="V284" s="590"/>
      <c r="W284" s="590"/>
      <c r="X284" s="590"/>
      <c r="Y284" s="590"/>
      <c r="Z284" s="590"/>
    </row>
    <row r="285" spans="1:26" ht="15.75" customHeight="1">
      <c r="A285" s="590"/>
      <c r="B285" s="590"/>
      <c r="C285" s="590"/>
      <c r="D285" s="590"/>
      <c r="E285" s="590"/>
      <c r="F285" s="590"/>
      <c r="G285" s="590"/>
      <c r="H285" s="590"/>
      <c r="I285" s="590"/>
      <c r="J285" s="590"/>
      <c r="K285" s="590"/>
      <c r="L285" s="590"/>
      <c r="M285" s="590"/>
      <c r="N285" s="590"/>
      <c r="O285" s="590"/>
      <c r="P285" s="590"/>
      <c r="Q285" s="590"/>
      <c r="R285" s="590"/>
      <c r="S285" s="590"/>
      <c r="T285" s="590"/>
      <c r="U285" s="590"/>
      <c r="V285" s="590"/>
      <c r="W285" s="590"/>
      <c r="X285" s="590"/>
      <c r="Y285" s="590"/>
      <c r="Z285" s="590"/>
    </row>
    <row r="286" spans="1:26" ht="15.75" customHeight="1">
      <c r="A286" s="590"/>
      <c r="B286" s="590"/>
      <c r="C286" s="590"/>
      <c r="D286" s="590"/>
      <c r="E286" s="590"/>
      <c r="F286" s="590"/>
      <c r="G286" s="590"/>
      <c r="H286" s="590"/>
      <c r="I286" s="590"/>
      <c r="J286" s="590"/>
      <c r="K286" s="590"/>
      <c r="L286" s="590"/>
      <c r="M286" s="590"/>
      <c r="N286" s="590"/>
      <c r="O286" s="590"/>
      <c r="P286" s="590"/>
      <c r="Q286" s="590"/>
      <c r="R286" s="590"/>
      <c r="S286" s="590"/>
      <c r="T286" s="590"/>
      <c r="U286" s="590"/>
      <c r="V286" s="590"/>
      <c r="W286" s="590"/>
      <c r="X286" s="590"/>
      <c r="Y286" s="590"/>
      <c r="Z286" s="590"/>
    </row>
    <row r="287" spans="1:26" ht="15.75" customHeight="1">
      <c r="A287" s="590"/>
      <c r="B287" s="590"/>
      <c r="C287" s="590"/>
      <c r="D287" s="590"/>
      <c r="E287" s="590"/>
      <c r="F287" s="590"/>
      <c r="G287" s="590"/>
      <c r="H287" s="590"/>
      <c r="I287" s="590"/>
      <c r="J287" s="590"/>
      <c r="K287" s="590"/>
      <c r="L287" s="590"/>
      <c r="M287" s="590"/>
      <c r="N287" s="590"/>
      <c r="O287" s="590"/>
      <c r="P287" s="590"/>
      <c r="Q287" s="590"/>
      <c r="R287" s="590"/>
      <c r="S287" s="590"/>
      <c r="T287" s="590"/>
      <c r="U287" s="590"/>
      <c r="V287" s="590"/>
      <c r="W287" s="590"/>
      <c r="X287" s="590"/>
      <c r="Y287" s="590"/>
      <c r="Z287" s="590"/>
    </row>
    <row r="288" spans="1:26" ht="15.75" customHeight="1">
      <c r="A288" s="590"/>
      <c r="B288" s="590"/>
      <c r="C288" s="590"/>
      <c r="D288" s="590"/>
      <c r="E288" s="590"/>
      <c r="F288" s="590"/>
      <c r="G288" s="590"/>
      <c r="H288" s="590"/>
      <c r="I288" s="590"/>
      <c r="J288" s="590"/>
      <c r="K288" s="590"/>
      <c r="L288" s="590"/>
      <c r="M288" s="590"/>
      <c r="N288" s="590"/>
      <c r="O288" s="590"/>
      <c r="P288" s="590"/>
      <c r="Q288" s="590"/>
      <c r="R288" s="590"/>
      <c r="S288" s="590"/>
      <c r="T288" s="590"/>
      <c r="U288" s="590"/>
      <c r="V288" s="590"/>
      <c r="W288" s="590"/>
      <c r="X288" s="590"/>
      <c r="Y288" s="590"/>
      <c r="Z288" s="590"/>
    </row>
    <row r="289" spans="1:26" ht="15.75" customHeight="1">
      <c r="A289" s="590"/>
      <c r="B289" s="590"/>
      <c r="C289" s="590"/>
      <c r="D289" s="590"/>
      <c r="E289" s="590"/>
      <c r="F289" s="590"/>
      <c r="G289" s="590"/>
      <c r="H289" s="590"/>
      <c r="I289" s="590"/>
      <c r="J289" s="590"/>
      <c r="K289" s="590"/>
      <c r="L289" s="590"/>
      <c r="M289" s="590"/>
      <c r="N289" s="590"/>
      <c r="O289" s="590"/>
      <c r="P289" s="590"/>
      <c r="Q289" s="590"/>
      <c r="R289" s="590"/>
      <c r="S289" s="590"/>
      <c r="T289" s="590"/>
      <c r="U289" s="590"/>
      <c r="V289" s="590"/>
      <c r="W289" s="590"/>
      <c r="X289" s="590"/>
      <c r="Y289" s="590"/>
      <c r="Z289" s="590"/>
    </row>
    <row r="290" spans="1:26" ht="15.75" customHeight="1">
      <c r="A290" s="590"/>
      <c r="B290" s="590"/>
      <c r="C290" s="590"/>
      <c r="D290" s="590"/>
      <c r="E290" s="590"/>
      <c r="F290" s="590"/>
      <c r="G290" s="590"/>
      <c r="H290" s="590"/>
      <c r="I290" s="590"/>
      <c r="J290" s="590"/>
      <c r="K290" s="590"/>
      <c r="L290" s="590"/>
      <c r="M290" s="590"/>
      <c r="N290" s="590"/>
      <c r="O290" s="590"/>
      <c r="P290" s="590"/>
      <c r="Q290" s="590"/>
      <c r="R290" s="590"/>
      <c r="S290" s="590"/>
      <c r="T290" s="590"/>
      <c r="U290" s="590"/>
      <c r="V290" s="590"/>
      <c r="W290" s="590"/>
      <c r="X290" s="590"/>
      <c r="Y290" s="590"/>
      <c r="Z290" s="590"/>
    </row>
    <row r="291" spans="1:26" ht="15.75" customHeight="1">
      <c r="A291" s="590"/>
      <c r="B291" s="590"/>
      <c r="C291" s="590"/>
      <c r="D291" s="590"/>
      <c r="E291" s="590"/>
      <c r="F291" s="590"/>
      <c r="G291" s="590"/>
      <c r="H291" s="590"/>
      <c r="I291" s="590"/>
      <c r="J291" s="590"/>
      <c r="K291" s="590"/>
      <c r="L291" s="590"/>
      <c r="M291" s="590"/>
      <c r="N291" s="590"/>
      <c r="O291" s="590"/>
      <c r="P291" s="590"/>
      <c r="Q291" s="590"/>
      <c r="R291" s="590"/>
      <c r="S291" s="590"/>
      <c r="T291" s="590"/>
      <c r="U291" s="590"/>
      <c r="V291" s="590"/>
      <c r="W291" s="590"/>
      <c r="X291" s="590"/>
      <c r="Y291" s="590"/>
      <c r="Z291" s="590"/>
    </row>
    <row r="292" spans="1:26" ht="15.75" customHeight="1">
      <c r="A292" s="590"/>
      <c r="B292" s="590"/>
      <c r="C292" s="590"/>
      <c r="D292" s="590"/>
      <c r="E292" s="590"/>
      <c r="F292" s="590"/>
      <c r="G292" s="590"/>
      <c r="H292" s="590"/>
      <c r="I292" s="590"/>
      <c r="J292" s="590"/>
      <c r="K292" s="590"/>
      <c r="L292" s="590"/>
      <c r="M292" s="590"/>
      <c r="N292" s="590"/>
      <c r="O292" s="590"/>
      <c r="P292" s="590"/>
      <c r="Q292" s="590"/>
      <c r="R292" s="590"/>
      <c r="S292" s="590"/>
      <c r="T292" s="590"/>
      <c r="U292" s="590"/>
      <c r="V292" s="590"/>
      <c r="W292" s="590"/>
      <c r="X292" s="590"/>
      <c r="Y292" s="590"/>
      <c r="Z292" s="590"/>
    </row>
    <row r="293" spans="1:26" ht="15.75" customHeight="1">
      <c r="A293" s="590"/>
      <c r="B293" s="590"/>
      <c r="C293" s="590"/>
      <c r="D293" s="590"/>
      <c r="E293" s="590"/>
      <c r="F293" s="590"/>
      <c r="G293" s="590"/>
      <c r="H293" s="590"/>
      <c r="I293" s="590"/>
      <c r="J293" s="590"/>
      <c r="K293" s="590"/>
      <c r="L293" s="590"/>
      <c r="M293" s="590"/>
      <c r="N293" s="590"/>
      <c r="O293" s="590"/>
      <c r="P293" s="590"/>
      <c r="Q293" s="590"/>
      <c r="R293" s="590"/>
      <c r="S293" s="590"/>
      <c r="T293" s="590"/>
      <c r="U293" s="590"/>
      <c r="V293" s="590"/>
      <c r="W293" s="590"/>
      <c r="X293" s="590"/>
      <c r="Y293" s="590"/>
      <c r="Z293" s="590"/>
    </row>
    <row r="294" spans="1:26" ht="15.75" customHeight="1">
      <c r="A294" s="590"/>
      <c r="B294" s="590"/>
      <c r="C294" s="590"/>
      <c r="D294" s="590"/>
      <c r="E294" s="590"/>
      <c r="F294" s="590"/>
      <c r="G294" s="590"/>
      <c r="H294" s="590"/>
      <c r="I294" s="590"/>
      <c r="J294" s="590"/>
      <c r="K294" s="590"/>
      <c r="L294" s="590"/>
      <c r="M294" s="590"/>
      <c r="N294" s="590"/>
      <c r="O294" s="590"/>
      <c r="P294" s="590"/>
      <c r="Q294" s="590"/>
      <c r="R294" s="590"/>
      <c r="S294" s="590"/>
      <c r="T294" s="590"/>
      <c r="U294" s="590"/>
      <c r="V294" s="590"/>
      <c r="W294" s="590"/>
      <c r="X294" s="590"/>
      <c r="Y294" s="590"/>
      <c r="Z294" s="590"/>
    </row>
    <row r="295" spans="1:26" ht="15.75" customHeight="1">
      <c r="A295" s="590"/>
      <c r="B295" s="590"/>
      <c r="C295" s="590"/>
      <c r="D295" s="590"/>
      <c r="E295" s="590"/>
      <c r="F295" s="590"/>
      <c r="G295" s="590"/>
      <c r="H295" s="590"/>
      <c r="I295" s="590"/>
      <c r="J295" s="590"/>
      <c r="K295" s="590"/>
      <c r="L295" s="590"/>
      <c r="M295" s="590"/>
      <c r="N295" s="590"/>
      <c r="O295" s="590"/>
      <c r="P295" s="590"/>
      <c r="Q295" s="590"/>
      <c r="R295" s="590"/>
      <c r="S295" s="590"/>
      <c r="T295" s="590"/>
      <c r="U295" s="590"/>
      <c r="V295" s="590"/>
      <c r="W295" s="590"/>
      <c r="X295" s="590"/>
      <c r="Y295" s="590"/>
      <c r="Z295" s="590"/>
    </row>
    <row r="296" spans="1:26" ht="15.75" customHeight="1">
      <c r="A296" s="590"/>
      <c r="B296" s="590"/>
      <c r="C296" s="590"/>
      <c r="D296" s="590"/>
      <c r="E296" s="590"/>
      <c r="F296" s="590"/>
      <c r="G296" s="590"/>
      <c r="H296" s="590"/>
      <c r="I296" s="590"/>
      <c r="J296" s="590"/>
      <c r="K296" s="590"/>
      <c r="L296" s="590"/>
      <c r="M296" s="590"/>
      <c r="N296" s="590"/>
      <c r="O296" s="590"/>
      <c r="P296" s="590"/>
      <c r="Q296" s="590"/>
      <c r="R296" s="590"/>
      <c r="S296" s="590"/>
      <c r="T296" s="590"/>
      <c r="U296" s="590"/>
      <c r="V296" s="590"/>
      <c r="W296" s="590"/>
      <c r="X296" s="590"/>
      <c r="Y296" s="590"/>
      <c r="Z296" s="590"/>
    </row>
    <row r="297" spans="1:26" ht="15.75" customHeight="1">
      <c r="A297" s="590"/>
      <c r="B297" s="590"/>
      <c r="C297" s="590"/>
      <c r="D297" s="590"/>
      <c r="E297" s="590"/>
      <c r="F297" s="590"/>
      <c r="G297" s="590"/>
      <c r="H297" s="590"/>
      <c r="I297" s="590"/>
      <c r="J297" s="590"/>
      <c r="K297" s="590"/>
      <c r="L297" s="590"/>
      <c r="M297" s="590"/>
      <c r="N297" s="590"/>
      <c r="O297" s="590"/>
      <c r="P297" s="590"/>
      <c r="Q297" s="590"/>
      <c r="R297" s="590"/>
      <c r="S297" s="590"/>
      <c r="T297" s="590"/>
      <c r="U297" s="590"/>
      <c r="V297" s="590"/>
      <c r="W297" s="590"/>
      <c r="X297" s="590"/>
      <c r="Y297" s="590"/>
      <c r="Z297" s="590"/>
    </row>
    <row r="298" spans="1:26" ht="15.75" customHeight="1">
      <c r="A298" s="590"/>
      <c r="B298" s="590"/>
      <c r="C298" s="590"/>
      <c r="D298" s="590"/>
      <c r="E298" s="590"/>
      <c r="F298" s="590"/>
      <c r="G298" s="590"/>
      <c r="H298" s="590"/>
      <c r="I298" s="590"/>
      <c r="J298" s="590"/>
      <c r="K298" s="590"/>
      <c r="L298" s="590"/>
      <c r="M298" s="590"/>
      <c r="N298" s="590"/>
      <c r="O298" s="590"/>
      <c r="P298" s="590"/>
      <c r="Q298" s="590"/>
      <c r="R298" s="590"/>
      <c r="S298" s="590"/>
      <c r="T298" s="590"/>
      <c r="U298" s="590"/>
      <c r="V298" s="590"/>
      <c r="W298" s="590"/>
      <c r="X298" s="590"/>
      <c r="Y298" s="590"/>
      <c r="Z298" s="590"/>
    </row>
    <row r="299" spans="1:26" ht="15.75" customHeight="1">
      <c r="A299" s="590"/>
      <c r="B299" s="590"/>
      <c r="C299" s="590"/>
      <c r="D299" s="590"/>
      <c r="E299" s="590"/>
      <c r="F299" s="590"/>
      <c r="G299" s="590"/>
      <c r="H299" s="590"/>
      <c r="I299" s="590"/>
      <c r="J299" s="590"/>
      <c r="K299" s="590"/>
      <c r="L299" s="590"/>
      <c r="M299" s="590"/>
      <c r="N299" s="590"/>
      <c r="O299" s="590"/>
      <c r="P299" s="590"/>
      <c r="Q299" s="590"/>
      <c r="R299" s="590"/>
      <c r="S299" s="590"/>
      <c r="T299" s="590"/>
      <c r="U299" s="590"/>
      <c r="V299" s="590"/>
      <c r="W299" s="590"/>
      <c r="X299" s="590"/>
      <c r="Y299" s="590"/>
      <c r="Z299" s="590"/>
    </row>
    <row r="300" spans="1:26" ht="15.75" customHeight="1">
      <c r="A300" s="590"/>
      <c r="B300" s="590"/>
      <c r="C300" s="590"/>
      <c r="D300" s="590"/>
      <c r="E300" s="590"/>
      <c r="F300" s="590"/>
      <c r="G300" s="590"/>
      <c r="H300" s="590"/>
      <c r="I300" s="590"/>
      <c r="J300" s="590"/>
      <c r="K300" s="590"/>
      <c r="L300" s="590"/>
      <c r="M300" s="590"/>
      <c r="N300" s="590"/>
      <c r="O300" s="590"/>
      <c r="P300" s="590"/>
      <c r="Q300" s="590"/>
      <c r="R300" s="590"/>
      <c r="S300" s="590"/>
      <c r="T300" s="590"/>
      <c r="U300" s="590"/>
      <c r="V300" s="590"/>
      <c r="W300" s="590"/>
      <c r="X300" s="590"/>
      <c r="Y300" s="590"/>
      <c r="Z300" s="590"/>
    </row>
    <row r="301" spans="1:26" ht="15.75" customHeight="1">
      <c r="A301" s="590"/>
      <c r="B301" s="590"/>
      <c r="C301" s="590"/>
      <c r="D301" s="590"/>
      <c r="E301" s="590"/>
      <c r="F301" s="590"/>
      <c r="G301" s="590"/>
      <c r="H301" s="590"/>
      <c r="I301" s="590"/>
      <c r="J301" s="590"/>
      <c r="K301" s="590"/>
      <c r="L301" s="590"/>
      <c r="M301" s="590"/>
      <c r="N301" s="590"/>
      <c r="O301" s="590"/>
      <c r="P301" s="590"/>
      <c r="Q301" s="590"/>
      <c r="R301" s="590"/>
      <c r="S301" s="590"/>
      <c r="T301" s="590"/>
      <c r="U301" s="590"/>
      <c r="V301" s="590"/>
      <c r="W301" s="590"/>
      <c r="X301" s="590"/>
      <c r="Y301" s="590"/>
      <c r="Z301" s="590"/>
    </row>
    <row r="302" spans="1:26" ht="15.75" customHeight="1">
      <c r="A302" s="590"/>
      <c r="B302" s="590"/>
      <c r="C302" s="590"/>
      <c r="D302" s="590"/>
      <c r="E302" s="590"/>
      <c r="F302" s="590"/>
      <c r="G302" s="590"/>
      <c r="H302" s="590"/>
      <c r="I302" s="590"/>
      <c r="J302" s="590"/>
      <c r="K302" s="590"/>
      <c r="L302" s="590"/>
      <c r="M302" s="590"/>
      <c r="N302" s="590"/>
      <c r="O302" s="590"/>
      <c r="P302" s="590"/>
      <c r="Q302" s="590"/>
      <c r="R302" s="590"/>
      <c r="S302" s="590"/>
      <c r="T302" s="590"/>
      <c r="U302" s="590"/>
      <c r="V302" s="590"/>
      <c r="W302" s="590"/>
      <c r="X302" s="590"/>
      <c r="Y302" s="590"/>
      <c r="Z302" s="590"/>
    </row>
    <row r="303" spans="1:26" ht="15.75" customHeight="1">
      <c r="A303" s="590"/>
      <c r="B303" s="590"/>
      <c r="C303" s="590"/>
      <c r="D303" s="590"/>
      <c r="E303" s="590"/>
      <c r="F303" s="590"/>
      <c r="G303" s="590"/>
      <c r="H303" s="590"/>
      <c r="I303" s="590"/>
      <c r="J303" s="590"/>
      <c r="K303" s="590"/>
      <c r="L303" s="590"/>
      <c r="M303" s="590"/>
      <c r="N303" s="590"/>
      <c r="O303" s="590"/>
      <c r="P303" s="590"/>
      <c r="Q303" s="590"/>
      <c r="R303" s="590"/>
      <c r="S303" s="590"/>
      <c r="T303" s="590"/>
      <c r="U303" s="590"/>
      <c r="V303" s="590"/>
      <c r="W303" s="590"/>
      <c r="X303" s="590"/>
      <c r="Y303" s="590"/>
      <c r="Z303" s="590"/>
    </row>
    <row r="304" spans="1:26" ht="15.75" customHeight="1">
      <c r="A304" s="590"/>
      <c r="B304" s="590"/>
      <c r="C304" s="590"/>
      <c r="D304" s="590"/>
      <c r="E304" s="590"/>
      <c r="F304" s="590"/>
      <c r="G304" s="590"/>
      <c r="H304" s="590"/>
      <c r="I304" s="590"/>
      <c r="J304" s="590"/>
      <c r="K304" s="590"/>
      <c r="L304" s="590"/>
      <c r="M304" s="590"/>
      <c r="N304" s="590"/>
      <c r="O304" s="590"/>
      <c r="P304" s="590"/>
      <c r="Q304" s="590"/>
      <c r="R304" s="590"/>
      <c r="S304" s="590"/>
      <c r="T304" s="590"/>
      <c r="U304" s="590"/>
      <c r="V304" s="590"/>
      <c r="W304" s="590"/>
      <c r="X304" s="590"/>
      <c r="Y304" s="590"/>
      <c r="Z304" s="590"/>
    </row>
    <row r="305" spans="1:26" ht="15.75" customHeight="1">
      <c r="A305" s="590"/>
      <c r="B305" s="590"/>
      <c r="C305" s="590"/>
      <c r="D305" s="590"/>
      <c r="E305" s="590"/>
      <c r="F305" s="590"/>
      <c r="G305" s="590"/>
      <c r="H305" s="590"/>
      <c r="I305" s="590"/>
      <c r="J305" s="590"/>
      <c r="K305" s="590"/>
      <c r="L305" s="590"/>
      <c r="M305" s="590"/>
      <c r="N305" s="590"/>
      <c r="O305" s="590"/>
      <c r="P305" s="590"/>
      <c r="Q305" s="590"/>
      <c r="R305" s="590"/>
      <c r="S305" s="590"/>
      <c r="T305" s="590"/>
      <c r="U305" s="590"/>
      <c r="V305" s="590"/>
      <c r="W305" s="590"/>
      <c r="X305" s="590"/>
      <c r="Y305" s="590"/>
      <c r="Z305" s="590"/>
    </row>
    <row r="306" spans="1:26" ht="15.75" customHeight="1">
      <c r="A306" s="590"/>
      <c r="B306" s="590"/>
      <c r="C306" s="590"/>
      <c r="D306" s="590"/>
      <c r="E306" s="590"/>
      <c r="F306" s="590"/>
      <c r="G306" s="590"/>
      <c r="H306" s="590"/>
      <c r="I306" s="590"/>
      <c r="J306" s="590"/>
      <c r="K306" s="590"/>
      <c r="L306" s="590"/>
      <c r="M306" s="590"/>
      <c r="N306" s="590"/>
      <c r="O306" s="590"/>
      <c r="P306" s="590"/>
      <c r="Q306" s="590"/>
      <c r="R306" s="590"/>
      <c r="S306" s="590"/>
      <c r="T306" s="590"/>
      <c r="U306" s="590"/>
      <c r="V306" s="590"/>
      <c r="W306" s="590"/>
      <c r="X306" s="590"/>
      <c r="Y306" s="590"/>
      <c r="Z306" s="590"/>
    </row>
    <row r="307" spans="1:26" ht="15.75" customHeight="1">
      <c r="A307" s="590"/>
      <c r="B307" s="590"/>
      <c r="C307" s="590"/>
      <c r="D307" s="590"/>
      <c r="E307" s="590"/>
      <c r="F307" s="590"/>
      <c r="G307" s="590"/>
      <c r="H307" s="590"/>
      <c r="I307" s="590"/>
      <c r="J307" s="590"/>
      <c r="K307" s="590"/>
      <c r="L307" s="590"/>
      <c r="M307" s="590"/>
      <c r="N307" s="590"/>
      <c r="O307" s="590"/>
      <c r="P307" s="590"/>
      <c r="Q307" s="590"/>
      <c r="R307" s="590"/>
      <c r="S307" s="590"/>
      <c r="T307" s="590"/>
      <c r="U307" s="590"/>
      <c r="V307" s="590"/>
      <c r="W307" s="590"/>
      <c r="X307" s="590"/>
      <c r="Y307" s="590"/>
      <c r="Z307" s="590"/>
    </row>
    <row r="308" spans="1:26" ht="15.75" customHeight="1">
      <c r="A308" s="590"/>
      <c r="B308" s="590"/>
      <c r="C308" s="590"/>
      <c r="D308" s="590"/>
      <c r="E308" s="590"/>
      <c r="F308" s="590"/>
      <c r="G308" s="590"/>
      <c r="H308" s="590"/>
      <c r="I308" s="590"/>
      <c r="J308" s="590"/>
      <c r="K308" s="590"/>
      <c r="L308" s="590"/>
      <c r="M308" s="590"/>
      <c r="N308" s="590"/>
      <c r="O308" s="590"/>
      <c r="P308" s="590"/>
      <c r="Q308" s="590"/>
      <c r="R308" s="590"/>
      <c r="S308" s="590"/>
      <c r="T308" s="590"/>
      <c r="U308" s="590"/>
      <c r="V308" s="590"/>
      <c r="W308" s="590"/>
      <c r="X308" s="590"/>
      <c r="Y308" s="590"/>
      <c r="Z308" s="590"/>
    </row>
    <row r="309" spans="1:26" ht="15.75" customHeight="1">
      <c r="A309" s="590"/>
      <c r="B309" s="590"/>
      <c r="C309" s="590"/>
      <c r="D309" s="590"/>
      <c r="E309" s="590"/>
      <c r="F309" s="590"/>
      <c r="G309" s="590"/>
      <c r="H309" s="590"/>
      <c r="I309" s="590"/>
      <c r="J309" s="590"/>
      <c r="K309" s="590"/>
      <c r="L309" s="590"/>
      <c r="M309" s="590"/>
      <c r="N309" s="590"/>
      <c r="O309" s="590"/>
      <c r="P309" s="590"/>
      <c r="Q309" s="590"/>
      <c r="R309" s="590"/>
      <c r="S309" s="590"/>
      <c r="T309" s="590"/>
      <c r="U309" s="590"/>
      <c r="V309" s="590"/>
      <c r="W309" s="590"/>
      <c r="X309" s="590"/>
      <c r="Y309" s="590"/>
      <c r="Z309" s="590"/>
    </row>
    <row r="310" spans="1:26" ht="15.75" customHeight="1">
      <c r="A310" s="590"/>
      <c r="B310" s="590"/>
      <c r="C310" s="590"/>
      <c r="D310" s="590"/>
      <c r="E310" s="590"/>
      <c r="F310" s="590"/>
      <c r="G310" s="590"/>
      <c r="H310" s="590"/>
      <c r="I310" s="590"/>
      <c r="J310" s="590"/>
      <c r="K310" s="590"/>
      <c r="L310" s="590"/>
      <c r="M310" s="590"/>
      <c r="N310" s="590"/>
      <c r="O310" s="590"/>
      <c r="P310" s="590"/>
      <c r="Q310" s="590"/>
      <c r="R310" s="590"/>
      <c r="S310" s="590"/>
      <c r="T310" s="590"/>
      <c r="U310" s="590"/>
      <c r="V310" s="590"/>
      <c r="W310" s="590"/>
      <c r="X310" s="590"/>
      <c r="Y310" s="590"/>
      <c r="Z310" s="590"/>
    </row>
    <row r="311" spans="1:26" ht="15.75" customHeight="1">
      <c r="A311" s="590"/>
      <c r="B311" s="590"/>
      <c r="C311" s="590"/>
      <c r="D311" s="590"/>
      <c r="E311" s="590"/>
      <c r="F311" s="590"/>
      <c r="G311" s="590"/>
      <c r="H311" s="590"/>
      <c r="I311" s="590"/>
      <c r="J311" s="590"/>
      <c r="K311" s="590"/>
      <c r="L311" s="590"/>
      <c r="M311" s="590"/>
      <c r="N311" s="590"/>
      <c r="O311" s="590"/>
      <c r="P311" s="590"/>
      <c r="Q311" s="590"/>
      <c r="R311" s="590"/>
      <c r="S311" s="590"/>
      <c r="T311" s="590"/>
      <c r="U311" s="590"/>
      <c r="V311" s="590"/>
      <c r="W311" s="590"/>
      <c r="X311" s="590"/>
      <c r="Y311" s="590"/>
      <c r="Z311" s="590"/>
    </row>
    <row r="312" spans="1:26" ht="15.75" customHeight="1">
      <c r="A312" s="590"/>
      <c r="B312" s="590"/>
      <c r="C312" s="590"/>
      <c r="D312" s="590"/>
      <c r="E312" s="590"/>
      <c r="F312" s="590"/>
      <c r="G312" s="590"/>
      <c r="H312" s="590"/>
      <c r="I312" s="590"/>
      <c r="J312" s="590"/>
      <c r="K312" s="590"/>
      <c r="L312" s="590"/>
      <c r="M312" s="590"/>
      <c r="N312" s="590"/>
      <c r="O312" s="590"/>
      <c r="P312" s="590"/>
      <c r="Q312" s="590"/>
      <c r="R312" s="590"/>
      <c r="S312" s="590"/>
      <c r="T312" s="590"/>
      <c r="U312" s="590"/>
      <c r="V312" s="590"/>
      <c r="W312" s="590"/>
      <c r="X312" s="590"/>
      <c r="Y312" s="590"/>
      <c r="Z312" s="590"/>
    </row>
    <row r="313" spans="1:26" ht="15.75" customHeight="1">
      <c r="A313" s="590"/>
      <c r="B313" s="590"/>
      <c r="C313" s="590"/>
      <c r="D313" s="590"/>
      <c r="E313" s="590"/>
      <c r="F313" s="590"/>
      <c r="G313" s="590"/>
      <c r="H313" s="590"/>
      <c r="I313" s="590"/>
      <c r="J313" s="590"/>
      <c r="K313" s="590"/>
      <c r="L313" s="590"/>
      <c r="M313" s="590"/>
      <c r="N313" s="590"/>
      <c r="O313" s="590"/>
      <c r="P313" s="590"/>
      <c r="Q313" s="590"/>
      <c r="R313" s="590"/>
      <c r="S313" s="590"/>
      <c r="T313" s="590"/>
      <c r="U313" s="590"/>
      <c r="V313" s="590"/>
      <c r="W313" s="590"/>
      <c r="X313" s="590"/>
      <c r="Y313" s="590"/>
      <c r="Z313" s="590"/>
    </row>
    <row r="314" spans="1:26" ht="15.75" customHeight="1">
      <c r="A314" s="590"/>
      <c r="B314" s="590"/>
      <c r="C314" s="590"/>
      <c r="D314" s="590"/>
      <c r="E314" s="590"/>
      <c r="F314" s="590"/>
      <c r="G314" s="590"/>
      <c r="H314" s="590"/>
      <c r="I314" s="590"/>
      <c r="J314" s="590"/>
      <c r="K314" s="590"/>
      <c r="L314" s="590"/>
      <c r="M314" s="590"/>
      <c r="N314" s="590"/>
      <c r="O314" s="590"/>
      <c r="P314" s="590"/>
      <c r="Q314" s="590"/>
      <c r="R314" s="590"/>
      <c r="S314" s="590"/>
      <c r="T314" s="590"/>
      <c r="U314" s="590"/>
      <c r="V314" s="590"/>
      <c r="W314" s="590"/>
      <c r="X314" s="590"/>
      <c r="Y314" s="590"/>
      <c r="Z314" s="590"/>
    </row>
    <row r="315" spans="1:26" ht="15.75" customHeight="1">
      <c r="A315" s="590"/>
      <c r="B315" s="590"/>
      <c r="C315" s="590"/>
      <c r="D315" s="590"/>
      <c r="E315" s="590"/>
      <c r="F315" s="590"/>
      <c r="G315" s="590"/>
      <c r="H315" s="590"/>
      <c r="I315" s="590"/>
      <c r="J315" s="590"/>
      <c r="K315" s="590"/>
      <c r="L315" s="590"/>
      <c r="M315" s="590"/>
      <c r="N315" s="590"/>
      <c r="O315" s="590"/>
      <c r="P315" s="590"/>
      <c r="Q315" s="590"/>
      <c r="R315" s="590"/>
      <c r="S315" s="590"/>
      <c r="T315" s="590"/>
      <c r="U315" s="590"/>
      <c r="V315" s="590"/>
      <c r="W315" s="590"/>
      <c r="X315" s="590"/>
      <c r="Y315" s="590"/>
      <c r="Z315" s="590"/>
    </row>
    <row r="316" spans="1:26" ht="15.75" customHeight="1">
      <c r="A316" s="590"/>
      <c r="B316" s="590"/>
      <c r="C316" s="590"/>
      <c r="D316" s="590"/>
      <c r="E316" s="590"/>
      <c r="F316" s="590"/>
      <c r="G316" s="590"/>
      <c r="H316" s="590"/>
      <c r="I316" s="590"/>
      <c r="J316" s="590"/>
      <c r="K316" s="590"/>
      <c r="L316" s="590"/>
      <c r="M316" s="590"/>
      <c r="N316" s="590"/>
      <c r="O316" s="590"/>
      <c r="P316" s="590"/>
      <c r="Q316" s="590"/>
      <c r="R316" s="590"/>
      <c r="S316" s="590"/>
      <c r="T316" s="590"/>
      <c r="U316" s="590"/>
      <c r="V316" s="590"/>
      <c r="W316" s="590"/>
      <c r="X316" s="590"/>
      <c r="Y316" s="590"/>
      <c r="Z316" s="590"/>
    </row>
    <row r="317" spans="1:26" ht="15.75" customHeight="1">
      <c r="A317" s="590"/>
      <c r="B317" s="590"/>
      <c r="C317" s="590"/>
      <c r="D317" s="590"/>
      <c r="E317" s="590"/>
      <c r="F317" s="590"/>
      <c r="G317" s="590"/>
      <c r="H317" s="590"/>
      <c r="I317" s="590"/>
      <c r="J317" s="590"/>
      <c r="K317" s="590"/>
      <c r="L317" s="590"/>
      <c r="M317" s="590"/>
      <c r="N317" s="590"/>
      <c r="O317" s="590"/>
      <c r="P317" s="590"/>
      <c r="Q317" s="590"/>
      <c r="R317" s="590"/>
      <c r="S317" s="590"/>
      <c r="T317" s="590"/>
      <c r="U317" s="590"/>
      <c r="V317" s="590"/>
      <c r="W317" s="590"/>
      <c r="X317" s="590"/>
      <c r="Y317" s="590"/>
      <c r="Z317" s="590"/>
    </row>
    <row r="318" spans="1:26" ht="15.75" customHeight="1">
      <c r="A318" s="590"/>
      <c r="B318" s="590"/>
      <c r="C318" s="590"/>
      <c r="D318" s="590"/>
      <c r="E318" s="590"/>
      <c r="F318" s="590"/>
      <c r="G318" s="590"/>
      <c r="H318" s="590"/>
      <c r="I318" s="590"/>
      <c r="J318" s="590"/>
      <c r="K318" s="590"/>
      <c r="L318" s="590"/>
      <c r="M318" s="590"/>
      <c r="N318" s="590"/>
      <c r="O318" s="590"/>
      <c r="P318" s="590"/>
      <c r="Q318" s="590"/>
      <c r="R318" s="590"/>
      <c r="S318" s="590"/>
      <c r="T318" s="590"/>
      <c r="U318" s="590"/>
      <c r="V318" s="590"/>
      <c r="W318" s="590"/>
      <c r="X318" s="590"/>
      <c r="Y318" s="590"/>
      <c r="Z318" s="590"/>
    </row>
    <row r="319" spans="1:26" ht="15.75" customHeight="1">
      <c r="A319" s="590"/>
      <c r="B319" s="590"/>
      <c r="C319" s="590"/>
      <c r="D319" s="590"/>
      <c r="E319" s="590"/>
      <c r="F319" s="590"/>
      <c r="G319" s="590"/>
      <c r="H319" s="590"/>
      <c r="I319" s="590"/>
      <c r="J319" s="590"/>
      <c r="K319" s="590"/>
      <c r="L319" s="590"/>
      <c r="M319" s="590"/>
      <c r="N319" s="590"/>
      <c r="O319" s="590"/>
      <c r="P319" s="590"/>
      <c r="Q319" s="590"/>
      <c r="R319" s="590"/>
      <c r="S319" s="590"/>
      <c r="T319" s="590"/>
      <c r="U319" s="590"/>
      <c r="V319" s="590"/>
      <c r="W319" s="590"/>
      <c r="X319" s="590"/>
      <c r="Y319" s="590"/>
      <c r="Z319" s="590"/>
    </row>
    <row r="320" spans="1:26" ht="15.75" customHeight="1">
      <c r="A320" s="590"/>
      <c r="B320" s="590"/>
      <c r="C320" s="590"/>
      <c r="D320" s="590"/>
      <c r="E320" s="590"/>
      <c r="F320" s="590"/>
      <c r="G320" s="590"/>
      <c r="H320" s="590"/>
      <c r="I320" s="590"/>
      <c r="J320" s="590"/>
      <c r="K320" s="590"/>
      <c r="L320" s="590"/>
      <c r="M320" s="590"/>
      <c r="N320" s="590"/>
      <c r="O320" s="590"/>
      <c r="P320" s="590"/>
      <c r="Q320" s="590"/>
      <c r="R320" s="590"/>
      <c r="S320" s="590"/>
      <c r="T320" s="590"/>
      <c r="U320" s="590"/>
      <c r="V320" s="590"/>
      <c r="W320" s="590"/>
      <c r="X320" s="590"/>
      <c r="Y320" s="590"/>
      <c r="Z320" s="590"/>
    </row>
    <row r="321" spans="1:26" ht="15.75" customHeight="1">
      <c r="A321" s="590"/>
      <c r="B321" s="590"/>
      <c r="C321" s="590"/>
      <c r="D321" s="590"/>
      <c r="E321" s="590"/>
      <c r="F321" s="590"/>
      <c r="G321" s="590"/>
      <c r="H321" s="590"/>
      <c r="I321" s="590"/>
      <c r="J321" s="590"/>
      <c r="K321" s="590"/>
      <c r="L321" s="590"/>
      <c r="M321" s="590"/>
      <c r="N321" s="590"/>
      <c r="O321" s="590"/>
      <c r="P321" s="590"/>
      <c r="Q321" s="590"/>
      <c r="R321" s="590"/>
      <c r="S321" s="590"/>
      <c r="T321" s="590"/>
      <c r="U321" s="590"/>
      <c r="V321" s="590"/>
      <c r="W321" s="590"/>
      <c r="X321" s="590"/>
      <c r="Y321" s="590"/>
      <c r="Z321" s="590"/>
    </row>
    <row r="322" spans="1:26" ht="15.75" customHeight="1">
      <c r="A322" s="590"/>
      <c r="B322" s="590"/>
      <c r="C322" s="590"/>
      <c r="D322" s="590"/>
      <c r="E322" s="590"/>
      <c r="F322" s="590"/>
      <c r="G322" s="590"/>
      <c r="H322" s="590"/>
      <c r="I322" s="590"/>
      <c r="J322" s="590"/>
      <c r="K322" s="590"/>
      <c r="L322" s="590"/>
      <c r="M322" s="590"/>
      <c r="N322" s="590"/>
      <c r="O322" s="590"/>
      <c r="P322" s="590"/>
      <c r="Q322" s="590"/>
      <c r="R322" s="590"/>
      <c r="S322" s="590"/>
      <c r="T322" s="590"/>
      <c r="U322" s="590"/>
      <c r="V322" s="590"/>
      <c r="W322" s="590"/>
      <c r="X322" s="590"/>
      <c r="Y322" s="590"/>
      <c r="Z322" s="590"/>
    </row>
    <row r="323" spans="1:26" ht="15.75" customHeight="1">
      <c r="A323" s="590"/>
      <c r="B323" s="590"/>
      <c r="C323" s="590"/>
      <c r="D323" s="590"/>
      <c r="E323" s="590"/>
      <c r="F323" s="590"/>
      <c r="G323" s="590"/>
      <c r="H323" s="590"/>
      <c r="I323" s="590"/>
      <c r="J323" s="590"/>
      <c r="K323" s="590"/>
      <c r="L323" s="590"/>
      <c r="M323" s="590"/>
      <c r="N323" s="590"/>
      <c r="O323" s="590"/>
      <c r="P323" s="590"/>
      <c r="Q323" s="590"/>
      <c r="R323" s="590"/>
      <c r="S323" s="590"/>
      <c r="T323" s="590"/>
      <c r="U323" s="590"/>
      <c r="V323" s="590"/>
      <c r="W323" s="590"/>
      <c r="X323" s="590"/>
      <c r="Y323" s="590"/>
      <c r="Z323" s="590"/>
    </row>
    <row r="324" spans="1:26" ht="15.75" customHeight="1">
      <c r="A324" s="590"/>
      <c r="B324" s="590"/>
      <c r="C324" s="590"/>
      <c r="D324" s="590"/>
      <c r="E324" s="590"/>
      <c r="F324" s="590"/>
      <c r="G324" s="590"/>
      <c r="H324" s="590"/>
      <c r="I324" s="590"/>
      <c r="J324" s="590"/>
      <c r="K324" s="590"/>
      <c r="L324" s="590"/>
      <c r="M324" s="590"/>
      <c r="N324" s="590"/>
      <c r="O324" s="590"/>
      <c r="P324" s="590"/>
      <c r="Q324" s="590"/>
      <c r="R324" s="590"/>
      <c r="S324" s="590"/>
      <c r="T324" s="590"/>
      <c r="U324" s="590"/>
      <c r="V324" s="590"/>
      <c r="W324" s="590"/>
      <c r="X324" s="590"/>
      <c r="Y324" s="590"/>
      <c r="Z324" s="590"/>
    </row>
    <row r="325" spans="1:26" ht="15.75" customHeight="1">
      <c r="A325" s="590"/>
      <c r="B325" s="590"/>
      <c r="C325" s="590"/>
      <c r="D325" s="590"/>
      <c r="E325" s="590"/>
      <c r="F325" s="590"/>
      <c r="G325" s="590"/>
      <c r="H325" s="590"/>
      <c r="I325" s="590"/>
      <c r="J325" s="590"/>
      <c r="K325" s="590"/>
      <c r="L325" s="590"/>
      <c r="M325" s="590"/>
      <c r="N325" s="590"/>
      <c r="O325" s="590"/>
      <c r="P325" s="590"/>
      <c r="Q325" s="590"/>
      <c r="R325" s="590"/>
      <c r="S325" s="590"/>
      <c r="T325" s="590"/>
      <c r="U325" s="590"/>
      <c r="V325" s="590"/>
      <c r="W325" s="590"/>
      <c r="X325" s="590"/>
      <c r="Y325" s="590"/>
      <c r="Z325" s="590"/>
    </row>
    <row r="326" spans="1:26" ht="15.75" customHeight="1">
      <c r="A326" s="590"/>
      <c r="B326" s="590"/>
      <c r="C326" s="590"/>
      <c r="D326" s="590"/>
      <c r="E326" s="590"/>
      <c r="F326" s="590"/>
      <c r="G326" s="590"/>
      <c r="H326" s="590"/>
      <c r="I326" s="590"/>
      <c r="J326" s="590"/>
      <c r="K326" s="590"/>
      <c r="L326" s="590"/>
      <c r="M326" s="590"/>
      <c r="N326" s="590"/>
      <c r="O326" s="590"/>
      <c r="P326" s="590"/>
      <c r="Q326" s="590"/>
      <c r="R326" s="590"/>
      <c r="S326" s="590"/>
      <c r="T326" s="590"/>
      <c r="U326" s="590"/>
      <c r="V326" s="590"/>
      <c r="W326" s="590"/>
      <c r="X326" s="590"/>
      <c r="Y326" s="590"/>
      <c r="Z326" s="590"/>
    </row>
    <row r="327" spans="1:26" ht="15.75" customHeight="1">
      <c r="A327" s="590"/>
      <c r="B327" s="590"/>
      <c r="C327" s="590"/>
      <c r="D327" s="590"/>
      <c r="E327" s="590"/>
      <c r="F327" s="590"/>
      <c r="G327" s="590"/>
      <c r="H327" s="590"/>
      <c r="I327" s="590"/>
      <c r="J327" s="590"/>
      <c r="K327" s="590"/>
      <c r="L327" s="590"/>
      <c r="M327" s="590"/>
      <c r="N327" s="590"/>
      <c r="O327" s="590"/>
      <c r="P327" s="590"/>
      <c r="Q327" s="590"/>
      <c r="R327" s="590"/>
      <c r="S327" s="590"/>
      <c r="T327" s="590"/>
      <c r="U327" s="590"/>
      <c r="V327" s="590"/>
      <c r="W327" s="590"/>
      <c r="X327" s="590"/>
      <c r="Y327" s="590"/>
      <c r="Z327" s="590"/>
    </row>
    <row r="328" spans="1:26" ht="15.75" customHeight="1">
      <c r="A328" s="590"/>
      <c r="B328" s="590"/>
      <c r="C328" s="590"/>
      <c r="D328" s="590"/>
      <c r="E328" s="590"/>
      <c r="F328" s="590"/>
      <c r="G328" s="590"/>
      <c r="H328" s="590"/>
      <c r="I328" s="590"/>
      <c r="J328" s="590"/>
      <c r="K328" s="590"/>
      <c r="L328" s="590"/>
      <c r="M328" s="590"/>
      <c r="N328" s="590"/>
      <c r="O328" s="590"/>
      <c r="P328" s="590"/>
      <c r="Q328" s="590"/>
      <c r="R328" s="590"/>
      <c r="S328" s="590"/>
      <c r="T328" s="590"/>
      <c r="U328" s="590"/>
      <c r="V328" s="590"/>
      <c r="W328" s="590"/>
      <c r="X328" s="590"/>
      <c r="Y328" s="590"/>
      <c r="Z328" s="590"/>
    </row>
    <row r="329" spans="1:26" ht="15.75" customHeight="1">
      <c r="A329" s="590"/>
      <c r="B329" s="590"/>
      <c r="C329" s="590"/>
      <c r="D329" s="590"/>
      <c r="E329" s="590"/>
      <c r="F329" s="590"/>
      <c r="G329" s="590"/>
      <c r="H329" s="590"/>
      <c r="I329" s="590"/>
      <c r="J329" s="590"/>
      <c r="K329" s="590"/>
      <c r="L329" s="590"/>
      <c r="M329" s="590"/>
      <c r="N329" s="590"/>
      <c r="O329" s="590"/>
      <c r="P329" s="590"/>
      <c r="Q329" s="590"/>
      <c r="R329" s="590"/>
      <c r="S329" s="590"/>
      <c r="T329" s="590"/>
      <c r="U329" s="590"/>
      <c r="V329" s="590"/>
      <c r="W329" s="590"/>
      <c r="X329" s="590"/>
      <c r="Y329" s="590"/>
      <c r="Z329" s="590"/>
    </row>
    <row r="330" spans="1:26" ht="15.75" customHeight="1">
      <c r="A330" s="590"/>
      <c r="B330" s="590"/>
      <c r="C330" s="590"/>
      <c r="D330" s="590"/>
      <c r="E330" s="590"/>
      <c r="F330" s="590"/>
      <c r="G330" s="590"/>
      <c r="H330" s="590"/>
      <c r="I330" s="590"/>
      <c r="J330" s="590"/>
      <c r="K330" s="590"/>
      <c r="L330" s="590"/>
      <c r="M330" s="590"/>
      <c r="N330" s="590"/>
      <c r="O330" s="590"/>
      <c r="P330" s="590"/>
      <c r="Q330" s="590"/>
      <c r="R330" s="590"/>
      <c r="S330" s="590"/>
      <c r="T330" s="590"/>
      <c r="U330" s="590"/>
      <c r="V330" s="590"/>
      <c r="W330" s="590"/>
      <c r="X330" s="590"/>
      <c r="Y330" s="590"/>
      <c r="Z330" s="590"/>
    </row>
    <row r="331" spans="1:26" ht="15.75" customHeight="1">
      <c r="A331" s="590"/>
      <c r="B331" s="590"/>
      <c r="C331" s="590"/>
      <c r="D331" s="590"/>
      <c r="E331" s="590"/>
      <c r="F331" s="590"/>
      <c r="G331" s="590"/>
      <c r="H331" s="590"/>
      <c r="I331" s="590"/>
      <c r="J331" s="590"/>
      <c r="K331" s="590"/>
      <c r="L331" s="590"/>
      <c r="M331" s="590"/>
      <c r="N331" s="590"/>
      <c r="O331" s="590"/>
      <c r="P331" s="590"/>
      <c r="Q331" s="590"/>
      <c r="R331" s="590"/>
      <c r="S331" s="590"/>
      <c r="T331" s="590"/>
      <c r="U331" s="590"/>
      <c r="V331" s="590"/>
      <c r="W331" s="590"/>
      <c r="X331" s="590"/>
      <c r="Y331" s="590"/>
      <c r="Z331" s="590"/>
    </row>
    <row r="332" spans="1:26" ht="15.75" customHeight="1">
      <c r="A332" s="590"/>
      <c r="B332" s="590"/>
      <c r="C332" s="590"/>
      <c r="D332" s="590"/>
      <c r="E332" s="590"/>
      <c r="F332" s="590"/>
      <c r="G332" s="590"/>
      <c r="H332" s="590"/>
      <c r="I332" s="590"/>
      <c r="J332" s="590"/>
      <c r="K332" s="590"/>
      <c r="L332" s="590"/>
      <c r="M332" s="590"/>
      <c r="N332" s="590"/>
      <c r="O332" s="590"/>
      <c r="P332" s="590"/>
      <c r="Q332" s="590"/>
      <c r="R332" s="590"/>
      <c r="S332" s="590"/>
      <c r="T332" s="590"/>
      <c r="U332" s="590"/>
      <c r="V332" s="590"/>
      <c r="W332" s="590"/>
      <c r="X332" s="590"/>
      <c r="Y332" s="590"/>
      <c r="Z332" s="590"/>
    </row>
    <row r="333" spans="1:26" ht="15.75" customHeight="1">
      <c r="A333" s="590"/>
      <c r="B333" s="590"/>
      <c r="C333" s="590"/>
      <c r="D333" s="590"/>
      <c r="E333" s="590"/>
      <c r="F333" s="590"/>
      <c r="G333" s="590"/>
      <c r="H333" s="590"/>
      <c r="I333" s="590"/>
      <c r="J333" s="590"/>
      <c r="K333" s="590"/>
      <c r="L333" s="590"/>
      <c r="M333" s="590"/>
      <c r="N333" s="590"/>
      <c r="O333" s="590"/>
      <c r="P333" s="590"/>
      <c r="Q333" s="590"/>
      <c r="R333" s="590"/>
      <c r="S333" s="590"/>
      <c r="T333" s="590"/>
      <c r="U333" s="590"/>
      <c r="V333" s="590"/>
      <c r="W333" s="590"/>
      <c r="X333" s="590"/>
      <c r="Y333" s="590"/>
      <c r="Z333" s="590"/>
    </row>
    <row r="334" spans="1:26" ht="15.75" customHeight="1">
      <c r="A334" s="590"/>
      <c r="B334" s="590"/>
      <c r="C334" s="590"/>
      <c r="D334" s="590"/>
      <c r="E334" s="590"/>
      <c r="F334" s="590"/>
      <c r="G334" s="590"/>
      <c r="H334" s="590"/>
      <c r="I334" s="590"/>
      <c r="J334" s="590"/>
      <c r="K334" s="590"/>
      <c r="L334" s="590"/>
      <c r="M334" s="590"/>
      <c r="N334" s="590"/>
      <c r="O334" s="590"/>
      <c r="P334" s="590"/>
      <c r="Q334" s="590"/>
      <c r="R334" s="590"/>
      <c r="S334" s="590"/>
      <c r="T334" s="590"/>
      <c r="U334" s="590"/>
      <c r="V334" s="590"/>
      <c r="W334" s="590"/>
      <c r="X334" s="590"/>
      <c r="Y334" s="590"/>
      <c r="Z334" s="590"/>
    </row>
    <row r="335" spans="1:26" ht="15.75" customHeight="1">
      <c r="A335" s="590"/>
      <c r="B335" s="590"/>
      <c r="C335" s="590"/>
      <c r="D335" s="590"/>
      <c r="E335" s="590"/>
      <c r="F335" s="590"/>
      <c r="G335" s="590"/>
      <c r="H335" s="590"/>
      <c r="I335" s="590"/>
      <c r="J335" s="590"/>
      <c r="K335" s="590"/>
      <c r="L335" s="590"/>
      <c r="M335" s="590"/>
      <c r="N335" s="590"/>
      <c r="O335" s="590"/>
      <c r="P335" s="590"/>
      <c r="Q335" s="590"/>
      <c r="R335" s="590"/>
      <c r="S335" s="590"/>
      <c r="T335" s="590"/>
      <c r="U335" s="590"/>
      <c r="V335" s="590"/>
      <c r="W335" s="590"/>
      <c r="X335" s="590"/>
      <c r="Y335" s="590"/>
      <c r="Z335" s="590"/>
    </row>
    <row r="336" spans="1:26" ht="15.75" customHeight="1">
      <c r="A336" s="590"/>
      <c r="B336" s="590"/>
      <c r="C336" s="590"/>
      <c r="D336" s="590"/>
      <c r="E336" s="590"/>
      <c r="F336" s="590"/>
      <c r="G336" s="590"/>
      <c r="H336" s="590"/>
      <c r="I336" s="590"/>
      <c r="J336" s="590"/>
      <c r="K336" s="590"/>
      <c r="L336" s="590"/>
      <c r="M336" s="590"/>
      <c r="N336" s="590"/>
      <c r="O336" s="590"/>
      <c r="P336" s="590"/>
      <c r="Q336" s="590"/>
      <c r="R336" s="590"/>
      <c r="S336" s="590"/>
      <c r="T336" s="590"/>
      <c r="U336" s="590"/>
      <c r="V336" s="590"/>
      <c r="W336" s="590"/>
      <c r="X336" s="590"/>
      <c r="Y336" s="590"/>
      <c r="Z336" s="590"/>
    </row>
    <row r="337" spans="1:26" ht="15.75" customHeight="1">
      <c r="A337" s="590"/>
      <c r="B337" s="590"/>
      <c r="C337" s="590"/>
      <c r="D337" s="590"/>
      <c r="E337" s="590"/>
      <c r="F337" s="590"/>
      <c r="G337" s="590"/>
      <c r="H337" s="590"/>
      <c r="I337" s="590"/>
      <c r="J337" s="590"/>
      <c r="K337" s="590"/>
      <c r="L337" s="590"/>
      <c r="M337" s="590"/>
      <c r="N337" s="590"/>
      <c r="O337" s="590"/>
      <c r="P337" s="590"/>
      <c r="Q337" s="590"/>
      <c r="R337" s="590"/>
      <c r="S337" s="590"/>
      <c r="T337" s="590"/>
      <c r="U337" s="590"/>
      <c r="V337" s="590"/>
      <c r="W337" s="590"/>
      <c r="X337" s="590"/>
      <c r="Y337" s="590"/>
      <c r="Z337" s="590"/>
    </row>
    <row r="338" spans="1:26" ht="15.75" customHeight="1">
      <c r="A338" s="590"/>
      <c r="B338" s="590"/>
      <c r="C338" s="590"/>
      <c r="D338" s="590"/>
      <c r="E338" s="590"/>
      <c r="F338" s="590"/>
      <c r="G338" s="590"/>
      <c r="H338" s="590"/>
      <c r="I338" s="590"/>
      <c r="J338" s="590"/>
      <c r="K338" s="590"/>
      <c r="L338" s="590"/>
      <c r="M338" s="590"/>
      <c r="N338" s="590"/>
      <c r="O338" s="590"/>
      <c r="P338" s="590"/>
      <c r="Q338" s="590"/>
      <c r="R338" s="590"/>
      <c r="S338" s="590"/>
      <c r="T338" s="590"/>
      <c r="U338" s="590"/>
      <c r="V338" s="590"/>
      <c r="W338" s="590"/>
      <c r="X338" s="590"/>
      <c r="Y338" s="590"/>
      <c r="Z338" s="590"/>
    </row>
    <row r="339" spans="1:26" ht="15.75" customHeight="1">
      <c r="A339" s="590"/>
      <c r="B339" s="590"/>
      <c r="C339" s="590"/>
      <c r="D339" s="590"/>
      <c r="E339" s="590"/>
      <c r="F339" s="590"/>
      <c r="G339" s="590"/>
      <c r="H339" s="590"/>
      <c r="I339" s="590"/>
      <c r="J339" s="590"/>
      <c r="K339" s="590"/>
      <c r="L339" s="590"/>
      <c r="M339" s="590"/>
      <c r="N339" s="590"/>
      <c r="O339" s="590"/>
      <c r="P339" s="590"/>
      <c r="Q339" s="590"/>
      <c r="R339" s="590"/>
      <c r="S339" s="590"/>
      <c r="T339" s="590"/>
      <c r="U339" s="590"/>
      <c r="V339" s="590"/>
      <c r="W339" s="590"/>
      <c r="X339" s="590"/>
      <c r="Y339" s="590"/>
      <c r="Z339" s="590"/>
    </row>
    <row r="340" spans="1:26" ht="15.75" customHeight="1">
      <c r="A340" s="590"/>
      <c r="B340" s="590"/>
      <c r="C340" s="590"/>
      <c r="D340" s="590"/>
      <c r="E340" s="590"/>
      <c r="F340" s="590"/>
      <c r="G340" s="590"/>
      <c r="H340" s="590"/>
      <c r="I340" s="590"/>
      <c r="J340" s="590"/>
      <c r="K340" s="590"/>
      <c r="L340" s="590"/>
      <c r="M340" s="590"/>
      <c r="N340" s="590"/>
      <c r="O340" s="590"/>
      <c r="P340" s="590"/>
      <c r="Q340" s="590"/>
      <c r="R340" s="590"/>
      <c r="S340" s="590"/>
      <c r="T340" s="590"/>
      <c r="U340" s="590"/>
      <c r="V340" s="590"/>
      <c r="W340" s="590"/>
      <c r="X340" s="590"/>
      <c r="Y340" s="590"/>
      <c r="Z340" s="590"/>
    </row>
    <row r="341" spans="1:26" ht="15.75" customHeight="1">
      <c r="A341" s="590"/>
      <c r="B341" s="590"/>
      <c r="C341" s="590"/>
      <c r="D341" s="590"/>
      <c r="E341" s="590"/>
      <c r="F341" s="590"/>
      <c r="G341" s="590"/>
      <c r="H341" s="590"/>
      <c r="I341" s="590"/>
      <c r="J341" s="590"/>
      <c r="K341" s="590"/>
      <c r="L341" s="590"/>
      <c r="M341" s="590"/>
      <c r="N341" s="590"/>
      <c r="O341" s="590"/>
      <c r="P341" s="590"/>
      <c r="Q341" s="590"/>
      <c r="R341" s="590"/>
      <c r="S341" s="590"/>
      <c r="T341" s="590"/>
      <c r="U341" s="590"/>
      <c r="V341" s="590"/>
      <c r="W341" s="590"/>
      <c r="X341" s="590"/>
      <c r="Y341" s="590"/>
      <c r="Z341" s="590"/>
    </row>
    <row r="342" spans="1:26" ht="15.75" customHeight="1">
      <c r="A342" s="590"/>
      <c r="B342" s="590"/>
      <c r="C342" s="590"/>
      <c r="D342" s="590"/>
      <c r="E342" s="590"/>
      <c r="F342" s="590"/>
      <c r="G342" s="590"/>
      <c r="H342" s="590"/>
      <c r="I342" s="590"/>
      <c r="J342" s="590"/>
      <c r="K342" s="590"/>
      <c r="L342" s="590"/>
      <c r="M342" s="590"/>
      <c r="N342" s="590"/>
      <c r="O342" s="590"/>
      <c r="P342" s="590"/>
      <c r="Q342" s="590"/>
      <c r="R342" s="590"/>
      <c r="S342" s="590"/>
      <c r="T342" s="590"/>
      <c r="U342" s="590"/>
      <c r="V342" s="590"/>
      <c r="W342" s="590"/>
      <c r="X342" s="590"/>
      <c r="Y342" s="590"/>
      <c r="Z342" s="590"/>
    </row>
    <row r="343" spans="1:26" ht="15.75" customHeight="1">
      <c r="A343" s="590"/>
      <c r="B343" s="590"/>
      <c r="C343" s="590"/>
      <c r="D343" s="590"/>
      <c r="E343" s="590"/>
      <c r="F343" s="590"/>
      <c r="G343" s="590"/>
      <c r="H343" s="590"/>
      <c r="I343" s="590"/>
      <c r="J343" s="590"/>
      <c r="K343" s="590"/>
      <c r="L343" s="590"/>
      <c r="M343" s="590"/>
      <c r="N343" s="590"/>
      <c r="O343" s="590"/>
      <c r="P343" s="590"/>
      <c r="Q343" s="590"/>
      <c r="R343" s="590"/>
      <c r="S343" s="590"/>
      <c r="T343" s="590"/>
      <c r="U343" s="590"/>
      <c r="V343" s="590"/>
      <c r="W343" s="590"/>
      <c r="X343" s="590"/>
      <c r="Y343" s="590"/>
      <c r="Z343" s="590"/>
    </row>
    <row r="344" spans="1:26" ht="15.75" customHeight="1">
      <c r="A344" s="590"/>
      <c r="B344" s="590"/>
      <c r="C344" s="590"/>
      <c r="D344" s="590"/>
      <c r="E344" s="590"/>
      <c r="F344" s="590"/>
      <c r="G344" s="590"/>
      <c r="H344" s="590"/>
      <c r="I344" s="590"/>
      <c r="J344" s="590"/>
      <c r="K344" s="590"/>
      <c r="L344" s="590"/>
      <c r="M344" s="590"/>
      <c r="N344" s="590"/>
      <c r="O344" s="590"/>
      <c r="P344" s="590"/>
      <c r="Q344" s="590"/>
      <c r="R344" s="590"/>
      <c r="S344" s="590"/>
      <c r="T344" s="590"/>
      <c r="U344" s="590"/>
      <c r="V344" s="590"/>
      <c r="W344" s="590"/>
      <c r="X344" s="590"/>
      <c r="Y344" s="590"/>
      <c r="Z344" s="590"/>
    </row>
    <row r="345" spans="1:26" ht="15.75" customHeight="1">
      <c r="A345" s="590"/>
      <c r="B345" s="590"/>
      <c r="C345" s="590"/>
      <c r="D345" s="590"/>
      <c r="E345" s="590"/>
      <c r="F345" s="590"/>
      <c r="G345" s="590"/>
      <c r="H345" s="590"/>
      <c r="I345" s="590"/>
      <c r="J345" s="590"/>
      <c r="K345" s="590"/>
      <c r="L345" s="590"/>
      <c r="M345" s="590"/>
      <c r="N345" s="590"/>
      <c r="O345" s="590"/>
      <c r="P345" s="590"/>
      <c r="Q345" s="590"/>
      <c r="R345" s="590"/>
      <c r="S345" s="590"/>
      <c r="T345" s="590"/>
      <c r="U345" s="590"/>
      <c r="V345" s="590"/>
      <c r="W345" s="590"/>
      <c r="X345" s="590"/>
      <c r="Y345" s="590"/>
      <c r="Z345" s="590"/>
    </row>
    <row r="346" spans="1:26" ht="15.75" customHeight="1">
      <c r="A346" s="590"/>
      <c r="B346" s="590"/>
      <c r="C346" s="590"/>
      <c r="D346" s="590"/>
      <c r="E346" s="590"/>
      <c r="F346" s="590"/>
      <c r="G346" s="590"/>
      <c r="H346" s="590"/>
      <c r="I346" s="590"/>
      <c r="J346" s="590"/>
      <c r="K346" s="590"/>
      <c r="L346" s="590"/>
      <c r="M346" s="590"/>
      <c r="N346" s="590"/>
      <c r="O346" s="590"/>
      <c r="P346" s="590"/>
      <c r="Q346" s="590"/>
      <c r="R346" s="590"/>
      <c r="S346" s="590"/>
      <c r="T346" s="590"/>
      <c r="U346" s="590"/>
      <c r="V346" s="590"/>
      <c r="W346" s="590"/>
      <c r="X346" s="590"/>
      <c r="Y346" s="590"/>
      <c r="Z346" s="590"/>
    </row>
    <row r="347" spans="1:26" ht="15.75" customHeight="1">
      <c r="A347" s="590"/>
      <c r="B347" s="590"/>
      <c r="C347" s="590"/>
      <c r="D347" s="590"/>
      <c r="E347" s="590"/>
      <c r="F347" s="590"/>
      <c r="G347" s="590"/>
      <c r="H347" s="590"/>
      <c r="I347" s="590"/>
      <c r="J347" s="590"/>
      <c r="K347" s="590"/>
      <c r="L347" s="590"/>
      <c r="M347" s="590"/>
      <c r="N347" s="590"/>
      <c r="O347" s="590"/>
      <c r="P347" s="590"/>
      <c r="Q347" s="590"/>
      <c r="R347" s="590"/>
      <c r="S347" s="590"/>
      <c r="T347" s="590"/>
      <c r="U347" s="590"/>
      <c r="V347" s="590"/>
      <c r="W347" s="590"/>
      <c r="X347" s="590"/>
      <c r="Y347" s="590"/>
      <c r="Z347" s="590"/>
    </row>
    <row r="348" spans="1:26" ht="15.75" customHeight="1">
      <c r="A348" s="590"/>
      <c r="B348" s="590"/>
      <c r="C348" s="590"/>
      <c r="D348" s="590"/>
      <c r="E348" s="590"/>
      <c r="F348" s="590"/>
      <c r="G348" s="590"/>
      <c r="H348" s="590"/>
      <c r="I348" s="590"/>
      <c r="J348" s="590"/>
      <c r="K348" s="590"/>
      <c r="L348" s="590"/>
      <c r="M348" s="590"/>
      <c r="N348" s="590"/>
      <c r="O348" s="590"/>
      <c r="P348" s="590"/>
      <c r="Q348" s="590"/>
      <c r="R348" s="590"/>
      <c r="S348" s="590"/>
      <c r="T348" s="590"/>
      <c r="U348" s="590"/>
      <c r="V348" s="590"/>
      <c r="W348" s="590"/>
      <c r="X348" s="590"/>
      <c r="Y348" s="590"/>
      <c r="Z348" s="590"/>
    </row>
    <row r="349" spans="1:26" ht="15.75" customHeight="1">
      <c r="A349" s="590"/>
      <c r="B349" s="590"/>
      <c r="C349" s="590"/>
      <c r="D349" s="590"/>
      <c r="E349" s="590"/>
      <c r="F349" s="590"/>
      <c r="G349" s="590"/>
      <c r="H349" s="590"/>
      <c r="I349" s="590"/>
      <c r="J349" s="590"/>
      <c r="K349" s="590"/>
      <c r="L349" s="590"/>
      <c r="M349" s="590"/>
      <c r="N349" s="590"/>
      <c r="O349" s="590"/>
      <c r="P349" s="590"/>
      <c r="Q349" s="590"/>
      <c r="R349" s="590"/>
      <c r="S349" s="590"/>
      <c r="T349" s="590"/>
      <c r="U349" s="590"/>
      <c r="V349" s="590"/>
      <c r="W349" s="590"/>
      <c r="X349" s="590"/>
      <c r="Y349" s="590"/>
      <c r="Z349" s="590"/>
    </row>
    <row r="350" spans="1:26" ht="15.75" customHeight="1">
      <c r="A350" s="590"/>
      <c r="B350" s="590"/>
      <c r="C350" s="590"/>
      <c r="D350" s="590"/>
      <c r="E350" s="590"/>
      <c r="F350" s="590"/>
      <c r="G350" s="590"/>
      <c r="H350" s="590"/>
      <c r="I350" s="590"/>
      <c r="J350" s="590"/>
      <c r="K350" s="590"/>
      <c r="L350" s="590"/>
      <c r="M350" s="590"/>
      <c r="N350" s="590"/>
      <c r="O350" s="590"/>
      <c r="P350" s="590"/>
      <c r="Q350" s="590"/>
      <c r="R350" s="590"/>
      <c r="S350" s="590"/>
      <c r="T350" s="590"/>
      <c r="U350" s="590"/>
      <c r="V350" s="590"/>
      <c r="W350" s="590"/>
      <c r="X350" s="590"/>
      <c r="Y350" s="590"/>
      <c r="Z350" s="590"/>
    </row>
    <row r="351" spans="1:26" ht="15.75" customHeight="1">
      <c r="A351" s="590"/>
      <c r="B351" s="590"/>
      <c r="C351" s="590"/>
      <c r="D351" s="590"/>
      <c r="E351" s="590"/>
      <c r="F351" s="590"/>
      <c r="G351" s="590"/>
      <c r="H351" s="590"/>
      <c r="I351" s="590"/>
      <c r="J351" s="590"/>
      <c r="K351" s="590"/>
      <c r="L351" s="590"/>
      <c r="M351" s="590"/>
      <c r="N351" s="590"/>
      <c r="O351" s="590"/>
      <c r="P351" s="590"/>
      <c r="Q351" s="590"/>
      <c r="R351" s="590"/>
      <c r="S351" s="590"/>
      <c r="T351" s="590"/>
      <c r="U351" s="590"/>
      <c r="V351" s="590"/>
      <c r="W351" s="590"/>
      <c r="X351" s="590"/>
      <c r="Y351" s="590"/>
      <c r="Z351" s="590"/>
    </row>
    <row r="352" spans="1:26" ht="15.75" customHeight="1">
      <c r="A352" s="590"/>
      <c r="B352" s="590"/>
      <c r="C352" s="590"/>
      <c r="D352" s="590"/>
      <c r="E352" s="590"/>
      <c r="F352" s="590"/>
      <c r="G352" s="590"/>
      <c r="H352" s="590"/>
      <c r="I352" s="590"/>
      <c r="J352" s="590"/>
      <c r="K352" s="590"/>
      <c r="L352" s="590"/>
      <c r="M352" s="590"/>
      <c r="N352" s="590"/>
      <c r="O352" s="590"/>
      <c r="P352" s="590"/>
      <c r="Q352" s="590"/>
      <c r="R352" s="590"/>
      <c r="S352" s="590"/>
      <c r="T352" s="590"/>
      <c r="U352" s="590"/>
      <c r="V352" s="590"/>
      <c r="W352" s="590"/>
      <c r="X352" s="590"/>
      <c r="Y352" s="590"/>
      <c r="Z352" s="590"/>
    </row>
    <row r="353" spans="1:26" ht="15.75" customHeight="1">
      <c r="A353" s="590"/>
      <c r="B353" s="590"/>
      <c r="C353" s="590"/>
      <c r="D353" s="590"/>
      <c r="E353" s="590"/>
      <c r="F353" s="590"/>
      <c r="G353" s="590"/>
      <c r="H353" s="590"/>
      <c r="I353" s="590"/>
      <c r="J353" s="590"/>
      <c r="K353" s="590"/>
      <c r="L353" s="590"/>
      <c r="M353" s="590"/>
      <c r="N353" s="590"/>
      <c r="O353" s="590"/>
      <c r="P353" s="590"/>
      <c r="Q353" s="590"/>
      <c r="R353" s="590"/>
      <c r="S353" s="590"/>
      <c r="T353" s="590"/>
      <c r="U353" s="590"/>
      <c r="V353" s="590"/>
      <c r="W353" s="590"/>
      <c r="X353" s="590"/>
      <c r="Y353" s="590"/>
      <c r="Z353" s="590"/>
    </row>
    <row r="354" spans="1:26" ht="15.75" customHeight="1">
      <c r="A354" s="590"/>
      <c r="B354" s="590"/>
      <c r="C354" s="590"/>
      <c r="D354" s="590"/>
      <c r="E354" s="590"/>
      <c r="F354" s="590"/>
      <c r="G354" s="590"/>
      <c r="H354" s="590"/>
      <c r="I354" s="590"/>
      <c r="J354" s="590"/>
      <c r="K354" s="590"/>
      <c r="L354" s="590"/>
      <c r="M354" s="590"/>
      <c r="N354" s="590"/>
      <c r="O354" s="590"/>
      <c r="P354" s="590"/>
      <c r="Q354" s="590"/>
      <c r="R354" s="590"/>
      <c r="S354" s="590"/>
      <c r="T354" s="590"/>
      <c r="U354" s="590"/>
      <c r="V354" s="590"/>
      <c r="W354" s="590"/>
      <c r="X354" s="590"/>
      <c r="Y354" s="590"/>
      <c r="Z354" s="590"/>
    </row>
    <row r="355" spans="1:26" ht="15.75" customHeight="1">
      <c r="A355" s="590"/>
      <c r="B355" s="590"/>
      <c r="C355" s="590"/>
      <c r="D355" s="590"/>
      <c r="E355" s="590"/>
      <c r="F355" s="590"/>
      <c r="G355" s="590"/>
      <c r="H355" s="590"/>
      <c r="I355" s="590"/>
      <c r="J355" s="590"/>
      <c r="K355" s="590"/>
      <c r="L355" s="590"/>
      <c r="M355" s="590"/>
      <c r="N355" s="590"/>
      <c r="O355" s="590"/>
      <c r="P355" s="590"/>
      <c r="Q355" s="590"/>
      <c r="R355" s="590"/>
      <c r="S355" s="590"/>
      <c r="T355" s="590"/>
      <c r="U355" s="590"/>
      <c r="V355" s="590"/>
      <c r="W355" s="590"/>
      <c r="X355" s="590"/>
      <c r="Y355" s="590"/>
      <c r="Z355" s="590"/>
    </row>
    <row r="356" spans="1:26" ht="15.75" customHeight="1">
      <c r="A356" s="590"/>
      <c r="B356" s="590"/>
      <c r="C356" s="590"/>
      <c r="D356" s="590"/>
      <c r="E356" s="590"/>
      <c r="F356" s="590"/>
      <c r="G356" s="590"/>
      <c r="H356" s="590"/>
      <c r="I356" s="590"/>
      <c r="J356" s="590"/>
      <c r="K356" s="590"/>
      <c r="L356" s="590"/>
      <c r="M356" s="590"/>
      <c r="N356" s="590"/>
      <c r="O356" s="590"/>
      <c r="P356" s="590"/>
      <c r="Q356" s="590"/>
      <c r="R356" s="590"/>
      <c r="S356" s="590"/>
      <c r="T356" s="590"/>
      <c r="U356" s="590"/>
      <c r="V356" s="590"/>
      <c r="W356" s="590"/>
      <c r="X356" s="590"/>
      <c r="Y356" s="590"/>
      <c r="Z356" s="590"/>
    </row>
    <row r="357" spans="1:26" ht="15.75" customHeight="1">
      <c r="A357" s="590"/>
      <c r="B357" s="590"/>
      <c r="C357" s="590"/>
      <c r="D357" s="590"/>
      <c r="E357" s="590"/>
      <c r="F357" s="590"/>
      <c r="G357" s="590"/>
      <c r="H357" s="590"/>
      <c r="I357" s="590"/>
      <c r="J357" s="590"/>
      <c r="K357" s="590"/>
      <c r="L357" s="590"/>
      <c r="M357" s="590"/>
      <c r="N357" s="590"/>
      <c r="O357" s="590"/>
      <c r="P357" s="590"/>
      <c r="Q357" s="590"/>
      <c r="R357" s="590"/>
      <c r="S357" s="590"/>
      <c r="T357" s="590"/>
      <c r="U357" s="590"/>
      <c r="V357" s="590"/>
      <c r="W357" s="590"/>
      <c r="X357" s="590"/>
      <c r="Y357" s="590"/>
      <c r="Z357" s="590"/>
    </row>
    <row r="358" spans="1:26" ht="15.75" customHeight="1">
      <c r="A358" s="590"/>
      <c r="B358" s="590"/>
      <c r="C358" s="590"/>
      <c r="D358" s="590"/>
      <c r="E358" s="590"/>
      <c r="F358" s="590"/>
      <c r="G358" s="590"/>
      <c r="H358" s="590"/>
      <c r="I358" s="590"/>
      <c r="J358" s="590"/>
      <c r="K358" s="590"/>
      <c r="L358" s="590"/>
      <c r="M358" s="590"/>
      <c r="N358" s="590"/>
      <c r="O358" s="590"/>
      <c r="P358" s="590"/>
      <c r="Q358" s="590"/>
      <c r="R358" s="590"/>
      <c r="S358" s="590"/>
      <c r="T358" s="590"/>
      <c r="U358" s="590"/>
      <c r="V358" s="590"/>
      <c r="W358" s="590"/>
      <c r="X358" s="590"/>
      <c r="Y358" s="590"/>
      <c r="Z358" s="590"/>
    </row>
    <row r="359" spans="1:26" ht="15.75" customHeight="1">
      <c r="A359" s="590"/>
      <c r="B359" s="590"/>
      <c r="C359" s="590"/>
      <c r="D359" s="590"/>
      <c r="E359" s="590"/>
      <c r="F359" s="590"/>
      <c r="G359" s="590"/>
      <c r="H359" s="590"/>
      <c r="I359" s="590"/>
      <c r="J359" s="590"/>
      <c r="K359" s="590"/>
      <c r="L359" s="590"/>
      <c r="M359" s="590"/>
      <c r="N359" s="590"/>
      <c r="O359" s="590"/>
      <c r="P359" s="590"/>
      <c r="Q359" s="590"/>
      <c r="R359" s="590"/>
      <c r="S359" s="590"/>
      <c r="T359" s="590"/>
      <c r="U359" s="590"/>
      <c r="V359" s="590"/>
      <c r="W359" s="590"/>
      <c r="X359" s="590"/>
      <c r="Y359" s="590"/>
      <c r="Z359" s="590"/>
    </row>
    <row r="360" spans="1:26" ht="15.75" customHeight="1">
      <c r="A360" s="590"/>
      <c r="B360" s="590"/>
      <c r="C360" s="590"/>
      <c r="D360" s="590"/>
      <c r="E360" s="590"/>
      <c r="F360" s="590"/>
      <c r="G360" s="590"/>
      <c r="H360" s="590"/>
      <c r="I360" s="590"/>
      <c r="J360" s="590"/>
      <c r="K360" s="590"/>
      <c r="L360" s="590"/>
      <c r="M360" s="590"/>
      <c r="N360" s="590"/>
      <c r="O360" s="590"/>
      <c r="P360" s="590"/>
      <c r="Q360" s="590"/>
      <c r="R360" s="590"/>
      <c r="S360" s="590"/>
      <c r="T360" s="590"/>
      <c r="U360" s="590"/>
      <c r="V360" s="590"/>
      <c r="W360" s="590"/>
      <c r="X360" s="590"/>
      <c r="Y360" s="590"/>
      <c r="Z360" s="590"/>
    </row>
    <row r="361" spans="1:26" ht="15.75" customHeight="1">
      <c r="A361" s="590"/>
      <c r="B361" s="590"/>
      <c r="C361" s="590"/>
      <c r="D361" s="590"/>
      <c r="E361" s="590"/>
      <c r="F361" s="590"/>
      <c r="G361" s="590"/>
      <c r="H361" s="590"/>
      <c r="I361" s="590"/>
      <c r="J361" s="590"/>
      <c r="K361" s="590"/>
      <c r="L361" s="590"/>
      <c r="M361" s="590"/>
      <c r="N361" s="590"/>
      <c r="O361" s="590"/>
      <c r="P361" s="590"/>
      <c r="Q361" s="590"/>
      <c r="R361" s="590"/>
      <c r="S361" s="590"/>
      <c r="T361" s="590"/>
      <c r="U361" s="590"/>
      <c r="V361" s="590"/>
      <c r="W361" s="590"/>
      <c r="X361" s="590"/>
      <c r="Y361" s="590"/>
      <c r="Z361" s="590"/>
    </row>
    <row r="362" spans="1:26" ht="15.75" customHeight="1">
      <c r="A362" s="590"/>
      <c r="B362" s="590"/>
      <c r="C362" s="590"/>
      <c r="D362" s="590"/>
      <c r="E362" s="590"/>
      <c r="F362" s="590"/>
      <c r="G362" s="590"/>
      <c r="H362" s="590"/>
      <c r="I362" s="590"/>
      <c r="J362" s="590"/>
      <c r="K362" s="590"/>
      <c r="L362" s="590"/>
      <c r="M362" s="590"/>
      <c r="N362" s="590"/>
      <c r="O362" s="590"/>
      <c r="P362" s="590"/>
      <c r="Q362" s="590"/>
      <c r="R362" s="590"/>
      <c r="S362" s="590"/>
      <c r="T362" s="590"/>
      <c r="U362" s="590"/>
      <c r="V362" s="590"/>
      <c r="W362" s="590"/>
      <c r="X362" s="590"/>
      <c r="Y362" s="590"/>
      <c r="Z362" s="590"/>
    </row>
    <row r="363" spans="1:26" ht="15.75" customHeight="1">
      <c r="A363" s="590"/>
      <c r="B363" s="590"/>
      <c r="C363" s="590"/>
      <c r="D363" s="590"/>
      <c r="E363" s="590"/>
      <c r="F363" s="590"/>
      <c r="G363" s="590"/>
      <c r="H363" s="590"/>
      <c r="I363" s="590"/>
      <c r="J363" s="590"/>
      <c r="K363" s="590"/>
      <c r="L363" s="590"/>
      <c r="M363" s="590"/>
      <c r="N363" s="590"/>
      <c r="O363" s="590"/>
      <c r="P363" s="590"/>
      <c r="Q363" s="590"/>
      <c r="R363" s="590"/>
      <c r="S363" s="590"/>
      <c r="T363" s="590"/>
      <c r="U363" s="590"/>
      <c r="V363" s="590"/>
      <c r="W363" s="590"/>
      <c r="X363" s="590"/>
      <c r="Y363" s="590"/>
      <c r="Z363" s="590"/>
    </row>
    <row r="364" spans="1:26" ht="15.75" customHeight="1">
      <c r="A364" s="590"/>
      <c r="B364" s="590"/>
      <c r="C364" s="590"/>
      <c r="D364" s="590"/>
      <c r="E364" s="590"/>
      <c r="F364" s="590"/>
      <c r="G364" s="590"/>
      <c r="H364" s="590"/>
      <c r="I364" s="590"/>
      <c r="J364" s="590"/>
      <c r="K364" s="590"/>
      <c r="L364" s="590"/>
      <c r="M364" s="590"/>
      <c r="N364" s="590"/>
      <c r="O364" s="590"/>
      <c r="P364" s="590"/>
      <c r="Q364" s="590"/>
      <c r="R364" s="590"/>
      <c r="S364" s="590"/>
      <c r="T364" s="590"/>
      <c r="U364" s="590"/>
      <c r="V364" s="590"/>
      <c r="W364" s="590"/>
      <c r="X364" s="590"/>
      <c r="Y364" s="590"/>
      <c r="Z364" s="590"/>
    </row>
    <row r="365" spans="1:26" ht="15.75" customHeight="1">
      <c r="A365" s="590"/>
      <c r="B365" s="590"/>
      <c r="C365" s="590"/>
      <c r="D365" s="590"/>
      <c r="E365" s="590"/>
      <c r="F365" s="590"/>
      <c r="G365" s="590"/>
      <c r="H365" s="590"/>
      <c r="I365" s="590"/>
      <c r="J365" s="590"/>
      <c r="K365" s="590"/>
      <c r="L365" s="590"/>
      <c r="M365" s="590"/>
      <c r="N365" s="590"/>
      <c r="O365" s="590"/>
      <c r="P365" s="590"/>
      <c r="Q365" s="590"/>
      <c r="R365" s="590"/>
      <c r="S365" s="590"/>
      <c r="T365" s="590"/>
      <c r="U365" s="590"/>
      <c r="V365" s="590"/>
      <c r="W365" s="590"/>
      <c r="X365" s="590"/>
      <c r="Y365" s="590"/>
      <c r="Z365" s="590"/>
    </row>
    <row r="366" spans="1:26" ht="15.75" customHeight="1">
      <c r="A366" s="590"/>
      <c r="B366" s="590"/>
      <c r="C366" s="590"/>
      <c r="D366" s="590"/>
      <c r="E366" s="590"/>
      <c r="F366" s="590"/>
      <c r="G366" s="590"/>
      <c r="H366" s="590"/>
      <c r="I366" s="590"/>
      <c r="J366" s="590"/>
      <c r="K366" s="590"/>
      <c r="L366" s="590"/>
      <c r="M366" s="590"/>
      <c r="N366" s="590"/>
      <c r="O366" s="590"/>
      <c r="P366" s="590"/>
      <c r="Q366" s="590"/>
      <c r="R366" s="590"/>
      <c r="S366" s="590"/>
      <c r="T366" s="590"/>
      <c r="U366" s="590"/>
      <c r="V366" s="590"/>
      <c r="W366" s="590"/>
      <c r="X366" s="590"/>
      <c r="Y366" s="590"/>
      <c r="Z366" s="590"/>
    </row>
    <row r="367" spans="1:26" ht="15.75" customHeight="1">
      <c r="A367" s="590"/>
      <c r="B367" s="590"/>
      <c r="C367" s="590"/>
      <c r="D367" s="590"/>
      <c r="E367" s="590"/>
      <c r="F367" s="590"/>
      <c r="G367" s="590"/>
      <c r="H367" s="590"/>
      <c r="I367" s="590"/>
      <c r="J367" s="590"/>
      <c r="K367" s="590"/>
      <c r="L367" s="590"/>
      <c r="M367" s="590"/>
      <c r="N367" s="590"/>
      <c r="O367" s="590"/>
      <c r="P367" s="590"/>
      <c r="Q367" s="590"/>
      <c r="R367" s="590"/>
      <c r="S367" s="590"/>
      <c r="T367" s="590"/>
      <c r="U367" s="590"/>
      <c r="V367" s="590"/>
      <c r="W367" s="590"/>
      <c r="X367" s="590"/>
      <c r="Y367" s="590"/>
      <c r="Z367" s="590"/>
    </row>
    <row r="368" spans="1:26" ht="15.75" customHeight="1">
      <c r="A368" s="590"/>
      <c r="B368" s="590"/>
      <c r="C368" s="590"/>
      <c r="D368" s="590"/>
      <c r="E368" s="590"/>
      <c r="F368" s="590"/>
      <c r="G368" s="590"/>
      <c r="H368" s="590"/>
      <c r="I368" s="590"/>
      <c r="J368" s="590"/>
      <c r="K368" s="590"/>
      <c r="L368" s="590"/>
      <c r="M368" s="590"/>
      <c r="N368" s="590"/>
      <c r="O368" s="590"/>
      <c r="P368" s="590"/>
      <c r="Q368" s="590"/>
      <c r="R368" s="590"/>
      <c r="S368" s="590"/>
      <c r="T368" s="590"/>
      <c r="U368" s="590"/>
      <c r="V368" s="590"/>
      <c r="W368" s="590"/>
      <c r="X368" s="590"/>
      <c r="Y368" s="590"/>
      <c r="Z368" s="590"/>
    </row>
    <row r="369" spans="1:26" ht="15.75" customHeight="1">
      <c r="A369" s="590"/>
      <c r="B369" s="590"/>
      <c r="C369" s="590"/>
      <c r="D369" s="590"/>
      <c r="E369" s="590"/>
      <c r="F369" s="590"/>
      <c r="G369" s="590"/>
      <c r="H369" s="590"/>
      <c r="I369" s="590"/>
      <c r="J369" s="590"/>
      <c r="K369" s="590"/>
      <c r="L369" s="590"/>
      <c r="M369" s="590"/>
      <c r="N369" s="590"/>
      <c r="O369" s="590"/>
      <c r="P369" s="590"/>
      <c r="Q369" s="590"/>
      <c r="R369" s="590"/>
      <c r="S369" s="590"/>
      <c r="T369" s="590"/>
      <c r="U369" s="590"/>
      <c r="V369" s="590"/>
      <c r="W369" s="590"/>
      <c r="X369" s="590"/>
      <c r="Y369" s="590"/>
      <c r="Z369" s="590"/>
    </row>
    <row r="370" spans="1:26" ht="15.75" customHeight="1">
      <c r="A370" s="590"/>
      <c r="B370" s="590"/>
      <c r="C370" s="590"/>
      <c r="D370" s="590"/>
      <c r="E370" s="590"/>
      <c r="F370" s="590"/>
      <c r="G370" s="590"/>
      <c r="H370" s="590"/>
      <c r="I370" s="590"/>
      <c r="J370" s="590"/>
      <c r="K370" s="590"/>
      <c r="L370" s="590"/>
      <c r="M370" s="590"/>
      <c r="N370" s="590"/>
      <c r="O370" s="590"/>
      <c r="P370" s="590"/>
      <c r="Q370" s="590"/>
      <c r="R370" s="590"/>
      <c r="S370" s="590"/>
      <c r="T370" s="590"/>
      <c r="U370" s="590"/>
      <c r="V370" s="590"/>
      <c r="W370" s="590"/>
      <c r="X370" s="590"/>
      <c r="Y370" s="590"/>
      <c r="Z370" s="590"/>
    </row>
    <row r="371" spans="1:26" ht="15.75" customHeight="1">
      <c r="A371" s="590"/>
      <c r="B371" s="590"/>
      <c r="C371" s="590"/>
      <c r="D371" s="590"/>
      <c r="E371" s="590"/>
      <c r="F371" s="590"/>
      <c r="G371" s="590"/>
      <c r="H371" s="590"/>
      <c r="I371" s="590"/>
      <c r="J371" s="590"/>
      <c r="K371" s="590"/>
      <c r="L371" s="590"/>
      <c r="M371" s="590"/>
      <c r="N371" s="590"/>
      <c r="O371" s="590"/>
      <c r="P371" s="590"/>
      <c r="Q371" s="590"/>
      <c r="R371" s="590"/>
      <c r="S371" s="590"/>
      <c r="T371" s="590"/>
      <c r="U371" s="590"/>
      <c r="V371" s="590"/>
      <c r="W371" s="590"/>
      <c r="X371" s="590"/>
      <c r="Y371" s="590"/>
      <c r="Z371" s="590"/>
    </row>
    <row r="372" spans="1:26" ht="15.75" customHeight="1">
      <c r="A372" s="590"/>
      <c r="B372" s="590"/>
      <c r="C372" s="590"/>
      <c r="D372" s="590"/>
      <c r="E372" s="590"/>
      <c r="F372" s="590"/>
      <c r="G372" s="590"/>
      <c r="H372" s="590"/>
      <c r="I372" s="590"/>
      <c r="J372" s="590"/>
      <c r="K372" s="590"/>
      <c r="L372" s="590"/>
      <c r="M372" s="590"/>
      <c r="N372" s="590"/>
      <c r="O372" s="590"/>
      <c r="P372" s="590"/>
      <c r="Q372" s="590"/>
      <c r="R372" s="590"/>
      <c r="S372" s="590"/>
      <c r="T372" s="590"/>
      <c r="U372" s="590"/>
      <c r="V372" s="590"/>
      <c r="W372" s="590"/>
      <c r="X372" s="590"/>
      <c r="Y372" s="590"/>
      <c r="Z372" s="590"/>
    </row>
    <row r="373" spans="1:26" ht="15.75" customHeight="1">
      <c r="A373" s="590"/>
      <c r="B373" s="590"/>
      <c r="C373" s="590"/>
      <c r="D373" s="590"/>
      <c r="E373" s="590"/>
      <c r="F373" s="590"/>
      <c r="G373" s="590"/>
      <c r="H373" s="590"/>
      <c r="I373" s="590"/>
      <c r="J373" s="590"/>
      <c r="K373" s="590"/>
      <c r="L373" s="590"/>
      <c r="M373" s="590"/>
      <c r="N373" s="590"/>
      <c r="O373" s="590"/>
      <c r="P373" s="590"/>
      <c r="Q373" s="590"/>
      <c r="R373" s="590"/>
      <c r="S373" s="590"/>
      <c r="T373" s="590"/>
      <c r="U373" s="590"/>
      <c r="V373" s="590"/>
      <c r="W373" s="590"/>
      <c r="X373" s="590"/>
      <c r="Y373" s="590"/>
      <c r="Z373" s="590"/>
    </row>
    <row r="374" spans="1:26" ht="15.75" customHeight="1">
      <c r="A374" s="590"/>
      <c r="B374" s="590"/>
      <c r="C374" s="590"/>
      <c r="D374" s="590"/>
      <c r="E374" s="590"/>
      <c r="F374" s="590"/>
      <c r="G374" s="590"/>
      <c r="H374" s="590"/>
      <c r="I374" s="590"/>
      <c r="J374" s="590"/>
      <c r="K374" s="590"/>
      <c r="L374" s="590"/>
      <c r="M374" s="590"/>
      <c r="N374" s="590"/>
      <c r="O374" s="590"/>
      <c r="P374" s="590"/>
      <c r="Q374" s="590"/>
      <c r="R374" s="590"/>
      <c r="S374" s="590"/>
      <c r="T374" s="590"/>
      <c r="U374" s="590"/>
      <c r="V374" s="590"/>
      <c r="W374" s="590"/>
      <c r="X374" s="590"/>
      <c r="Y374" s="590"/>
      <c r="Z374" s="590"/>
    </row>
    <row r="375" spans="1:26" ht="15.75" customHeight="1">
      <c r="A375" s="590"/>
      <c r="B375" s="590"/>
      <c r="C375" s="590"/>
      <c r="D375" s="590"/>
      <c r="E375" s="590"/>
      <c r="F375" s="590"/>
      <c r="G375" s="590"/>
      <c r="H375" s="590"/>
      <c r="I375" s="590"/>
      <c r="J375" s="590"/>
      <c r="K375" s="590"/>
      <c r="L375" s="590"/>
      <c r="M375" s="590"/>
      <c r="N375" s="590"/>
      <c r="O375" s="590"/>
      <c r="P375" s="590"/>
      <c r="Q375" s="590"/>
      <c r="R375" s="590"/>
      <c r="S375" s="590"/>
      <c r="T375" s="590"/>
      <c r="U375" s="590"/>
      <c r="V375" s="590"/>
      <c r="W375" s="590"/>
      <c r="X375" s="590"/>
      <c r="Y375" s="590"/>
      <c r="Z375" s="590"/>
    </row>
    <row r="376" spans="1:26" ht="15.75" customHeight="1">
      <c r="A376" s="590"/>
      <c r="B376" s="590"/>
      <c r="C376" s="590"/>
      <c r="D376" s="590"/>
      <c r="E376" s="590"/>
      <c r="F376" s="590"/>
      <c r="G376" s="590"/>
      <c r="H376" s="590"/>
      <c r="I376" s="590"/>
      <c r="J376" s="590"/>
      <c r="K376" s="590"/>
      <c r="L376" s="590"/>
      <c r="M376" s="590"/>
      <c r="N376" s="590"/>
      <c r="O376" s="590"/>
      <c r="P376" s="590"/>
      <c r="Q376" s="590"/>
      <c r="R376" s="590"/>
      <c r="S376" s="590"/>
      <c r="T376" s="590"/>
      <c r="U376" s="590"/>
      <c r="V376" s="590"/>
      <c r="W376" s="590"/>
      <c r="X376" s="590"/>
      <c r="Y376" s="590"/>
      <c r="Z376" s="590"/>
    </row>
    <row r="377" spans="1:26" ht="15.75" customHeight="1">
      <c r="A377" s="590"/>
      <c r="B377" s="590"/>
      <c r="C377" s="590"/>
      <c r="D377" s="590"/>
      <c r="E377" s="590"/>
      <c r="F377" s="590"/>
      <c r="G377" s="590"/>
      <c r="H377" s="590"/>
      <c r="I377" s="590"/>
      <c r="J377" s="590"/>
      <c r="K377" s="590"/>
      <c r="L377" s="590"/>
      <c r="M377" s="590"/>
      <c r="N377" s="590"/>
      <c r="O377" s="590"/>
      <c r="P377" s="590"/>
      <c r="Q377" s="590"/>
      <c r="R377" s="590"/>
      <c r="S377" s="590"/>
      <c r="T377" s="590"/>
      <c r="U377" s="590"/>
      <c r="V377" s="590"/>
      <c r="W377" s="590"/>
      <c r="X377" s="590"/>
      <c r="Y377" s="590"/>
      <c r="Z377" s="590"/>
    </row>
    <row r="378" spans="1:26" ht="15.75" customHeight="1">
      <c r="A378" s="590"/>
      <c r="B378" s="590"/>
      <c r="C378" s="590"/>
      <c r="D378" s="590"/>
      <c r="E378" s="590"/>
      <c r="F378" s="590"/>
      <c r="G378" s="590"/>
      <c r="H378" s="590"/>
      <c r="I378" s="590"/>
      <c r="J378" s="590"/>
      <c r="K378" s="590"/>
      <c r="L378" s="590"/>
      <c r="M378" s="590"/>
      <c r="N378" s="590"/>
      <c r="O378" s="590"/>
      <c r="P378" s="590"/>
      <c r="Q378" s="590"/>
      <c r="R378" s="590"/>
      <c r="S378" s="590"/>
      <c r="T378" s="590"/>
      <c r="U378" s="590"/>
      <c r="V378" s="590"/>
      <c r="W378" s="590"/>
      <c r="X378" s="590"/>
      <c r="Y378" s="590"/>
      <c r="Z378" s="590"/>
    </row>
    <row r="379" spans="1:26" ht="15.75" customHeight="1">
      <c r="A379" s="590"/>
      <c r="B379" s="590"/>
      <c r="C379" s="590"/>
      <c r="D379" s="590"/>
      <c r="E379" s="590"/>
      <c r="F379" s="590"/>
      <c r="G379" s="590"/>
      <c r="H379" s="590"/>
      <c r="I379" s="590"/>
      <c r="J379" s="590"/>
      <c r="K379" s="590"/>
      <c r="L379" s="590"/>
      <c r="M379" s="590"/>
      <c r="N379" s="590"/>
      <c r="O379" s="590"/>
      <c r="P379" s="590"/>
      <c r="Q379" s="590"/>
      <c r="R379" s="590"/>
      <c r="S379" s="590"/>
      <c r="T379" s="590"/>
      <c r="U379" s="590"/>
      <c r="V379" s="590"/>
      <c r="W379" s="590"/>
      <c r="X379" s="590"/>
      <c r="Y379" s="590"/>
      <c r="Z379" s="590"/>
    </row>
    <row r="380" spans="1:26" ht="15.75" customHeight="1">
      <c r="A380" s="590"/>
      <c r="B380" s="590"/>
      <c r="C380" s="590"/>
      <c r="D380" s="590"/>
      <c r="E380" s="590"/>
      <c r="F380" s="590"/>
      <c r="G380" s="590"/>
      <c r="H380" s="590"/>
      <c r="I380" s="590"/>
      <c r="J380" s="590"/>
      <c r="K380" s="590"/>
      <c r="L380" s="590"/>
      <c r="M380" s="590"/>
      <c r="N380" s="590"/>
      <c r="O380" s="590"/>
      <c r="P380" s="590"/>
      <c r="Q380" s="590"/>
      <c r="R380" s="590"/>
      <c r="S380" s="590"/>
      <c r="T380" s="590"/>
      <c r="U380" s="590"/>
      <c r="V380" s="590"/>
      <c r="W380" s="590"/>
      <c r="X380" s="590"/>
      <c r="Y380" s="590"/>
      <c r="Z380" s="590"/>
    </row>
    <row r="381" spans="1:26" ht="15.75" customHeight="1">
      <c r="A381" s="590"/>
      <c r="B381" s="590"/>
      <c r="C381" s="590"/>
      <c r="D381" s="590"/>
      <c r="E381" s="590"/>
      <c r="F381" s="590"/>
      <c r="G381" s="590"/>
      <c r="H381" s="590"/>
      <c r="I381" s="590"/>
      <c r="J381" s="590"/>
      <c r="K381" s="590"/>
      <c r="L381" s="590"/>
      <c r="M381" s="590"/>
      <c r="N381" s="590"/>
      <c r="O381" s="590"/>
      <c r="P381" s="590"/>
      <c r="Q381" s="590"/>
      <c r="R381" s="590"/>
      <c r="S381" s="590"/>
      <c r="T381" s="590"/>
      <c r="U381" s="590"/>
      <c r="V381" s="590"/>
      <c r="W381" s="590"/>
      <c r="X381" s="590"/>
      <c r="Y381" s="590"/>
      <c r="Z381" s="590"/>
    </row>
    <row r="382" spans="1:26" ht="15.75" customHeight="1">
      <c r="A382" s="590"/>
      <c r="B382" s="590"/>
      <c r="C382" s="590"/>
      <c r="D382" s="590"/>
      <c r="E382" s="590"/>
      <c r="F382" s="590"/>
      <c r="G382" s="590"/>
      <c r="H382" s="590"/>
      <c r="I382" s="590"/>
      <c r="J382" s="590"/>
      <c r="K382" s="590"/>
      <c r="L382" s="590"/>
      <c r="M382" s="590"/>
      <c r="N382" s="590"/>
      <c r="O382" s="590"/>
      <c r="P382" s="590"/>
      <c r="Q382" s="590"/>
      <c r="R382" s="590"/>
      <c r="S382" s="590"/>
      <c r="T382" s="590"/>
      <c r="U382" s="590"/>
      <c r="V382" s="590"/>
      <c r="W382" s="590"/>
      <c r="X382" s="590"/>
      <c r="Y382" s="590"/>
      <c r="Z382" s="590"/>
    </row>
    <row r="383" spans="1:26" ht="15.75" customHeight="1">
      <c r="A383" s="590"/>
      <c r="B383" s="590"/>
      <c r="C383" s="590"/>
      <c r="D383" s="590"/>
      <c r="E383" s="590"/>
      <c r="F383" s="590"/>
      <c r="G383" s="590"/>
      <c r="H383" s="590"/>
      <c r="I383" s="590"/>
      <c r="J383" s="590"/>
      <c r="K383" s="590"/>
      <c r="L383" s="590"/>
      <c r="M383" s="590"/>
      <c r="N383" s="590"/>
      <c r="O383" s="590"/>
      <c r="P383" s="590"/>
      <c r="Q383" s="590"/>
      <c r="R383" s="590"/>
      <c r="S383" s="590"/>
      <c r="T383" s="590"/>
      <c r="U383" s="590"/>
      <c r="V383" s="590"/>
      <c r="W383" s="590"/>
      <c r="X383" s="590"/>
      <c r="Y383" s="590"/>
      <c r="Z383" s="590"/>
    </row>
    <row r="384" spans="1:26" ht="15.75" customHeight="1">
      <c r="A384" s="590"/>
      <c r="B384" s="590"/>
      <c r="C384" s="590"/>
      <c r="D384" s="590"/>
      <c r="E384" s="590"/>
      <c r="F384" s="590"/>
      <c r="G384" s="590"/>
      <c r="H384" s="590"/>
      <c r="I384" s="590"/>
      <c r="J384" s="590"/>
      <c r="K384" s="590"/>
      <c r="L384" s="590"/>
      <c r="M384" s="590"/>
      <c r="N384" s="590"/>
      <c r="O384" s="590"/>
      <c r="P384" s="590"/>
      <c r="Q384" s="590"/>
      <c r="R384" s="590"/>
      <c r="S384" s="590"/>
      <c r="T384" s="590"/>
      <c r="U384" s="590"/>
      <c r="V384" s="590"/>
      <c r="W384" s="590"/>
      <c r="X384" s="590"/>
      <c r="Y384" s="590"/>
      <c r="Z384" s="590"/>
    </row>
    <row r="385" spans="1:26" ht="15.75" customHeight="1">
      <c r="A385" s="590"/>
      <c r="B385" s="590"/>
      <c r="C385" s="590"/>
      <c r="D385" s="590"/>
      <c r="E385" s="590"/>
      <c r="F385" s="590"/>
      <c r="G385" s="590"/>
      <c r="H385" s="590"/>
      <c r="I385" s="590"/>
      <c r="J385" s="590"/>
      <c r="K385" s="590"/>
      <c r="L385" s="590"/>
      <c r="M385" s="590"/>
      <c r="N385" s="590"/>
      <c r="O385" s="590"/>
      <c r="P385" s="590"/>
      <c r="Q385" s="590"/>
      <c r="R385" s="590"/>
      <c r="S385" s="590"/>
      <c r="T385" s="590"/>
      <c r="U385" s="590"/>
      <c r="V385" s="590"/>
      <c r="W385" s="590"/>
      <c r="X385" s="590"/>
      <c r="Y385" s="590"/>
      <c r="Z385" s="590"/>
    </row>
    <row r="386" spans="1:26" ht="15.75" customHeight="1">
      <c r="A386" s="590"/>
      <c r="B386" s="590"/>
      <c r="C386" s="590"/>
      <c r="D386" s="590"/>
      <c r="E386" s="590"/>
      <c r="F386" s="590"/>
      <c r="G386" s="590"/>
      <c r="H386" s="590"/>
      <c r="I386" s="590"/>
      <c r="J386" s="590"/>
      <c r="K386" s="590"/>
      <c r="L386" s="590"/>
      <c r="M386" s="590"/>
      <c r="N386" s="590"/>
      <c r="O386" s="590"/>
      <c r="P386" s="590"/>
      <c r="Q386" s="590"/>
      <c r="R386" s="590"/>
      <c r="S386" s="590"/>
      <c r="T386" s="590"/>
      <c r="U386" s="590"/>
      <c r="V386" s="590"/>
      <c r="W386" s="590"/>
      <c r="X386" s="590"/>
      <c r="Y386" s="590"/>
      <c r="Z386" s="590"/>
    </row>
    <row r="387" spans="1:26" ht="15.75" customHeight="1">
      <c r="A387" s="590"/>
      <c r="B387" s="590"/>
      <c r="C387" s="590"/>
      <c r="D387" s="590"/>
      <c r="E387" s="590"/>
      <c r="F387" s="590"/>
      <c r="G387" s="590"/>
      <c r="H387" s="590"/>
      <c r="I387" s="590"/>
      <c r="J387" s="590"/>
      <c r="K387" s="590"/>
      <c r="L387" s="590"/>
      <c r="M387" s="590"/>
      <c r="N387" s="590"/>
      <c r="O387" s="590"/>
      <c r="P387" s="590"/>
      <c r="Q387" s="590"/>
      <c r="R387" s="590"/>
      <c r="S387" s="590"/>
      <c r="T387" s="590"/>
      <c r="U387" s="590"/>
      <c r="V387" s="590"/>
      <c r="W387" s="590"/>
      <c r="X387" s="590"/>
      <c r="Y387" s="590"/>
      <c r="Z387" s="590"/>
    </row>
    <row r="388" spans="1:26" ht="15.75" customHeight="1">
      <c r="A388" s="590"/>
      <c r="B388" s="590"/>
      <c r="C388" s="590"/>
      <c r="D388" s="590"/>
      <c r="E388" s="590"/>
      <c r="F388" s="590"/>
      <c r="G388" s="590"/>
      <c r="H388" s="590"/>
      <c r="I388" s="590"/>
      <c r="J388" s="590"/>
      <c r="K388" s="590"/>
      <c r="L388" s="590"/>
      <c r="M388" s="590"/>
      <c r="N388" s="590"/>
      <c r="O388" s="590"/>
      <c r="P388" s="590"/>
      <c r="Q388" s="590"/>
      <c r="R388" s="590"/>
      <c r="S388" s="590"/>
      <c r="T388" s="590"/>
      <c r="U388" s="590"/>
      <c r="V388" s="590"/>
      <c r="W388" s="590"/>
      <c r="X388" s="590"/>
      <c r="Y388" s="590"/>
      <c r="Z388" s="590"/>
    </row>
    <row r="389" spans="1:26" ht="15.75" customHeight="1">
      <c r="A389" s="590"/>
      <c r="B389" s="590"/>
      <c r="C389" s="590"/>
      <c r="D389" s="590"/>
      <c r="E389" s="590"/>
      <c r="F389" s="590"/>
      <c r="G389" s="590"/>
      <c r="H389" s="590"/>
      <c r="I389" s="590"/>
      <c r="J389" s="590"/>
      <c r="K389" s="590"/>
      <c r="L389" s="590"/>
      <c r="M389" s="590"/>
      <c r="N389" s="590"/>
      <c r="O389" s="590"/>
      <c r="P389" s="590"/>
      <c r="Q389" s="590"/>
      <c r="R389" s="590"/>
      <c r="S389" s="590"/>
      <c r="T389" s="590"/>
      <c r="U389" s="590"/>
      <c r="V389" s="590"/>
      <c r="W389" s="590"/>
      <c r="X389" s="590"/>
      <c r="Y389" s="590"/>
      <c r="Z389" s="590"/>
    </row>
    <row r="390" spans="1:26" ht="15.75" customHeight="1">
      <c r="A390" s="590"/>
      <c r="B390" s="590"/>
      <c r="C390" s="590"/>
      <c r="D390" s="590"/>
      <c r="E390" s="590"/>
      <c r="F390" s="590"/>
      <c r="G390" s="590"/>
      <c r="H390" s="590"/>
      <c r="I390" s="590"/>
      <c r="J390" s="590"/>
      <c r="K390" s="590"/>
      <c r="L390" s="590"/>
      <c r="M390" s="590"/>
      <c r="N390" s="590"/>
      <c r="O390" s="590"/>
      <c r="P390" s="590"/>
      <c r="Q390" s="590"/>
      <c r="R390" s="590"/>
      <c r="S390" s="590"/>
      <c r="T390" s="590"/>
      <c r="U390" s="590"/>
      <c r="V390" s="590"/>
      <c r="W390" s="590"/>
      <c r="X390" s="590"/>
      <c r="Y390" s="590"/>
      <c r="Z390" s="590"/>
    </row>
    <row r="391" spans="1:26" ht="15.75" customHeight="1">
      <c r="A391" s="590"/>
      <c r="B391" s="590"/>
      <c r="C391" s="590"/>
      <c r="D391" s="590"/>
      <c r="E391" s="590"/>
      <c r="F391" s="590"/>
      <c r="G391" s="590"/>
      <c r="H391" s="590"/>
      <c r="I391" s="590"/>
      <c r="J391" s="590"/>
      <c r="K391" s="590"/>
      <c r="L391" s="590"/>
      <c r="M391" s="590"/>
      <c r="N391" s="590"/>
      <c r="O391" s="590"/>
      <c r="P391" s="590"/>
      <c r="Q391" s="590"/>
      <c r="R391" s="590"/>
      <c r="S391" s="590"/>
      <c r="T391" s="590"/>
      <c r="U391" s="590"/>
      <c r="V391" s="590"/>
      <c r="W391" s="590"/>
      <c r="X391" s="590"/>
      <c r="Y391" s="590"/>
      <c r="Z391" s="590"/>
    </row>
    <row r="392" spans="1:26" ht="15.75" customHeight="1">
      <c r="A392" s="590"/>
      <c r="B392" s="590"/>
      <c r="C392" s="590"/>
      <c r="D392" s="590"/>
      <c r="E392" s="590"/>
      <c r="F392" s="590"/>
      <c r="G392" s="590"/>
      <c r="H392" s="590"/>
      <c r="I392" s="590"/>
      <c r="J392" s="590"/>
      <c r="K392" s="590"/>
      <c r="L392" s="590"/>
      <c r="M392" s="590"/>
      <c r="N392" s="590"/>
      <c r="O392" s="590"/>
      <c r="P392" s="590"/>
      <c r="Q392" s="590"/>
      <c r="R392" s="590"/>
      <c r="S392" s="590"/>
      <c r="T392" s="590"/>
      <c r="U392" s="590"/>
      <c r="V392" s="590"/>
      <c r="W392" s="590"/>
      <c r="X392" s="590"/>
      <c r="Y392" s="590"/>
      <c r="Z392" s="590"/>
    </row>
    <row r="393" spans="1:26" ht="15.75" customHeight="1">
      <c r="A393" s="590"/>
      <c r="B393" s="590"/>
      <c r="C393" s="590"/>
      <c r="D393" s="590"/>
      <c r="E393" s="590"/>
      <c r="F393" s="590"/>
      <c r="G393" s="590"/>
      <c r="H393" s="590"/>
      <c r="I393" s="590"/>
      <c r="J393" s="590"/>
      <c r="K393" s="590"/>
      <c r="L393" s="590"/>
      <c r="M393" s="590"/>
      <c r="N393" s="590"/>
      <c r="O393" s="590"/>
      <c r="P393" s="590"/>
      <c r="Q393" s="590"/>
      <c r="R393" s="590"/>
      <c r="S393" s="590"/>
      <c r="T393" s="590"/>
      <c r="U393" s="590"/>
      <c r="V393" s="590"/>
      <c r="W393" s="590"/>
      <c r="X393" s="590"/>
      <c r="Y393" s="590"/>
      <c r="Z393" s="590"/>
    </row>
    <row r="394" spans="1:26" ht="15.75" customHeight="1">
      <c r="A394" s="590"/>
      <c r="B394" s="590"/>
      <c r="C394" s="590"/>
      <c r="D394" s="590"/>
      <c r="E394" s="590"/>
      <c r="F394" s="590"/>
      <c r="G394" s="590"/>
      <c r="H394" s="590"/>
      <c r="I394" s="590"/>
      <c r="J394" s="590"/>
      <c r="K394" s="590"/>
      <c r="L394" s="590"/>
      <c r="M394" s="590"/>
      <c r="N394" s="590"/>
      <c r="O394" s="590"/>
      <c r="P394" s="590"/>
      <c r="Q394" s="590"/>
      <c r="R394" s="590"/>
      <c r="S394" s="590"/>
      <c r="T394" s="590"/>
      <c r="U394" s="590"/>
      <c r="V394" s="590"/>
      <c r="W394" s="590"/>
      <c r="X394" s="590"/>
      <c r="Y394" s="590"/>
      <c r="Z394" s="590"/>
    </row>
    <row r="395" spans="1:26" ht="15.75" customHeight="1">
      <c r="A395" s="590"/>
      <c r="B395" s="590"/>
      <c r="C395" s="590"/>
      <c r="D395" s="590"/>
      <c r="E395" s="590"/>
      <c r="F395" s="590"/>
      <c r="G395" s="590"/>
      <c r="H395" s="590"/>
      <c r="I395" s="590"/>
      <c r="J395" s="590"/>
      <c r="K395" s="590"/>
      <c r="L395" s="590"/>
      <c r="M395" s="590"/>
      <c r="N395" s="590"/>
      <c r="O395" s="590"/>
      <c r="P395" s="590"/>
      <c r="Q395" s="590"/>
      <c r="R395" s="590"/>
      <c r="S395" s="590"/>
      <c r="T395" s="590"/>
      <c r="U395" s="590"/>
      <c r="V395" s="590"/>
      <c r="W395" s="590"/>
      <c r="X395" s="590"/>
      <c r="Y395" s="590"/>
      <c r="Z395" s="590"/>
    </row>
    <row r="396" spans="1:26" ht="15.75" customHeight="1">
      <c r="A396" s="590"/>
      <c r="B396" s="590"/>
      <c r="C396" s="590"/>
      <c r="D396" s="590"/>
      <c r="E396" s="590"/>
      <c r="F396" s="590"/>
      <c r="G396" s="590"/>
      <c r="H396" s="590"/>
      <c r="I396" s="590"/>
      <c r="J396" s="590"/>
      <c r="K396" s="590"/>
      <c r="L396" s="590"/>
      <c r="M396" s="590"/>
      <c r="N396" s="590"/>
      <c r="O396" s="590"/>
      <c r="P396" s="590"/>
      <c r="Q396" s="590"/>
      <c r="R396" s="590"/>
      <c r="S396" s="590"/>
      <c r="T396" s="590"/>
      <c r="U396" s="590"/>
      <c r="V396" s="590"/>
      <c r="W396" s="590"/>
      <c r="X396" s="590"/>
      <c r="Y396" s="590"/>
      <c r="Z396" s="590"/>
    </row>
    <row r="397" spans="1:26" ht="15.75" customHeight="1">
      <c r="A397" s="590"/>
      <c r="B397" s="590"/>
      <c r="C397" s="590"/>
      <c r="D397" s="590"/>
      <c r="E397" s="590"/>
      <c r="F397" s="590"/>
      <c r="G397" s="590"/>
      <c r="H397" s="590"/>
      <c r="I397" s="590"/>
      <c r="J397" s="590"/>
      <c r="K397" s="590"/>
      <c r="L397" s="590"/>
      <c r="M397" s="590"/>
      <c r="N397" s="590"/>
      <c r="O397" s="590"/>
      <c r="P397" s="590"/>
      <c r="Q397" s="590"/>
      <c r="R397" s="590"/>
      <c r="S397" s="590"/>
      <c r="T397" s="590"/>
      <c r="U397" s="590"/>
      <c r="V397" s="590"/>
      <c r="W397" s="590"/>
      <c r="X397" s="590"/>
      <c r="Y397" s="590"/>
      <c r="Z397" s="590"/>
    </row>
    <row r="398" spans="1:26" ht="15.75" customHeight="1">
      <c r="A398" s="590"/>
      <c r="B398" s="590"/>
      <c r="C398" s="590"/>
      <c r="D398" s="590"/>
      <c r="E398" s="590"/>
      <c r="F398" s="590"/>
      <c r="G398" s="590"/>
      <c r="H398" s="590"/>
      <c r="I398" s="590"/>
      <c r="J398" s="590"/>
      <c r="K398" s="590"/>
      <c r="L398" s="590"/>
      <c r="M398" s="590"/>
      <c r="N398" s="590"/>
      <c r="O398" s="590"/>
      <c r="P398" s="590"/>
      <c r="Q398" s="590"/>
      <c r="R398" s="590"/>
      <c r="S398" s="590"/>
      <c r="T398" s="590"/>
      <c r="U398" s="590"/>
      <c r="V398" s="590"/>
      <c r="W398" s="590"/>
      <c r="X398" s="590"/>
      <c r="Y398" s="590"/>
      <c r="Z398" s="590"/>
    </row>
    <row r="399" spans="1:26" ht="15.75" customHeight="1">
      <c r="A399" s="590"/>
      <c r="B399" s="590"/>
      <c r="C399" s="590"/>
      <c r="D399" s="590"/>
      <c r="E399" s="590"/>
      <c r="F399" s="590"/>
      <c r="G399" s="590"/>
      <c r="H399" s="590"/>
      <c r="I399" s="590"/>
      <c r="J399" s="590"/>
      <c r="K399" s="590"/>
      <c r="L399" s="590"/>
      <c r="M399" s="590"/>
      <c r="N399" s="590"/>
      <c r="O399" s="590"/>
      <c r="P399" s="590"/>
      <c r="Q399" s="590"/>
      <c r="R399" s="590"/>
      <c r="S399" s="590"/>
      <c r="T399" s="590"/>
      <c r="U399" s="590"/>
      <c r="V399" s="590"/>
      <c r="W399" s="590"/>
      <c r="X399" s="590"/>
      <c r="Y399" s="590"/>
      <c r="Z399" s="590"/>
    </row>
    <row r="400" spans="1:26" ht="15.75" customHeight="1">
      <c r="A400" s="590"/>
      <c r="B400" s="590"/>
      <c r="C400" s="590"/>
      <c r="D400" s="590"/>
      <c r="E400" s="590"/>
      <c r="F400" s="590"/>
      <c r="G400" s="590"/>
      <c r="H400" s="590"/>
      <c r="I400" s="590"/>
      <c r="J400" s="590"/>
      <c r="K400" s="590"/>
      <c r="L400" s="590"/>
      <c r="M400" s="590"/>
      <c r="N400" s="590"/>
      <c r="O400" s="590"/>
      <c r="P400" s="590"/>
      <c r="Q400" s="590"/>
      <c r="R400" s="590"/>
      <c r="S400" s="590"/>
      <c r="T400" s="590"/>
      <c r="U400" s="590"/>
      <c r="V400" s="590"/>
      <c r="W400" s="590"/>
      <c r="X400" s="590"/>
      <c r="Y400" s="590"/>
      <c r="Z400" s="590"/>
    </row>
    <row r="401" spans="1:26" ht="15.75" customHeight="1">
      <c r="A401" s="590"/>
      <c r="B401" s="590"/>
      <c r="C401" s="590"/>
      <c r="D401" s="590"/>
      <c r="E401" s="590"/>
      <c r="F401" s="590"/>
      <c r="G401" s="590"/>
      <c r="H401" s="590"/>
      <c r="I401" s="590"/>
      <c r="J401" s="590"/>
      <c r="K401" s="590"/>
      <c r="L401" s="590"/>
      <c r="M401" s="590"/>
      <c r="N401" s="590"/>
      <c r="O401" s="590"/>
      <c r="P401" s="590"/>
      <c r="Q401" s="590"/>
      <c r="R401" s="590"/>
      <c r="S401" s="590"/>
      <c r="T401" s="590"/>
      <c r="U401" s="590"/>
      <c r="V401" s="590"/>
      <c r="W401" s="590"/>
      <c r="X401" s="590"/>
      <c r="Y401" s="590"/>
      <c r="Z401" s="590"/>
    </row>
    <row r="402" spans="1:26" ht="15.75" customHeight="1">
      <c r="A402" s="590"/>
      <c r="B402" s="590"/>
      <c r="C402" s="590"/>
      <c r="D402" s="590"/>
      <c r="E402" s="590"/>
      <c r="F402" s="590"/>
      <c r="G402" s="590"/>
      <c r="H402" s="590"/>
      <c r="I402" s="590"/>
      <c r="J402" s="590"/>
      <c r="K402" s="590"/>
      <c r="L402" s="590"/>
      <c r="M402" s="590"/>
      <c r="N402" s="590"/>
      <c r="O402" s="590"/>
      <c r="P402" s="590"/>
      <c r="Q402" s="590"/>
      <c r="R402" s="590"/>
      <c r="S402" s="590"/>
      <c r="T402" s="590"/>
      <c r="U402" s="590"/>
      <c r="V402" s="590"/>
      <c r="W402" s="590"/>
      <c r="X402" s="590"/>
      <c r="Y402" s="590"/>
      <c r="Z402" s="590"/>
    </row>
    <row r="403" spans="1:26" ht="15.75" customHeight="1">
      <c r="A403" s="590"/>
      <c r="B403" s="590"/>
      <c r="C403" s="590"/>
      <c r="D403" s="590"/>
      <c r="E403" s="590"/>
      <c r="F403" s="590"/>
      <c r="G403" s="590"/>
      <c r="H403" s="590"/>
      <c r="I403" s="590"/>
      <c r="J403" s="590"/>
      <c r="K403" s="590"/>
      <c r="L403" s="590"/>
      <c r="M403" s="590"/>
      <c r="N403" s="590"/>
      <c r="O403" s="590"/>
      <c r="P403" s="590"/>
      <c r="Q403" s="590"/>
      <c r="R403" s="590"/>
      <c r="S403" s="590"/>
      <c r="T403" s="590"/>
      <c r="U403" s="590"/>
      <c r="V403" s="590"/>
      <c r="W403" s="590"/>
      <c r="X403" s="590"/>
      <c r="Y403" s="590"/>
      <c r="Z403" s="590"/>
    </row>
    <row r="404" spans="1:26" ht="15.75" customHeight="1">
      <c r="A404" s="590"/>
      <c r="B404" s="590"/>
      <c r="C404" s="590"/>
      <c r="D404" s="590"/>
      <c r="E404" s="590"/>
      <c r="F404" s="590"/>
      <c r="G404" s="590"/>
      <c r="H404" s="590"/>
      <c r="I404" s="590"/>
      <c r="J404" s="590"/>
      <c r="K404" s="590"/>
      <c r="L404" s="590"/>
      <c r="M404" s="590"/>
      <c r="N404" s="590"/>
      <c r="O404" s="590"/>
      <c r="P404" s="590"/>
      <c r="Q404" s="590"/>
      <c r="R404" s="590"/>
      <c r="S404" s="590"/>
      <c r="T404" s="590"/>
      <c r="U404" s="590"/>
      <c r="V404" s="590"/>
      <c r="W404" s="590"/>
      <c r="X404" s="590"/>
      <c r="Y404" s="590"/>
      <c r="Z404" s="590"/>
    </row>
    <row r="405" spans="1:26" ht="15.75" customHeight="1">
      <c r="A405" s="590"/>
      <c r="B405" s="590"/>
      <c r="C405" s="590"/>
      <c r="D405" s="590"/>
      <c r="E405" s="590"/>
      <c r="F405" s="590"/>
      <c r="G405" s="590"/>
      <c r="H405" s="590"/>
      <c r="I405" s="590"/>
      <c r="J405" s="590"/>
      <c r="K405" s="590"/>
      <c r="L405" s="590"/>
      <c r="M405" s="590"/>
      <c r="N405" s="590"/>
      <c r="O405" s="590"/>
      <c r="P405" s="590"/>
      <c r="Q405" s="590"/>
      <c r="R405" s="590"/>
      <c r="S405" s="590"/>
      <c r="T405" s="590"/>
      <c r="U405" s="590"/>
      <c r="V405" s="590"/>
      <c r="W405" s="590"/>
      <c r="X405" s="590"/>
      <c r="Y405" s="590"/>
      <c r="Z405" s="590"/>
    </row>
    <row r="406" spans="1:26" ht="15.75" customHeight="1">
      <c r="A406" s="590"/>
      <c r="B406" s="590"/>
      <c r="C406" s="590"/>
      <c r="D406" s="590"/>
      <c r="E406" s="590"/>
      <c r="F406" s="590"/>
      <c r="G406" s="590"/>
      <c r="H406" s="590"/>
      <c r="I406" s="590"/>
      <c r="J406" s="590"/>
      <c r="K406" s="590"/>
      <c r="L406" s="590"/>
      <c r="M406" s="590"/>
      <c r="N406" s="590"/>
      <c r="O406" s="590"/>
      <c r="P406" s="590"/>
      <c r="Q406" s="590"/>
      <c r="R406" s="590"/>
      <c r="S406" s="590"/>
      <c r="T406" s="590"/>
      <c r="U406" s="590"/>
      <c r="V406" s="590"/>
      <c r="W406" s="590"/>
      <c r="X406" s="590"/>
      <c r="Y406" s="590"/>
      <c r="Z406" s="590"/>
    </row>
    <row r="407" spans="1:26" ht="15.75" customHeight="1">
      <c r="A407" s="590"/>
      <c r="B407" s="590"/>
      <c r="C407" s="590"/>
      <c r="D407" s="590"/>
      <c r="E407" s="590"/>
      <c r="F407" s="590"/>
      <c r="G407" s="590"/>
      <c r="H407" s="590"/>
      <c r="I407" s="590"/>
      <c r="J407" s="590"/>
      <c r="K407" s="590"/>
      <c r="L407" s="590"/>
      <c r="M407" s="590"/>
      <c r="N407" s="590"/>
      <c r="O407" s="590"/>
      <c r="P407" s="590"/>
      <c r="Q407" s="590"/>
      <c r="R407" s="590"/>
      <c r="S407" s="590"/>
      <c r="T407" s="590"/>
      <c r="U407" s="590"/>
      <c r="V407" s="590"/>
      <c r="W407" s="590"/>
      <c r="X407" s="590"/>
      <c r="Y407" s="590"/>
      <c r="Z407" s="590"/>
    </row>
    <row r="408" spans="1:26" ht="15.75" customHeight="1">
      <c r="A408" s="590"/>
      <c r="B408" s="590"/>
      <c r="C408" s="590"/>
      <c r="D408" s="590"/>
      <c r="E408" s="590"/>
      <c r="F408" s="590"/>
      <c r="G408" s="590"/>
      <c r="H408" s="590"/>
      <c r="I408" s="590"/>
      <c r="J408" s="590"/>
      <c r="K408" s="590"/>
      <c r="L408" s="590"/>
      <c r="M408" s="590"/>
      <c r="N408" s="590"/>
      <c r="O408" s="590"/>
      <c r="P408" s="590"/>
      <c r="Q408" s="590"/>
      <c r="R408" s="590"/>
      <c r="S408" s="590"/>
      <c r="T408" s="590"/>
      <c r="U408" s="590"/>
      <c r="V408" s="590"/>
      <c r="W408" s="590"/>
      <c r="X408" s="590"/>
      <c r="Y408" s="590"/>
      <c r="Z408" s="590"/>
    </row>
    <row r="409" spans="1:26" ht="15.75" customHeight="1">
      <c r="A409" s="590"/>
      <c r="B409" s="590"/>
      <c r="C409" s="590"/>
      <c r="D409" s="590"/>
      <c r="E409" s="590"/>
      <c r="F409" s="590"/>
      <c r="G409" s="590"/>
      <c r="H409" s="590"/>
      <c r="I409" s="590"/>
      <c r="J409" s="590"/>
      <c r="K409" s="590"/>
      <c r="L409" s="590"/>
      <c r="M409" s="590"/>
      <c r="N409" s="590"/>
      <c r="O409" s="590"/>
      <c r="P409" s="590"/>
      <c r="Q409" s="590"/>
      <c r="R409" s="590"/>
      <c r="S409" s="590"/>
      <c r="T409" s="590"/>
      <c r="U409" s="590"/>
      <c r="V409" s="590"/>
      <c r="W409" s="590"/>
      <c r="X409" s="590"/>
      <c r="Y409" s="590"/>
      <c r="Z409" s="590"/>
    </row>
    <row r="410" spans="1:26" ht="15.75" customHeight="1">
      <c r="A410" s="590"/>
      <c r="B410" s="590"/>
      <c r="C410" s="590"/>
      <c r="D410" s="590"/>
      <c r="E410" s="590"/>
      <c r="F410" s="590"/>
      <c r="G410" s="590"/>
      <c r="H410" s="590"/>
      <c r="I410" s="590"/>
      <c r="J410" s="590"/>
      <c r="K410" s="590"/>
      <c r="L410" s="590"/>
      <c r="M410" s="590"/>
      <c r="N410" s="590"/>
      <c r="O410" s="590"/>
      <c r="P410" s="590"/>
      <c r="Q410" s="590"/>
      <c r="R410" s="590"/>
      <c r="S410" s="590"/>
      <c r="T410" s="590"/>
      <c r="U410" s="590"/>
      <c r="V410" s="590"/>
      <c r="W410" s="590"/>
      <c r="X410" s="590"/>
      <c r="Y410" s="590"/>
      <c r="Z410" s="590"/>
    </row>
    <row r="411" spans="1:26" ht="15.75" customHeight="1">
      <c r="A411" s="590"/>
      <c r="B411" s="590"/>
      <c r="C411" s="590"/>
      <c r="D411" s="590"/>
      <c r="E411" s="590"/>
      <c r="F411" s="590"/>
      <c r="G411" s="590"/>
      <c r="H411" s="590"/>
      <c r="I411" s="590"/>
      <c r="J411" s="590"/>
      <c r="K411" s="590"/>
      <c r="L411" s="590"/>
      <c r="M411" s="590"/>
      <c r="N411" s="590"/>
      <c r="O411" s="590"/>
      <c r="P411" s="590"/>
      <c r="Q411" s="590"/>
      <c r="R411" s="590"/>
      <c r="S411" s="590"/>
      <c r="T411" s="590"/>
      <c r="U411" s="590"/>
      <c r="V411" s="590"/>
      <c r="W411" s="590"/>
      <c r="X411" s="590"/>
      <c r="Y411" s="590"/>
      <c r="Z411" s="590"/>
    </row>
    <row r="412" spans="1:26" ht="15.75" customHeight="1">
      <c r="A412" s="590"/>
      <c r="B412" s="590"/>
      <c r="C412" s="590"/>
      <c r="D412" s="590"/>
      <c r="E412" s="590"/>
      <c r="F412" s="590"/>
      <c r="G412" s="590"/>
      <c r="H412" s="590"/>
      <c r="I412" s="590"/>
      <c r="J412" s="590"/>
      <c r="K412" s="590"/>
      <c r="L412" s="590"/>
      <c r="M412" s="590"/>
      <c r="N412" s="590"/>
      <c r="O412" s="590"/>
      <c r="P412" s="590"/>
      <c r="Q412" s="590"/>
      <c r="R412" s="590"/>
      <c r="S412" s="590"/>
      <c r="T412" s="590"/>
      <c r="U412" s="590"/>
      <c r="V412" s="590"/>
      <c r="W412" s="590"/>
      <c r="X412" s="590"/>
      <c r="Y412" s="590"/>
      <c r="Z412" s="590"/>
    </row>
    <row r="413" spans="1:26" ht="15.75" customHeight="1">
      <c r="A413" s="590"/>
      <c r="B413" s="590"/>
      <c r="C413" s="590"/>
      <c r="D413" s="590"/>
      <c r="E413" s="590"/>
      <c r="F413" s="590"/>
      <c r="G413" s="590"/>
      <c r="H413" s="590"/>
      <c r="I413" s="590"/>
      <c r="J413" s="590"/>
      <c r="K413" s="590"/>
      <c r="L413" s="590"/>
      <c r="M413" s="590"/>
      <c r="N413" s="590"/>
      <c r="O413" s="590"/>
      <c r="P413" s="590"/>
      <c r="Q413" s="590"/>
      <c r="R413" s="590"/>
      <c r="S413" s="590"/>
      <c r="T413" s="590"/>
      <c r="U413" s="590"/>
      <c r="V413" s="590"/>
      <c r="W413" s="590"/>
      <c r="X413" s="590"/>
      <c r="Y413" s="590"/>
      <c r="Z413" s="590"/>
    </row>
    <row r="414" spans="1:26" ht="15.75" customHeight="1">
      <c r="A414" s="590"/>
      <c r="B414" s="590"/>
      <c r="C414" s="590"/>
      <c r="D414" s="590"/>
      <c r="E414" s="590"/>
      <c r="F414" s="590"/>
      <c r="G414" s="590"/>
      <c r="H414" s="590"/>
      <c r="I414" s="590"/>
      <c r="J414" s="590"/>
      <c r="K414" s="590"/>
      <c r="L414" s="590"/>
      <c r="M414" s="590"/>
      <c r="N414" s="590"/>
      <c r="O414" s="590"/>
      <c r="P414" s="590"/>
      <c r="Q414" s="590"/>
      <c r="R414" s="590"/>
      <c r="S414" s="590"/>
      <c r="T414" s="590"/>
      <c r="U414" s="590"/>
      <c r="V414" s="590"/>
      <c r="W414" s="590"/>
      <c r="X414" s="590"/>
      <c r="Y414" s="590"/>
      <c r="Z414" s="590"/>
    </row>
    <row r="415" spans="1:26" ht="15.75" customHeight="1">
      <c r="A415" s="590"/>
      <c r="B415" s="590"/>
      <c r="C415" s="590"/>
      <c r="D415" s="590"/>
      <c r="E415" s="590"/>
      <c r="F415" s="590"/>
      <c r="G415" s="590"/>
      <c r="H415" s="590"/>
      <c r="I415" s="590"/>
      <c r="J415" s="590"/>
      <c r="K415" s="590"/>
      <c r="L415" s="590"/>
      <c r="M415" s="590"/>
      <c r="N415" s="590"/>
      <c r="O415" s="590"/>
      <c r="P415" s="590"/>
      <c r="Q415" s="590"/>
      <c r="R415" s="590"/>
      <c r="S415" s="590"/>
      <c r="T415" s="590"/>
      <c r="U415" s="590"/>
      <c r="V415" s="590"/>
      <c r="W415" s="590"/>
      <c r="X415" s="590"/>
      <c r="Y415" s="590"/>
      <c r="Z415" s="590"/>
    </row>
    <row r="416" spans="1:26" ht="15.75" customHeight="1">
      <c r="A416" s="590"/>
      <c r="B416" s="590"/>
      <c r="C416" s="590"/>
      <c r="D416" s="590"/>
      <c r="E416" s="590"/>
      <c r="F416" s="590"/>
      <c r="G416" s="590"/>
      <c r="H416" s="590"/>
      <c r="I416" s="590"/>
      <c r="J416" s="590"/>
      <c r="K416" s="590"/>
      <c r="L416" s="590"/>
      <c r="M416" s="590"/>
      <c r="N416" s="590"/>
      <c r="O416" s="590"/>
      <c r="P416" s="590"/>
      <c r="Q416" s="590"/>
      <c r="R416" s="590"/>
      <c r="S416" s="590"/>
      <c r="T416" s="590"/>
      <c r="U416" s="590"/>
      <c r="V416" s="590"/>
      <c r="W416" s="590"/>
      <c r="X416" s="590"/>
      <c r="Y416" s="590"/>
      <c r="Z416" s="590"/>
    </row>
    <row r="417" spans="1:26" ht="15.75" customHeight="1">
      <c r="A417" s="590"/>
      <c r="B417" s="590"/>
      <c r="C417" s="590"/>
      <c r="D417" s="590"/>
      <c r="E417" s="590"/>
      <c r="F417" s="590"/>
      <c r="G417" s="590"/>
      <c r="H417" s="590"/>
      <c r="I417" s="590"/>
      <c r="J417" s="590"/>
      <c r="K417" s="590"/>
      <c r="L417" s="590"/>
      <c r="M417" s="590"/>
      <c r="N417" s="590"/>
      <c r="O417" s="590"/>
      <c r="P417" s="590"/>
      <c r="Q417" s="590"/>
      <c r="R417" s="590"/>
      <c r="S417" s="590"/>
      <c r="T417" s="590"/>
      <c r="U417" s="590"/>
      <c r="V417" s="590"/>
      <c r="W417" s="590"/>
      <c r="X417" s="590"/>
      <c r="Y417" s="590"/>
      <c r="Z417" s="590"/>
    </row>
    <row r="418" spans="1:26" ht="15.75" customHeight="1">
      <c r="A418" s="590"/>
      <c r="B418" s="590"/>
      <c r="C418" s="590"/>
      <c r="D418" s="590"/>
      <c r="E418" s="590"/>
      <c r="F418" s="590"/>
      <c r="G418" s="590"/>
      <c r="H418" s="590"/>
      <c r="I418" s="590"/>
      <c r="J418" s="590"/>
      <c r="K418" s="590"/>
      <c r="L418" s="590"/>
      <c r="M418" s="590"/>
      <c r="N418" s="590"/>
      <c r="O418" s="590"/>
      <c r="P418" s="590"/>
      <c r="Q418" s="590"/>
      <c r="R418" s="590"/>
      <c r="S418" s="590"/>
      <c r="T418" s="590"/>
      <c r="U418" s="590"/>
      <c r="V418" s="590"/>
      <c r="W418" s="590"/>
      <c r="X418" s="590"/>
      <c r="Y418" s="590"/>
      <c r="Z418" s="590"/>
    </row>
    <row r="419" spans="1:26" ht="15.75" customHeight="1">
      <c r="A419" s="590"/>
      <c r="B419" s="590"/>
      <c r="C419" s="590"/>
      <c r="D419" s="590"/>
      <c r="E419" s="590"/>
      <c r="F419" s="590"/>
      <c r="G419" s="590"/>
      <c r="H419" s="590"/>
      <c r="I419" s="590"/>
      <c r="J419" s="590"/>
      <c r="K419" s="590"/>
      <c r="L419" s="590"/>
      <c r="M419" s="590"/>
      <c r="N419" s="590"/>
      <c r="O419" s="590"/>
      <c r="P419" s="590"/>
      <c r="Q419" s="590"/>
      <c r="R419" s="590"/>
      <c r="S419" s="590"/>
      <c r="T419" s="590"/>
      <c r="U419" s="590"/>
      <c r="V419" s="590"/>
      <c r="W419" s="590"/>
      <c r="X419" s="590"/>
      <c r="Y419" s="590"/>
      <c r="Z419" s="590"/>
    </row>
    <row r="420" spans="1:26" ht="15.75" customHeight="1">
      <c r="A420" s="590"/>
      <c r="B420" s="590"/>
      <c r="C420" s="590"/>
      <c r="D420" s="590"/>
      <c r="E420" s="590"/>
      <c r="F420" s="590"/>
      <c r="G420" s="590"/>
      <c r="H420" s="590"/>
      <c r="I420" s="590"/>
      <c r="J420" s="590"/>
      <c r="K420" s="590"/>
      <c r="L420" s="590"/>
      <c r="M420" s="590"/>
      <c r="N420" s="590"/>
      <c r="O420" s="590"/>
      <c r="P420" s="590"/>
      <c r="Q420" s="590"/>
      <c r="R420" s="590"/>
      <c r="S420" s="590"/>
      <c r="T420" s="590"/>
      <c r="U420" s="590"/>
      <c r="V420" s="590"/>
      <c r="W420" s="590"/>
      <c r="X420" s="590"/>
      <c r="Y420" s="590"/>
      <c r="Z420" s="590"/>
    </row>
    <row r="421" spans="1:26" ht="15.75" customHeight="1">
      <c r="A421" s="590"/>
      <c r="B421" s="590"/>
      <c r="C421" s="590"/>
      <c r="D421" s="590"/>
      <c r="E421" s="590"/>
      <c r="F421" s="590"/>
      <c r="G421" s="590"/>
      <c r="H421" s="590"/>
      <c r="I421" s="590"/>
      <c r="J421" s="590"/>
      <c r="K421" s="590"/>
      <c r="L421" s="590"/>
      <c r="M421" s="590"/>
      <c r="N421" s="590"/>
      <c r="O421" s="590"/>
      <c r="P421" s="590"/>
      <c r="Q421" s="590"/>
      <c r="R421" s="590"/>
      <c r="S421" s="590"/>
      <c r="T421" s="590"/>
      <c r="U421" s="590"/>
      <c r="V421" s="590"/>
      <c r="W421" s="590"/>
      <c r="X421" s="590"/>
      <c r="Y421" s="590"/>
      <c r="Z421" s="590"/>
    </row>
    <row r="422" spans="1:26" ht="15.75" customHeight="1">
      <c r="A422" s="590"/>
      <c r="B422" s="590"/>
      <c r="C422" s="590"/>
      <c r="D422" s="590"/>
      <c r="E422" s="590"/>
      <c r="F422" s="590"/>
      <c r="G422" s="590"/>
      <c r="H422" s="590"/>
      <c r="I422" s="590"/>
      <c r="J422" s="590"/>
      <c r="K422" s="590"/>
      <c r="L422" s="590"/>
      <c r="M422" s="590"/>
      <c r="N422" s="590"/>
      <c r="O422" s="590"/>
      <c r="P422" s="590"/>
      <c r="Q422" s="590"/>
      <c r="R422" s="590"/>
      <c r="S422" s="590"/>
      <c r="T422" s="590"/>
      <c r="U422" s="590"/>
      <c r="V422" s="590"/>
      <c r="W422" s="590"/>
      <c r="X422" s="590"/>
      <c r="Y422" s="590"/>
      <c r="Z422" s="590"/>
    </row>
    <row r="423" spans="1:26" ht="15.75" customHeight="1">
      <c r="A423" s="590"/>
      <c r="B423" s="590"/>
      <c r="C423" s="590"/>
      <c r="D423" s="590"/>
      <c r="E423" s="590"/>
      <c r="F423" s="590"/>
      <c r="G423" s="590"/>
      <c r="H423" s="590"/>
      <c r="I423" s="590"/>
      <c r="J423" s="590"/>
      <c r="K423" s="590"/>
      <c r="L423" s="590"/>
      <c r="M423" s="590"/>
      <c r="N423" s="590"/>
      <c r="O423" s="590"/>
      <c r="P423" s="590"/>
      <c r="Q423" s="590"/>
      <c r="R423" s="590"/>
      <c r="S423" s="590"/>
      <c r="T423" s="590"/>
      <c r="U423" s="590"/>
      <c r="V423" s="590"/>
      <c r="W423" s="590"/>
      <c r="X423" s="590"/>
      <c r="Y423" s="590"/>
      <c r="Z423" s="590"/>
    </row>
    <row r="424" spans="1:26" ht="15.75" customHeight="1">
      <c r="A424" s="590"/>
      <c r="B424" s="590"/>
      <c r="C424" s="590"/>
      <c r="D424" s="590"/>
      <c r="E424" s="590"/>
      <c r="F424" s="590"/>
      <c r="G424" s="590"/>
      <c r="H424" s="590"/>
      <c r="I424" s="590"/>
      <c r="J424" s="590"/>
      <c r="K424" s="590"/>
      <c r="L424" s="590"/>
      <c r="M424" s="590"/>
      <c r="N424" s="590"/>
      <c r="O424" s="590"/>
      <c r="P424" s="590"/>
      <c r="Q424" s="590"/>
      <c r="R424" s="590"/>
      <c r="S424" s="590"/>
      <c r="T424" s="590"/>
      <c r="U424" s="590"/>
      <c r="V424" s="590"/>
      <c r="W424" s="590"/>
      <c r="X424" s="590"/>
      <c r="Y424" s="590"/>
      <c r="Z424" s="590"/>
    </row>
    <row r="425" spans="1:26" ht="15.75" customHeight="1">
      <c r="A425" s="590"/>
      <c r="B425" s="590"/>
      <c r="C425" s="590"/>
      <c r="D425" s="590"/>
      <c r="E425" s="590"/>
      <c r="F425" s="590"/>
      <c r="G425" s="590"/>
      <c r="H425" s="590"/>
      <c r="I425" s="590"/>
      <c r="J425" s="590"/>
      <c r="K425" s="590"/>
      <c r="L425" s="590"/>
      <c r="M425" s="590"/>
      <c r="N425" s="590"/>
      <c r="O425" s="590"/>
      <c r="P425" s="590"/>
      <c r="Q425" s="590"/>
      <c r="R425" s="590"/>
      <c r="S425" s="590"/>
      <c r="T425" s="590"/>
      <c r="U425" s="590"/>
      <c r="V425" s="590"/>
      <c r="W425" s="590"/>
      <c r="X425" s="590"/>
      <c r="Y425" s="590"/>
      <c r="Z425" s="590"/>
    </row>
    <row r="426" spans="1:26" ht="15.75" customHeight="1">
      <c r="A426" s="590"/>
      <c r="B426" s="590"/>
      <c r="C426" s="590"/>
      <c r="D426" s="590"/>
      <c r="E426" s="590"/>
      <c r="F426" s="590"/>
      <c r="G426" s="590"/>
      <c r="H426" s="590"/>
      <c r="I426" s="590"/>
      <c r="J426" s="590"/>
      <c r="K426" s="590"/>
      <c r="L426" s="590"/>
      <c r="M426" s="590"/>
      <c r="N426" s="590"/>
      <c r="O426" s="590"/>
      <c r="P426" s="590"/>
      <c r="Q426" s="590"/>
      <c r="R426" s="590"/>
      <c r="S426" s="590"/>
      <c r="T426" s="590"/>
      <c r="U426" s="590"/>
      <c r="V426" s="590"/>
      <c r="W426" s="590"/>
      <c r="X426" s="590"/>
      <c r="Y426" s="590"/>
      <c r="Z426" s="590"/>
    </row>
    <row r="427" spans="1:26" ht="15.75" customHeight="1">
      <c r="A427" s="590"/>
      <c r="B427" s="590"/>
      <c r="C427" s="590"/>
      <c r="D427" s="590"/>
      <c r="E427" s="590"/>
      <c r="F427" s="590"/>
      <c r="G427" s="590"/>
      <c r="H427" s="590"/>
      <c r="I427" s="590"/>
      <c r="J427" s="590"/>
      <c r="K427" s="590"/>
      <c r="L427" s="590"/>
      <c r="M427" s="590"/>
      <c r="N427" s="590"/>
      <c r="O427" s="590"/>
      <c r="P427" s="590"/>
      <c r="Q427" s="590"/>
      <c r="R427" s="590"/>
      <c r="S427" s="590"/>
      <c r="T427" s="590"/>
      <c r="U427" s="590"/>
      <c r="V427" s="590"/>
      <c r="W427" s="590"/>
      <c r="X427" s="590"/>
      <c r="Y427" s="590"/>
      <c r="Z427" s="590"/>
    </row>
    <row r="428" spans="1:26" ht="15.75" customHeight="1">
      <c r="A428" s="590"/>
      <c r="B428" s="590"/>
      <c r="C428" s="590"/>
      <c r="D428" s="590"/>
      <c r="E428" s="590"/>
      <c r="F428" s="590"/>
      <c r="G428" s="590"/>
      <c r="H428" s="590"/>
      <c r="I428" s="590"/>
      <c r="J428" s="590"/>
      <c r="K428" s="590"/>
      <c r="L428" s="590"/>
      <c r="M428" s="590"/>
      <c r="N428" s="590"/>
      <c r="O428" s="590"/>
      <c r="P428" s="590"/>
      <c r="Q428" s="590"/>
      <c r="R428" s="590"/>
      <c r="S428" s="590"/>
      <c r="T428" s="590"/>
      <c r="U428" s="590"/>
      <c r="V428" s="590"/>
      <c r="W428" s="590"/>
      <c r="X428" s="590"/>
      <c r="Y428" s="590"/>
      <c r="Z428" s="590"/>
    </row>
    <row r="429" spans="1:26" ht="15.75" customHeight="1">
      <c r="A429" s="590"/>
      <c r="B429" s="590"/>
      <c r="C429" s="590"/>
      <c r="D429" s="590"/>
      <c r="E429" s="590"/>
      <c r="F429" s="590"/>
      <c r="G429" s="590"/>
      <c r="H429" s="590"/>
      <c r="I429" s="590"/>
      <c r="J429" s="590"/>
      <c r="K429" s="590"/>
      <c r="L429" s="590"/>
      <c r="M429" s="590"/>
      <c r="N429" s="590"/>
      <c r="O429" s="590"/>
      <c r="P429" s="590"/>
      <c r="Q429" s="590"/>
      <c r="R429" s="590"/>
      <c r="S429" s="590"/>
      <c r="T429" s="590"/>
      <c r="U429" s="590"/>
      <c r="V429" s="590"/>
      <c r="W429" s="590"/>
      <c r="X429" s="590"/>
      <c r="Y429" s="590"/>
      <c r="Z429" s="590"/>
    </row>
    <row r="430" spans="1:26" ht="15.75" customHeight="1">
      <c r="A430" s="590"/>
      <c r="B430" s="590"/>
      <c r="C430" s="590"/>
      <c r="D430" s="590"/>
      <c r="E430" s="590"/>
      <c r="F430" s="590"/>
      <c r="G430" s="590"/>
      <c r="H430" s="590"/>
      <c r="I430" s="590"/>
      <c r="J430" s="590"/>
      <c r="K430" s="590"/>
      <c r="L430" s="590"/>
      <c r="M430" s="590"/>
      <c r="N430" s="590"/>
      <c r="O430" s="590"/>
      <c r="P430" s="590"/>
      <c r="Q430" s="590"/>
      <c r="R430" s="590"/>
      <c r="S430" s="590"/>
      <c r="T430" s="590"/>
      <c r="U430" s="590"/>
      <c r="V430" s="590"/>
      <c r="W430" s="590"/>
      <c r="X430" s="590"/>
      <c r="Y430" s="590"/>
      <c r="Z430" s="590"/>
    </row>
    <row r="431" spans="1:26" ht="15.75" customHeight="1">
      <c r="A431" s="590"/>
      <c r="B431" s="590"/>
      <c r="C431" s="590"/>
      <c r="D431" s="590"/>
      <c r="E431" s="590"/>
      <c r="F431" s="590"/>
      <c r="G431" s="590"/>
      <c r="H431" s="590"/>
      <c r="I431" s="590"/>
      <c r="J431" s="590"/>
      <c r="K431" s="590"/>
      <c r="L431" s="590"/>
      <c r="M431" s="590"/>
      <c r="N431" s="590"/>
      <c r="O431" s="590"/>
      <c r="P431" s="590"/>
      <c r="Q431" s="590"/>
      <c r="R431" s="590"/>
      <c r="S431" s="590"/>
      <c r="T431" s="590"/>
      <c r="U431" s="590"/>
      <c r="V431" s="590"/>
      <c r="W431" s="590"/>
      <c r="X431" s="590"/>
      <c r="Y431" s="590"/>
      <c r="Z431" s="590"/>
    </row>
    <row r="432" spans="1:26" ht="15.75" customHeight="1">
      <c r="A432" s="590"/>
      <c r="B432" s="590"/>
      <c r="C432" s="590"/>
      <c r="D432" s="590"/>
      <c r="E432" s="590"/>
      <c r="F432" s="590"/>
      <c r="G432" s="590"/>
      <c r="H432" s="590"/>
      <c r="I432" s="590"/>
      <c r="J432" s="590"/>
      <c r="K432" s="590"/>
      <c r="L432" s="590"/>
      <c r="M432" s="590"/>
      <c r="N432" s="590"/>
      <c r="O432" s="590"/>
      <c r="P432" s="590"/>
      <c r="Q432" s="590"/>
      <c r="R432" s="590"/>
      <c r="S432" s="590"/>
      <c r="T432" s="590"/>
      <c r="U432" s="590"/>
      <c r="V432" s="590"/>
      <c r="W432" s="590"/>
      <c r="X432" s="590"/>
      <c r="Y432" s="590"/>
      <c r="Z432" s="590"/>
    </row>
    <row r="433" spans="1:26" ht="15.75" customHeight="1">
      <c r="A433" s="590"/>
      <c r="B433" s="590"/>
      <c r="C433" s="590"/>
      <c r="D433" s="590"/>
      <c r="E433" s="590"/>
      <c r="F433" s="590"/>
      <c r="G433" s="590"/>
      <c r="H433" s="590"/>
      <c r="I433" s="590"/>
      <c r="J433" s="590"/>
      <c r="K433" s="590"/>
      <c r="L433" s="590"/>
      <c r="M433" s="590"/>
      <c r="N433" s="590"/>
      <c r="O433" s="590"/>
      <c r="P433" s="590"/>
      <c r="Q433" s="590"/>
      <c r="R433" s="590"/>
      <c r="S433" s="590"/>
      <c r="T433" s="590"/>
      <c r="U433" s="590"/>
      <c r="V433" s="590"/>
      <c r="W433" s="590"/>
      <c r="X433" s="590"/>
      <c r="Y433" s="590"/>
      <c r="Z433" s="590"/>
    </row>
    <row r="434" spans="1:26" ht="15.75" customHeight="1">
      <c r="A434" s="590"/>
      <c r="B434" s="590"/>
      <c r="C434" s="590"/>
      <c r="D434" s="590"/>
      <c r="E434" s="590"/>
      <c r="F434" s="590"/>
      <c r="G434" s="590"/>
      <c r="H434" s="590"/>
      <c r="I434" s="590"/>
      <c r="J434" s="590"/>
      <c r="K434" s="590"/>
      <c r="L434" s="590"/>
      <c r="M434" s="590"/>
      <c r="N434" s="590"/>
      <c r="O434" s="590"/>
      <c r="P434" s="590"/>
      <c r="Q434" s="590"/>
      <c r="R434" s="590"/>
      <c r="S434" s="590"/>
      <c r="T434" s="590"/>
      <c r="U434" s="590"/>
      <c r="V434" s="590"/>
      <c r="W434" s="590"/>
      <c r="X434" s="590"/>
      <c r="Y434" s="590"/>
      <c r="Z434" s="590"/>
    </row>
    <row r="435" spans="1:26" ht="15.75" customHeight="1">
      <c r="A435" s="590"/>
      <c r="B435" s="590"/>
      <c r="C435" s="590"/>
      <c r="D435" s="590"/>
      <c r="E435" s="590"/>
      <c r="F435" s="590"/>
      <c r="G435" s="590"/>
      <c r="H435" s="590"/>
      <c r="I435" s="590"/>
      <c r="J435" s="590"/>
      <c r="K435" s="590"/>
      <c r="L435" s="590"/>
      <c r="M435" s="590"/>
      <c r="N435" s="590"/>
      <c r="O435" s="590"/>
      <c r="P435" s="590"/>
      <c r="Q435" s="590"/>
      <c r="R435" s="590"/>
      <c r="S435" s="590"/>
      <c r="T435" s="590"/>
      <c r="U435" s="590"/>
      <c r="V435" s="590"/>
      <c r="W435" s="590"/>
      <c r="X435" s="590"/>
      <c r="Y435" s="590"/>
      <c r="Z435" s="590"/>
    </row>
    <row r="436" spans="1:26" ht="15.75" customHeight="1">
      <c r="A436" s="590"/>
      <c r="B436" s="590"/>
      <c r="C436" s="590"/>
      <c r="D436" s="590"/>
      <c r="E436" s="590"/>
      <c r="F436" s="590"/>
      <c r="G436" s="590"/>
      <c r="H436" s="590"/>
      <c r="I436" s="590"/>
      <c r="J436" s="590"/>
      <c r="K436" s="590"/>
      <c r="L436" s="590"/>
      <c r="M436" s="590"/>
      <c r="N436" s="590"/>
      <c r="O436" s="590"/>
      <c r="P436" s="590"/>
      <c r="Q436" s="590"/>
      <c r="R436" s="590"/>
      <c r="S436" s="590"/>
      <c r="T436" s="590"/>
      <c r="U436" s="590"/>
      <c r="V436" s="590"/>
      <c r="W436" s="590"/>
      <c r="X436" s="590"/>
      <c r="Y436" s="590"/>
      <c r="Z436" s="590"/>
    </row>
    <row r="437" spans="1:26" ht="15.75" customHeight="1">
      <c r="A437" s="590"/>
      <c r="B437" s="590"/>
      <c r="C437" s="590"/>
      <c r="D437" s="590"/>
      <c r="E437" s="590"/>
      <c r="F437" s="590"/>
      <c r="G437" s="590"/>
      <c r="H437" s="590"/>
      <c r="I437" s="590"/>
      <c r="J437" s="590"/>
      <c r="K437" s="590"/>
      <c r="L437" s="590"/>
      <c r="M437" s="590"/>
      <c r="N437" s="590"/>
      <c r="O437" s="590"/>
      <c r="P437" s="590"/>
      <c r="Q437" s="590"/>
      <c r="R437" s="590"/>
      <c r="S437" s="590"/>
      <c r="T437" s="590"/>
      <c r="U437" s="590"/>
      <c r="V437" s="590"/>
      <c r="W437" s="590"/>
      <c r="X437" s="590"/>
      <c r="Y437" s="590"/>
      <c r="Z437" s="590"/>
    </row>
    <row r="438" spans="1:26" ht="15.75" customHeight="1">
      <c r="A438" s="590"/>
      <c r="B438" s="590"/>
      <c r="C438" s="590"/>
      <c r="D438" s="590"/>
      <c r="E438" s="590"/>
      <c r="F438" s="590"/>
      <c r="G438" s="590"/>
      <c r="H438" s="590"/>
      <c r="I438" s="590"/>
      <c r="J438" s="590"/>
      <c r="K438" s="590"/>
      <c r="L438" s="590"/>
      <c r="M438" s="590"/>
      <c r="N438" s="590"/>
      <c r="O438" s="590"/>
      <c r="P438" s="590"/>
      <c r="Q438" s="590"/>
      <c r="R438" s="590"/>
      <c r="S438" s="590"/>
      <c r="T438" s="590"/>
      <c r="U438" s="590"/>
      <c r="V438" s="590"/>
      <c r="W438" s="590"/>
      <c r="X438" s="590"/>
      <c r="Y438" s="590"/>
      <c r="Z438" s="590"/>
    </row>
    <row r="439" spans="1:26" ht="15.75" customHeight="1">
      <c r="A439" s="590"/>
      <c r="B439" s="590"/>
      <c r="C439" s="590"/>
      <c r="D439" s="590"/>
      <c r="E439" s="590"/>
      <c r="F439" s="590"/>
      <c r="G439" s="590"/>
      <c r="H439" s="590"/>
      <c r="I439" s="590"/>
      <c r="J439" s="590"/>
      <c r="K439" s="590"/>
      <c r="L439" s="590"/>
      <c r="M439" s="590"/>
      <c r="N439" s="590"/>
      <c r="O439" s="590"/>
      <c r="P439" s="590"/>
      <c r="Q439" s="590"/>
      <c r="R439" s="590"/>
      <c r="S439" s="590"/>
      <c r="T439" s="590"/>
      <c r="U439" s="590"/>
      <c r="V439" s="590"/>
      <c r="W439" s="590"/>
      <c r="X439" s="590"/>
      <c r="Y439" s="590"/>
      <c r="Z439" s="590"/>
    </row>
    <row r="440" spans="1:26" ht="15.75" customHeight="1">
      <c r="A440" s="590"/>
      <c r="B440" s="590"/>
      <c r="C440" s="590"/>
      <c r="D440" s="590"/>
      <c r="E440" s="590"/>
      <c r="F440" s="590"/>
      <c r="G440" s="590"/>
      <c r="H440" s="590"/>
      <c r="I440" s="590"/>
      <c r="J440" s="590"/>
      <c r="K440" s="590"/>
      <c r="L440" s="590"/>
      <c r="M440" s="590"/>
      <c r="N440" s="590"/>
      <c r="O440" s="590"/>
      <c r="P440" s="590"/>
      <c r="Q440" s="590"/>
      <c r="R440" s="590"/>
      <c r="S440" s="590"/>
      <c r="T440" s="590"/>
      <c r="U440" s="590"/>
      <c r="V440" s="590"/>
      <c r="W440" s="590"/>
      <c r="X440" s="590"/>
      <c r="Y440" s="590"/>
      <c r="Z440" s="590"/>
    </row>
    <row r="441" spans="1:26" ht="15.75" customHeight="1">
      <c r="A441" s="590"/>
      <c r="B441" s="590"/>
      <c r="C441" s="590"/>
      <c r="D441" s="590"/>
      <c r="E441" s="590"/>
      <c r="F441" s="590"/>
      <c r="G441" s="590"/>
      <c r="H441" s="590"/>
      <c r="I441" s="590"/>
      <c r="J441" s="590"/>
      <c r="K441" s="590"/>
      <c r="L441" s="590"/>
      <c r="M441" s="590"/>
      <c r="N441" s="590"/>
      <c r="O441" s="590"/>
      <c r="P441" s="590"/>
      <c r="Q441" s="590"/>
      <c r="R441" s="590"/>
      <c r="S441" s="590"/>
      <c r="T441" s="590"/>
      <c r="U441" s="590"/>
      <c r="V441" s="590"/>
      <c r="W441" s="590"/>
      <c r="X441" s="590"/>
      <c r="Y441" s="590"/>
      <c r="Z441" s="590"/>
    </row>
    <row r="442" spans="1:26" ht="15.75" customHeight="1">
      <c r="A442" s="590"/>
      <c r="B442" s="590"/>
      <c r="C442" s="590"/>
      <c r="D442" s="590"/>
      <c r="E442" s="590"/>
      <c r="F442" s="590"/>
      <c r="G442" s="590"/>
      <c r="H442" s="590"/>
      <c r="I442" s="590"/>
      <c r="J442" s="590"/>
      <c r="K442" s="590"/>
      <c r="L442" s="590"/>
      <c r="M442" s="590"/>
      <c r="N442" s="590"/>
      <c r="O442" s="590"/>
      <c r="P442" s="590"/>
      <c r="Q442" s="590"/>
      <c r="R442" s="590"/>
      <c r="S442" s="590"/>
      <c r="T442" s="590"/>
      <c r="U442" s="590"/>
      <c r="V442" s="590"/>
      <c r="W442" s="590"/>
      <c r="X442" s="590"/>
      <c r="Y442" s="590"/>
      <c r="Z442" s="590"/>
    </row>
    <row r="443" spans="1:26" ht="15.75" customHeight="1">
      <c r="A443" s="590"/>
      <c r="B443" s="590"/>
      <c r="C443" s="590"/>
      <c r="D443" s="590"/>
      <c r="E443" s="590"/>
      <c r="F443" s="590"/>
      <c r="G443" s="590"/>
      <c r="H443" s="590"/>
      <c r="I443" s="590"/>
      <c r="J443" s="590"/>
      <c r="K443" s="590"/>
      <c r="L443" s="590"/>
      <c r="M443" s="590"/>
      <c r="N443" s="590"/>
      <c r="O443" s="590"/>
      <c r="P443" s="590"/>
      <c r="Q443" s="590"/>
      <c r="R443" s="590"/>
      <c r="S443" s="590"/>
      <c r="T443" s="590"/>
      <c r="U443" s="590"/>
      <c r="V443" s="590"/>
      <c r="W443" s="590"/>
      <c r="X443" s="590"/>
      <c r="Y443" s="590"/>
      <c r="Z443" s="590"/>
    </row>
    <row r="444" spans="1:26" ht="15.75" customHeight="1">
      <c r="A444" s="590"/>
      <c r="B444" s="590"/>
      <c r="C444" s="590"/>
      <c r="D444" s="590"/>
      <c r="E444" s="590"/>
      <c r="F444" s="590"/>
      <c r="G444" s="590"/>
      <c r="H444" s="590"/>
      <c r="I444" s="590"/>
      <c r="J444" s="590"/>
      <c r="K444" s="590"/>
      <c r="L444" s="590"/>
      <c r="M444" s="590"/>
      <c r="N444" s="590"/>
      <c r="O444" s="590"/>
      <c r="P444" s="590"/>
      <c r="Q444" s="590"/>
      <c r="R444" s="590"/>
      <c r="S444" s="590"/>
      <c r="T444" s="590"/>
      <c r="U444" s="590"/>
      <c r="V444" s="590"/>
      <c r="W444" s="590"/>
      <c r="X444" s="590"/>
      <c r="Y444" s="590"/>
      <c r="Z444" s="590"/>
    </row>
    <row r="445" spans="1:26" ht="15.75" customHeight="1">
      <c r="A445" s="590"/>
      <c r="B445" s="590"/>
      <c r="C445" s="590"/>
      <c r="D445" s="590"/>
      <c r="E445" s="590"/>
      <c r="F445" s="590"/>
      <c r="G445" s="590"/>
      <c r="H445" s="590"/>
      <c r="I445" s="590"/>
      <c r="J445" s="590"/>
      <c r="K445" s="590"/>
      <c r="L445" s="590"/>
      <c r="M445" s="590"/>
      <c r="N445" s="590"/>
      <c r="O445" s="590"/>
      <c r="P445" s="590"/>
      <c r="Q445" s="590"/>
      <c r="R445" s="590"/>
      <c r="S445" s="590"/>
      <c r="T445" s="590"/>
      <c r="U445" s="590"/>
      <c r="V445" s="590"/>
      <c r="W445" s="590"/>
      <c r="X445" s="590"/>
      <c r="Y445" s="590"/>
      <c r="Z445" s="590"/>
    </row>
    <row r="446" spans="1:26" ht="15.75" customHeight="1">
      <c r="A446" s="590"/>
      <c r="B446" s="590"/>
      <c r="C446" s="590"/>
      <c r="D446" s="590"/>
      <c r="E446" s="590"/>
      <c r="F446" s="590"/>
      <c r="G446" s="590"/>
      <c r="H446" s="590"/>
      <c r="I446" s="590"/>
      <c r="J446" s="590"/>
      <c r="K446" s="590"/>
      <c r="L446" s="590"/>
      <c r="M446" s="590"/>
      <c r="N446" s="590"/>
      <c r="O446" s="590"/>
      <c r="P446" s="590"/>
      <c r="Q446" s="590"/>
      <c r="R446" s="590"/>
      <c r="S446" s="590"/>
      <c r="T446" s="590"/>
      <c r="U446" s="590"/>
      <c r="V446" s="590"/>
      <c r="W446" s="590"/>
      <c r="X446" s="590"/>
      <c r="Y446" s="590"/>
      <c r="Z446" s="590"/>
    </row>
    <row r="447" spans="1:26" ht="15.75" customHeight="1">
      <c r="A447" s="590"/>
      <c r="B447" s="590"/>
      <c r="C447" s="590"/>
      <c r="D447" s="590"/>
      <c r="E447" s="590"/>
      <c r="F447" s="590"/>
      <c r="G447" s="590"/>
      <c r="H447" s="590"/>
      <c r="I447" s="590"/>
      <c r="J447" s="590"/>
      <c r="K447" s="590"/>
      <c r="L447" s="590"/>
      <c r="M447" s="590"/>
      <c r="N447" s="590"/>
      <c r="O447" s="590"/>
      <c r="P447" s="590"/>
      <c r="Q447" s="590"/>
      <c r="R447" s="590"/>
      <c r="S447" s="590"/>
      <c r="T447" s="590"/>
      <c r="U447" s="590"/>
      <c r="V447" s="590"/>
      <c r="W447" s="590"/>
      <c r="X447" s="590"/>
      <c r="Y447" s="590"/>
      <c r="Z447" s="590"/>
    </row>
    <row r="448" spans="1:26" ht="15.75" customHeight="1">
      <c r="A448" s="590"/>
      <c r="B448" s="590"/>
      <c r="C448" s="590"/>
      <c r="D448" s="590"/>
      <c r="E448" s="590"/>
      <c r="F448" s="590"/>
      <c r="G448" s="590"/>
      <c r="H448" s="590"/>
      <c r="I448" s="590"/>
      <c r="J448" s="590"/>
      <c r="K448" s="590"/>
      <c r="L448" s="590"/>
      <c r="M448" s="590"/>
      <c r="N448" s="590"/>
      <c r="O448" s="590"/>
      <c r="P448" s="590"/>
      <c r="Q448" s="590"/>
      <c r="R448" s="590"/>
      <c r="S448" s="590"/>
      <c r="T448" s="590"/>
      <c r="U448" s="590"/>
      <c r="V448" s="590"/>
      <c r="W448" s="590"/>
      <c r="X448" s="590"/>
      <c r="Y448" s="590"/>
      <c r="Z448" s="590"/>
    </row>
    <row r="449" spans="1:26" ht="15.75" customHeight="1">
      <c r="A449" s="590"/>
      <c r="B449" s="590"/>
      <c r="C449" s="590"/>
      <c r="D449" s="590"/>
      <c r="E449" s="590"/>
      <c r="F449" s="590"/>
      <c r="G449" s="590"/>
      <c r="H449" s="590"/>
      <c r="I449" s="590"/>
      <c r="J449" s="590"/>
      <c r="K449" s="590"/>
      <c r="L449" s="590"/>
      <c r="M449" s="590"/>
      <c r="N449" s="590"/>
      <c r="O449" s="590"/>
      <c r="P449" s="590"/>
      <c r="Q449" s="590"/>
      <c r="R449" s="590"/>
      <c r="S449" s="590"/>
      <c r="T449" s="590"/>
      <c r="U449" s="590"/>
      <c r="V449" s="590"/>
      <c r="W449" s="590"/>
      <c r="X449" s="590"/>
      <c r="Y449" s="590"/>
      <c r="Z449" s="590"/>
    </row>
    <row r="450" spans="1:26" ht="15.75" customHeight="1">
      <c r="A450" s="590"/>
      <c r="B450" s="590"/>
      <c r="C450" s="590"/>
      <c r="D450" s="590"/>
      <c r="E450" s="590"/>
      <c r="F450" s="590"/>
      <c r="G450" s="590"/>
      <c r="H450" s="590"/>
      <c r="I450" s="590"/>
      <c r="J450" s="590"/>
      <c r="K450" s="590"/>
      <c r="L450" s="590"/>
      <c r="M450" s="590"/>
      <c r="N450" s="590"/>
      <c r="O450" s="590"/>
      <c r="P450" s="590"/>
      <c r="Q450" s="590"/>
      <c r="R450" s="590"/>
      <c r="S450" s="590"/>
      <c r="T450" s="590"/>
      <c r="U450" s="590"/>
      <c r="V450" s="590"/>
      <c r="W450" s="590"/>
      <c r="X450" s="590"/>
      <c r="Y450" s="590"/>
      <c r="Z450" s="590"/>
    </row>
    <row r="451" spans="1:26" ht="15.75" customHeight="1">
      <c r="A451" s="590"/>
      <c r="B451" s="590"/>
      <c r="C451" s="590"/>
      <c r="D451" s="590"/>
      <c r="E451" s="590"/>
      <c r="F451" s="590"/>
      <c r="G451" s="590"/>
      <c r="H451" s="590"/>
      <c r="I451" s="590"/>
      <c r="J451" s="590"/>
      <c r="K451" s="590"/>
      <c r="L451" s="590"/>
      <c r="M451" s="590"/>
      <c r="N451" s="590"/>
      <c r="O451" s="590"/>
      <c r="P451" s="590"/>
      <c r="Q451" s="590"/>
      <c r="R451" s="590"/>
      <c r="S451" s="590"/>
      <c r="T451" s="590"/>
      <c r="U451" s="590"/>
      <c r="V451" s="590"/>
      <c r="W451" s="590"/>
      <c r="X451" s="590"/>
      <c r="Y451" s="590"/>
      <c r="Z451" s="590"/>
    </row>
    <row r="452" spans="1:26" ht="15.75" customHeight="1">
      <c r="A452" s="590"/>
      <c r="B452" s="590"/>
      <c r="C452" s="590"/>
      <c r="D452" s="590"/>
      <c r="E452" s="590"/>
      <c r="F452" s="590"/>
      <c r="G452" s="590"/>
      <c r="H452" s="590"/>
      <c r="I452" s="590"/>
      <c r="J452" s="590"/>
      <c r="K452" s="590"/>
      <c r="L452" s="590"/>
      <c r="M452" s="590"/>
      <c r="N452" s="590"/>
      <c r="O452" s="590"/>
      <c r="P452" s="590"/>
      <c r="Q452" s="590"/>
      <c r="R452" s="590"/>
      <c r="S452" s="590"/>
      <c r="T452" s="590"/>
      <c r="U452" s="590"/>
      <c r="V452" s="590"/>
      <c r="W452" s="590"/>
      <c r="X452" s="590"/>
      <c r="Y452" s="590"/>
      <c r="Z452" s="590"/>
    </row>
    <row r="453" spans="1:26" ht="15.75" customHeight="1">
      <c r="A453" s="590"/>
      <c r="B453" s="590"/>
      <c r="C453" s="590"/>
      <c r="D453" s="590"/>
      <c r="E453" s="590"/>
      <c r="F453" s="590"/>
      <c r="G453" s="590"/>
      <c r="H453" s="590"/>
      <c r="I453" s="590"/>
      <c r="J453" s="590"/>
      <c r="K453" s="590"/>
      <c r="L453" s="590"/>
      <c r="M453" s="590"/>
      <c r="N453" s="590"/>
      <c r="O453" s="590"/>
      <c r="P453" s="590"/>
      <c r="Q453" s="590"/>
      <c r="R453" s="590"/>
      <c r="S453" s="590"/>
      <c r="T453" s="590"/>
      <c r="U453" s="590"/>
      <c r="V453" s="590"/>
      <c r="W453" s="590"/>
      <c r="X453" s="590"/>
      <c r="Y453" s="590"/>
      <c r="Z453" s="590"/>
    </row>
    <row r="454" spans="1:26" ht="15.75" customHeight="1">
      <c r="A454" s="590"/>
      <c r="B454" s="590"/>
      <c r="C454" s="590"/>
      <c r="D454" s="590"/>
      <c r="E454" s="590"/>
      <c r="F454" s="590"/>
      <c r="G454" s="590"/>
      <c r="H454" s="590"/>
      <c r="I454" s="590"/>
      <c r="J454" s="590"/>
      <c r="K454" s="590"/>
      <c r="L454" s="590"/>
      <c r="M454" s="590"/>
      <c r="N454" s="590"/>
      <c r="O454" s="590"/>
      <c r="P454" s="590"/>
      <c r="Q454" s="590"/>
      <c r="R454" s="590"/>
      <c r="S454" s="590"/>
      <c r="T454" s="590"/>
      <c r="U454" s="590"/>
      <c r="V454" s="590"/>
      <c r="W454" s="590"/>
      <c r="X454" s="590"/>
      <c r="Y454" s="590"/>
      <c r="Z454" s="590"/>
    </row>
    <row r="455" spans="1:26" ht="15.75" customHeight="1">
      <c r="A455" s="590"/>
      <c r="B455" s="590"/>
      <c r="C455" s="590"/>
      <c r="D455" s="590"/>
      <c r="E455" s="590"/>
      <c r="F455" s="590"/>
      <c r="G455" s="590"/>
      <c r="H455" s="590"/>
      <c r="I455" s="590"/>
      <c r="J455" s="590"/>
      <c r="K455" s="590"/>
      <c r="L455" s="590"/>
      <c r="M455" s="590"/>
      <c r="N455" s="590"/>
      <c r="O455" s="590"/>
      <c r="P455" s="590"/>
      <c r="Q455" s="590"/>
      <c r="R455" s="590"/>
      <c r="S455" s="590"/>
      <c r="T455" s="590"/>
      <c r="U455" s="590"/>
      <c r="V455" s="590"/>
      <c r="W455" s="590"/>
      <c r="X455" s="590"/>
      <c r="Y455" s="590"/>
      <c r="Z455" s="590"/>
    </row>
    <row r="456" spans="1:26" ht="15.75" customHeight="1">
      <c r="A456" s="590"/>
      <c r="B456" s="590"/>
      <c r="C456" s="590"/>
      <c r="D456" s="590"/>
      <c r="E456" s="590"/>
      <c r="F456" s="590"/>
      <c r="G456" s="590"/>
      <c r="H456" s="590"/>
      <c r="I456" s="590"/>
      <c r="J456" s="590"/>
      <c r="K456" s="590"/>
      <c r="L456" s="590"/>
      <c r="M456" s="590"/>
      <c r="N456" s="590"/>
      <c r="O456" s="590"/>
      <c r="P456" s="590"/>
      <c r="Q456" s="590"/>
      <c r="R456" s="590"/>
      <c r="S456" s="590"/>
      <c r="T456" s="590"/>
      <c r="U456" s="590"/>
      <c r="V456" s="590"/>
      <c r="W456" s="590"/>
      <c r="X456" s="590"/>
      <c r="Y456" s="590"/>
      <c r="Z456" s="590"/>
    </row>
    <row r="457" spans="1:26" ht="15.75" customHeight="1">
      <c r="A457" s="590"/>
      <c r="B457" s="590"/>
      <c r="C457" s="590"/>
      <c r="D457" s="590"/>
      <c r="E457" s="590"/>
      <c r="F457" s="590"/>
      <c r="G457" s="590"/>
      <c r="H457" s="590"/>
      <c r="I457" s="590"/>
      <c r="J457" s="590"/>
      <c r="K457" s="590"/>
      <c r="L457" s="590"/>
      <c r="M457" s="590"/>
      <c r="N457" s="590"/>
      <c r="O457" s="590"/>
      <c r="P457" s="590"/>
      <c r="Q457" s="590"/>
      <c r="R457" s="590"/>
      <c r="S457" s="590"/>
      <c r="T457" s="590"/>
      <c r="U457" s="590"/>
      <c r="V457" s="590"/>
      <c r="W457" s="590"/>
      <c r="X457" s="590"/>
      <c r="Y457" s="590"/>
      <c r="Z457" s="590"/>
    </row>
    <row r="458" spans="1:26" ht="15.75" customHeight="1">
      <c r="A458" s="590"/>
      <c r="B458" s="590"/>
      <c r="C458" s="590"/>
      <c r="D458" s="590"/>
      <c r="E458" s="590"/>
      <c r="F458" s="590"/>
      <c r="G458" s="590"/>
      <c r="H458" s="590"/>
      <c r="I458" s="590"/>
      <c r="J458" s="590"/>
      <c r="K458" s="590"/>
      <c r="L458" s="590"/>
      <c r="M458" s="590"/>
      <c r="N458" s="590"/>
      <c r="O458" s="590"/>
      <c r="P458" s="590"/>
      <c r="Q458" s="590"/>
      <c r="R458" s="590"/>
      <c r="S458" s="590"/>
      <c r="T458" s="590"/>
      <c r="U458" s="590"/>
      <c r="V458" s="590"/>
      <c r="W458" s="590"/>
      <c r="X458" s="590"/>
      <c r="Y458" s="590"/>
      <c r="Z458" s="590"/>
    </row>
    <row r="459" spans="1:26" ht="15.75" customHeight="1">
      <c r="A459" s="590"/>
      <c r="B459" s="590"/>
      <c r="C459" s="590"/>
      <c r="D459" s="590"/>
      <c r="E459" s="590"/>
      <c r="F459" s="590"/>
      <c r="G459" s="590"/>
      <c r="H459" s="590"/>
      <c r="I459" s="590"/>
      <c r="J459" s="590"/>
      <c r="K459" s="590"/>
      <c r="L459" s="590"/>
      <c r="M459" s="590"/>
      <c r="N459" s="590"/>
      <c r="O459" s="590"/>
      <c r="P459" s="590"/>
      <c r="Q459" s="590"/>
      <c r="R459" s="590"/>
      <c r="S459" s="590"/>
      <c r="T459" s="590"/>
      <c r="U459" s="590"/>
      <c r="V459" s="590"/>
      <c r="W459" s="590"/>
      <c r="X459" s="590"/>
      <c r="Y459" s="590"/>
      <c r="Z459" s="590"/>
    </row>
    <row r="460" spans="1:26" ht="15.75" customHeight="1">
      <c r="A460" s="590"/>
      <c r="B460" s="590"/>
      <c r="C460" s="590"/>
      <c r="D460" s="590"/>
      <c r="E460" s="590"/>
      <c r="F460" s="590"/>
      <c r="G460" s="590"/>
      <c r="H460" s="590"/>
      <c r="I460" s="590"/>
      <c r="J460" s="590"/>
      <c r="K460" s="590"/>
      <c r="L460" s="590"/>
      <c r="M460" s="590"/>
      <c r="N460" s="590"/>
      <c r="O460" s="590"/>
      <c r="P460" s="590"/>
      <c r="Q460" s="590"/>
      <c r="R460" s="590"/>
      <c r="S460" s="590"/>
      <c r="T460" s="590"/>
      <c r="U460" s="590"/>
      <c r="V460" s="590"/>
      <c r="W460" s="590"/>
      <c r="X460" s="590"/>
      <c r="Y460" s="590"/>
      <c r="Z460" s="590"/>
    </row>
    <row r="461" spans="1:26" ht="15.75" customHeight="1">
      <c r="A461" s="590"/>
      <c r="B461" s="590"/>
      <c r="C461" s="590"/>
      <c r="D461" s="590"/>
      <c r="E461" s="590"/>
      <c r="F461" s="590"/>
      <c r="G461" s="590"/>
      <c r="H461" s="590"/>
      <c r="I461" s="590"/>
      <c r="J461" s="590"/>
      <c r="K461" s="590"/>
      <c r="L461" s="590"/>
      <c r="M461" s="590"/>
      <c r="N461" s="590"/>
      <c r="O461" s="590"/>
      <c r="P461" s="590"/>
      <c r="Q461" s="590"/>
      <c r="R461" s="590"/>
      <c r="S461" s="590"/>
      <c r="T461" s="590"/>
      <c r="U461" s="590"/>
      <c r="V461" s="590"/>
      <c r="W461" s="590"/>
      <c r="X461" s="590"/>
      <c r="Y461" s="590"/>
      <c r="Z461" s="590"/>
    </row>
    <row r="462" spans="1:26" ht="15.75" customHeight="1">
      <c r="A462" s="590"/>
      <c r="B462" s="590"/>
      <c r="C462" s="590"/>
      <c r="D462" s="590"/>
      <c r="E462" s="590"/>
      <c r="F462" s="590"/>
      <c r="G462" s="590"/>
      <c r="H462" s="590"/>
      <c r="I462" s="590"/>
      <c r="J462" s="590"/>
      <c r="K462" s="590"/>
      <c r="L462" s="590"/>
      <c r="M462" s="590"/>
      <c r="N462" s="590"/>
      <c r="O462" s="590"/>
      <c r="P462" s="590"/>
      <c r="Q462" s="590"/>
      <c r="R462" s="590"/>
      <c r="S462" s="590"/>
      <c r="T462" s="590"/>
      <c r="U462" s="590"/>
      <c r="V462" s="590"/>
      <c r="W462" s="590"/>
      <c r="X462" s="590"/>
      <c r="Y462" s="590"/>
      <c r="Z462" s="590"/>
    </row>
    <row r="463" spans="1:26" ht="15.75" customHeight="1">
      <c r="A463" s="590"/>
      <c r="B463" s="590"/>
      <c r="C463" s="590"/>
      <c r="D463" s="590"/>
      <c r="E463" s="590"/>
      <c r="F463" s="590"/>
      <c r="G463" s="590"/>
      <c r="H463" s="590"/>
      <c r="I463" s="590"/>
      <c r="J463" s="590"/>
      <c r="K463" s="590"/>
      <c r="L463" s="590"/>
      <c r="M463" s="590"/>
      <c r="N463" s="590"/>
      <c r="O463" s="590"/>
      <c r="P463" s="590"/>
      <c r="Q463" s="590"/>
      <c r="R463" s="590"/>
      <c r="S463" s="590"/>
      <c r="T463" s="590"/>
      <c r="U463" s="590"/>
      <c r="V463" s="590"/>
      <c r="W463" s="590"/>
      <c r="X463" s="590"/>
      <c r="Y463" s="590"/>
      <c r="Z463" s="590"/>
    </row>
    <row r="464" spans="1:26" ht="15.75" customHeight="1">
      <c r="A464" s="590"/>
      <c r="B464" s="590"/>
      <c r="C464" s="590"/>
      <c r="D464" s="590"/>
      <c r="E464" s="590"/>
      <c r="F464" s="590"/>
      <c r="G464" s="590"/>
      <c r="H464" s="590"/>
      <c r="I464" s="590"/>
      <c r="J464" s="590"/>
      <c r="K464" s="590"/>
      <c r="L464" s="590"/>
      <c r="M464" s="590"/>
      <c r="N464" s="590"/>
      <c r="O464" s="590"/>
      <c r="P464" s="590"/>
      <c r="Q464" s="590"/>
      <c r="R464" s="590"/>
      <c r="S464" s="590"/>
      <c r="T464" s="590"/>
      <c r="U464" s="590"/>
      <c r="V464" s="590"/>
      <c r="W464" s="590"/>
      <c r="X464" s="590"/>
      <c r="Y464" s="590"/>
      <c r="Z464" s="590"/>
    </row>
    <row r="465" spans="1:26" ht="15.75" customHeight="1">
      <c r="A465" s="590"/>
      <c r="B465" s="590"/>
      <c r="C465" s="590"/>
      <c r="D465" s="590"/>
      <c r="E465" s="590"/>
      <c r="F465" s="590"/>
      <c r="G465" s="590"/>
      <c r="H465" s="590"/>
      <c r="I465" s="590"/>
      <c r="J465" s="590"/>
      <c r="K465" s="590"/>
      <c r="L465" s="590"/>
      <c r="M465" s="590"/>
      <c r="N465" s="590"/>
      <c r="O465" s="590"/>
      <c r="P465" s="590"/>
      <c r="Q465" s="590"/>
      <c r="R465" s="590"/>
      <c r="S465" s="590"/>
      <c r="T465" s="590"/>
      <c r="U465" s="590"/>
      <c r="V465" s="590"/>
      <c r="W465" s="590"/>
      <c r="X465" s="590"/>
      <c r="Y465" s="590"/>
      <c r="Z465" s="590"/>
    </row>
    <row r="466" spans="1:26" ht="15.75" customHeight="1">
      <c r="A466" s="590"/>
      <c r="B466" s="590"/>
      <c r="C466" s="590"/>
      <c r="D466" s="590"/>
      <c r="E466" s="590"/>
      <c r="F466" s="590"/>
      <c r="G466" s="590"/>
      <c r="H466" s="590"/>
      <c r="I466" s="590"/>
      <c r="J466" s="590"/>
      <c r="K466" s="590"/>
      <c r="L466" s="590"/>
      <c r="M466" s="590"/>
      <c r="N466" s="590"/>
      <c r="O466" s="590"/>
      <c r="P466" s="590"/>
      <c r="Q466" s="590"/>
      <c r="R466" s="590"/>
      <c r="S466" s="590"/>
      <c r="T466" s="590"/>
      <c r="U466" s="590"/>
      <c r="V466" s="590"/>
      <c r="W466" s="590"/>
      <c r="X466" s="590"/>
      <c r="Y466" s="590"/>
      <c r="Z466" s="590"/>
    </row>
    <row r="467" spans="1:26" ht="15.75" customHeight="1">
      <c r="A467" s="590"/>
      <c r="B467" s="590"/>
      <c r="C467" s="590"/>
      <c r="D467" s="590"/>
      <c r="E467" s="590"/>
      <c r="F467" s="590"/>
      <c r="G467" s="590"/>
      <c r="H467" s="590"/>
      <c r="I467" s="590"/>
      <c r="J467" s="590"/>
      <c r="K467" s="590"/>
      <c r="L467" s="590"/>
      <c r="M467" s="590"/>
      <c r="N467" s="590"/>
      <c r="O467" s="590"/>
      <c r="P467" s="590"/>
      <c r="Q467" s="590"/>
      <c r="R467" s="590"/>
      <c r="S467" s="590"/>
      <c r="T467" s="590"/>
      <c r="U467" s="590"/>
      <c r="V467" s="590"/>
      <c r="W467" s="590"/>
      <c r="X467" s="590"/>
      <c r="Y467" s="590"/>
      <c r="Z467" s="590"/>
    </row>
    <row r="468" spans="1:26" ht="15.75" customHeight="1">
      <c r="A468" s="590"/>
      <c r="B468" s="590"/>
      <c r="C468" s="590"/>
      <c r="D468" s="590"/>
      <c r="E468" s="590"/>
      <c r="F468" s="590"/>
      <c r="G468" s="590"/>
      <c r="H468" s="590"/>
      <c r="I468" s="590"/>
      <c r="J468" s="590"/>
      <c r="K468" s="590"/>
      <c r="L468" s="590"/>
      <c r="M468" s="590"/>
      <c r="N468" s="590"/>
      <c r="O468" s="590"/>
      <c r="P468" s="590"/>
      <c r="Q468" s="590"/>
      <c r="R468" s="590"/>
      <c r="S468" s="590"/>
      <c r="T468" s="590"/>
      <c r="U468" s="590"/>
      <c r="V468" s="590"/>
      <c r="W468" s="590"/>
      <c r="X468" s="590"/>
      <c r="Y468" s="590"/>
      <c r="Z468" s="590"/>
    </row>
    <row r="469" spans="1:26" ht="15.75" customHeight="1">
      <c r="A469" s="590"/>
      <c r="B469" s="590"/>
      <c r="C469" s="590"/>
      <c r="D469" s="590"/>
      <c r="E469" s="590"/>
      <c r="F469" s="590"/>
      <c r="G469" s="590"/>
      <c r="H469" s="590"/>
      <c r="I469" s="590"/>
      <c r="J469" s="590"/>
      <c r="K469" s="590"/>
      <c r="L469" s="590"/>
      <c r="M469" s="590"/>
      <c r="N469" s="590"/>
      <c r="O469" s="590"/>
      <c r="P469" s="590"/>
      <c r="Q469" s="590"/>
      <c r="R469" s="590"/>
      <c r="S469" s="590"/>
      <c r="T469" s="590"/>
      <c r="U469" s="590"/>
      <c r="V469" s="590"/>
      <c r="W469" s="590"/>
      <c r="X469" s="590"/>
      <c r="Y469" s="590"/>
      <c r="Z469" s="590"/>
    </row>
    <row r="470" spans="1:26" ht="15.75" customHeight="1">
      <c r="A470" s="590"/>
      <c r="B470" s="590"/>
      <c r="C470" s="590"/>
      <c r="D470" s="590"/>
      <c r="E470" s="590"/>
      <c r="F470" s="590"/>
      <c r="G470" s="590"/>
      <c r="H470" s="590"/>
      <c r="I470" s="590"/>
      <c r="J470" s="590"/>
      <c r="K470" s="590"/>
      <c r="L470" s="590"/>
      <c r="M470" s="590"/>
      <c r="N470" s="590"/>
      <c r="O470" s="590"/>
      <c r="P470" s="590"/>
      <c r="Q470" s="590"/>
      <c r="R470" s="590"/>
      <c r="S470" s="590"/>
      <c r="T470" s="590"/>
      <c r="U470" s="590"/>
      <c r="V470" s="590"/>
      <c r="W470" s="590"/>
      <c r="X470" s="590"/>
      <c r="Y470" s="590"/>
      <c r="Z470" s="590"/>
    </row>
    <row r="471" spans="1:26" ht="15.75" customHeight="1">
      <c r="A471" s="590"/>
      <c r="B471" s="590"/>
      <c r="C471" s="590"/>
      <c r="D471" s="590"/>
      <c r="E471" s="590"/>
      <c r="F471" s="590"/>
      <c r="G471" s="590"/>
      <c r="H471" s="590"/>
      <c r="I471" s="590"/>
      <c r="J471" s="590"/>
      <c r="K471" s="590"/>
      <c r="L471" s="590"/>
      <c r="M471" s="590"/>
      <c r="N471" s="590"/>
      <c r="O471" s="590"/>
      <c r="P471" s="590"/>
      <c r="Q471" s="590"/>
      <c r="R471" s="590"/>
      <c r="S471" s="590"/>
      <c r="T471" s="590"/>
      <c r="U471" s="590"/>
      <c r="V471" s="590"/>
      <c r="W471" s="590"/>
      <c r="X471" s="590"/>
      <c r="Y471" s="590"/>
      <c r="Z471" s="590"/>
    </row>
    <row r="472" spans="1:26" ht="15.75" customHeight="1">
      <c r="A472" s="590"/>
      <c r="B472" s="590"/>
      <c r="C472" s="590"/>
      <c r="D472" s="590"/>
      <c r="E472" s="590"/>
      <c r="F472" s="590"/>
      <c r="G472" s="590"/>
      <c r="H472" s="590"/>
      <c r="I472" s="590"/>
      <c r="J472" s="590"/>
      <c r="K472" s="590"/>
      <c r="L472" s="590"/>
      <c r="M472" s="590"/>
      <c r="N472" s="590"/>
      <c r="O472" s="590"/>
      <c r="P472" s="590"/>
      <c r="Q472" s="590"/>
      <c r="R472" s="590"/>
      <c r="S472" s="590"/>
      <c r="T472" s="590"/>
      <c r="U472" s="590"/>
      <c r="V472" s="590"/>
      <c r="W472" s="590"/>
      <c r="X472" s="590"/>
      <c r="Y472" s="590"/>
      <c r="Z472" s="590"/>
    </row>
    <row r="473" spans="1:26" ht="15.75" customHeight="1">
      <c r="A473" s="590"/>
      <c r="B473" s="590"/>
      <c r="C473" s="590"/>
      <c r="D473" s="590"/>
      <c r="E473" s="590"/>
      <c r="F473" s="590"/>
      <c r="G473" s="590"/>
      <c r="H473" s="590"/>
      <c r="I473" s="590"/>
      <c r="J473" s="590"/>
      <c r="K473" s="590"/>
      <c r="L473" s="590"/>
      <c r="M473" s="590"/>
      <c r="N473" s="590"/>
      <c r="O473" s="590"/>
      <c r="P473" s="590"/>
      <c r="Q473" s="590"/>
      <c r="R473" s="590"/>
      <c r="S473" s="590"/>
      <c r="T473" s="590"/>
      <c r="U473" s="590"/>
      <c r="V473" s="590"/>
      <c r="W473" s="590"/>
      <c r="X473" s="590"/>
      <c r="Y473" s="590"/>
      <c r="Z473" s="590"/>
    </row>
    <row r="474" spans="1:26" ht="15.75" customHeight="1">
      <c r="A474" s="590"/>
      <c r="B474" s="590"/>
      <c r="C474" s="590"/>
      <c r="D474" s="590"/>
      <c r="E474" s="590"/>
      <c r="F474" s="590"/>
      <c r="G474" s="590"/>
      <c r="H474" s="590"/>
      <c r="I474" s="590"/>
      <c r="J474" s="590"/>
      <c r="K474" s="590"/>
      <c r="L474" s="590"/>
      <c r="M474" s="590"/>
      <c r="N474" s="590"/>
      <c r="O474" s="590"/>
      <c r="P474" s="590"/>
      <c r="Q474" s="590"/>
      <c r="R474" s="590"/>
      <c r="S474" s="590"/>
      <c r="T474" s="590"/>
      <c r="U474" s="590"/>
      <c r="V474" s="590"/>
      <c r="W474" s="590"/>
      <c r="X474" s="590"/>
      <c r="Y474" s="590"/>
      <c r="Z474" s="590"/>
    </row>
    <row r="475" spans="1:26" ht="15.75" customHeight="1">
      <c r="A475" s="590"/>
      <c r="B475" s="590"/>
      <c r="C475" s="590"/>
      <c r="D475" s="590"/>
      <c r="E475" s="590"/>
      <c r="F475" s="590"/>
      <c r="G475" s="590"/>
      <c r="H475" s="590"/>
      <c r="I475" s="590"/>
      <c r="J475" s="590"/>
      <c r="K475" s="590"/>
      <c r="L475" s="590"/>
      <c r="M475" s="590"/>
      <c r="N475" s="590"/>
      <c r="O475" s="590"/>
      <c r="P475" s="590"/>
      <c r="Q475" s="590"/>
      <c r="R475" s="590"/>
      <c r="S475" s="590"/>
      <c r="T475" s="590"/>
      <c r="U475" s="590"/>
      <c r="V475" s="590"/>
      <c r="W475" s="590"/>
      <c r="X475" s="590"/>
      <c r="Y475" s="590"/>
      <c r="Z475" s="590"/>
    </row>
    <row r="476" spans="1:26" ht="15.75" customHeight="1">
      <c r="A476" s="590"/>
      <c r="B476" s="590"/>
      <c r="C476" s="590"/>
      <c r="D476" s="590"/>
      <c r="E476" s="590"/>
      <c r="F476" s="590"/>
      <c r="G476" s="590"/>
      <c r="H476" s="590"/>
      <c r="I476" s="590"/>
      <c r="J476" s="590"/>
      <c r="K476" s="590"/>
      <c r="L476" s="590"/>
      <c r="M476" s="590"/>
      <c r="N476" s="590"/>
      <c r="O476" s="590"/>
      <c r="P476" s="590"/>
      <c r="Q476" s="590"/>
      <c r="R476" s="590"/>
      <c r="S476" s="590"/>
      <c r="T476" s="590"/>
      <c r="U476" s="590"/>
      <c r="V476" s="590"/>
      <c r="W476" s="590"/>
      <c r="X476" s="590"/>
      <c r="Y476" s="590"/>
      <c r="Z476" s="590"/>
    </row>
    <row r="477" spans="1:26" ht="15.75" customHeight="1">
      <c r="A477" s="590"/>
      <c r="B477" s="590"/>
      <c r="C477" s="590"/>
      <c r="D477" s="590"/>
      <c r="E477" s="590"/>
      <c r="F477" s="590"/>
      <c r="G477" s="590"/>
      <c r="H477" s="590"/>
      <c r="I477" s="590"/>
      <c r="J477" s="590"/>
      <c r="K477" s="590"/>
      <c r="L477" s="590"/>
      <c r="M477" s="590"/>
      <c r="N477" s="590"/>
      <c r="O477" s="590"/>
      <c r="P477" s="590"/>
      <c r="Q477" s="590"/>
      <c r="R477" s="590"/>
      <c r="S477" s="590"/>
      <c r="T477" s="590"/>
      <c r="U477" s="590"/>
      <c r="V477" s="590"/>
      <c r="W477" s="590"/>
      <c r="X477" s="590"/>
      <c r="Y477" s="590"/>
      <c r="Z477" s="590"/>
    </row>
    <row r="478" spans="1:26" ht="15.75" customHeight="1">
      <c r="A478" s="590"/>
      <c r="B478" s="590"/>
      <c r="C478" s="590"/>
      <c r="D478" s="590"/>
      <c r="E478" s="590"/>
      <c r="F478" s="590"/>
      <c r="G478" s="590"/>
      <c r="H478" s="590"/>
      <c r="I478" s="590"/>
      <c r="J478" s="590"/>
      <c r="K478" s="590"/>
      <c r="L478" s="590"/>
      <c r="M478" s="590"/>
      <c r="N478" s="590"/>
      <c r="O478" s="590"/>
      <c r="P478" s="590"/>
      <c r="Q478" s="590"/>
      <c r="R478" s="590"/>
      <c r="S478" s="590"/>
      <c r="T478" s="590"/>
      <c r="U478" s="590"/>
      <c r="V478" s="590"/>
      <c r="W478" s="590"/>
      <c r="X478" s="590"/>
      <c r="Y478" s="590"/>
      <c r="Z478" s="590"/>
    </row>
    <row r="479" spans="1:26" ht="15.75" customHeight="1">
      <c r="A479" s="590"/>
      <c r="B479" s="590"/>
      <c r="C479" s="590"/>
      <c r="D479" s="590"/>
      <c r="E479" s="590"/>
      <c r="F479" s="590"/>
      <c r="G479" s="590"/>
      <c r="H479" s="590"/>
      <c r="I479" s="590"/>
      <c r="J479" s="590"/>
      <c r="K479" s="590"/>
      <c r="L479" s="590"/>
      <c r="M479" s="590"/>
      <c r="N479" s="590"/>
      <c r="O479" s="590"/>
      <c r="P479" s="590"/>
      <c r="Q479" s="590"/>
      <c r="R479" s="590"/>
      <c r="S479" s="590"/>
      <c r="T479" s="590"/>
      <c r="U479" s="590"/>
      <c r="V479" s="590"/>
      <c r="W479" s="590"/>
      <c r="X479" s="590"/>
      <c r="Y479" s="590"/>
      <c r="Z479" s="590"/>
    </row>
    <row r="480" spans="1:26" ht="15.75" customHeight="1">
      <c r="A480" s="590"/>
      <c r="B480" s="590"/>
      <c r="C480" s="590"/>
      <c r="D480" s="590"/>
      <c r="E480" s="590"/>
      <c r="F480" s="590"/>
      <c r="G480" s="590"/>
      <c r="H480" s="590"/>
      <c r="I480" s="590"/>
      <c r="J480" s="590"/>
      <c r="K480" s="590"/>
      <c r="L480" s="590"/>
      <c r="M480" s="590"/>
      <c r="N480" s="590"/>
      <c r="O480" s="590"/>
      <c r="P480" s="590"/>
      <c r="Q480" s="590"/>
      <c r="R480" s="590"/>
      <c r="S480" s="590"/>
      <c r="T480" s="590"/>
      <c r="U480" s="590"/>
      <c r="V480" s="590"/>
      <c r="W480" s="590"/>
      <c r="X480" s="590"/>
      <c r="Y480" s="590"/>
      <c r="Z480" s="590"/>
    </row>
    <row r="481" spans="1:26" ht="15.75" customHeight="1">
      <c r="A481" s="590"/>
      <c r="B481" s="590"/>
      <c r="C481" s="590"/>
      <c r="D481" s="590"/>
      <c r="E481" s="590"/>
      <c r="F481" s="590"/>
      <c r="G481" s="590"/>
      <c r="H481" s="590"/>
      <c r="I481" s="590"/>
      <c r="J481" s="590"/>
      <c r="K481" s="590"/>
      <c r="L481" s="590"/>
      <c r="M481" s="590"/>
      <c r="N481" s="590"/>
      <c r="O481" s="590"/>
      <c r="P481" s="590"/>
      <c r="Q481" s="590"/>
      <c r="R481" s="590"/>
      <c r="S481" s="590"/>
      <c r="T481" s="590"/>
      <c r="U481" s="590"/>
      <c r="V481" s="590"/>
      <c r="W481" s="590"/>
      <c r="X481" s="590"/>
      <c r="Y481" s="590"/>
      <c r="Z481" s="590"/>
    </row>
    <row r="482" spans="1:26" ht="15.75" customHeight="1">
      <c r="A482" s="590"/>
      <c r="B482" s="590"/>
      <c r="C482" s="590"/>
      <c r="D482" s="590"/>
      <c r="E482" s="590"/>
      <c r="F482" s="590"/>
      <c r="G482" s="590"/>
      <c r="H482" s="590"/>
      <c r="I482" s="590"/>
      <c r="J482" s="590"/>
      <c r="K482" s="590"/>
      <c r="L482" s="590"/>
      <c r="M482" s="590"/>
      <c r="N482" s="590"/>
      <c r="O482" s="590"/>
      <c r="P482" s="590"/>
      <c r="Q482" s="590"/>
      <c r="R482" s="590"/>
      <c r="S482" s="590"/>
      <c r="T482" s="590"/>
      <c r="U482" s="590"/>
      <c r="V482" s="590"/>
      <c r="W482" s="590"/>
      <c r="X482" s="590"/>
      <c r="Y482" s="590"/>
      <c r="Z482" s="590"/>
    </row>
    <row r="483" spans="1:26" ht="15.75" customHeight="1">
      <c r="A483" s="590"/>
      <c r="B483" s="590"/>
      <c r="C483" s="590"/>
      <c r="D483" s="590"/>
      <c r="E483" s="590"/>
      <c r="F483" s="590"/>
      <c r="G483" s="590"/>
      <c r="H483" s="590"/>
      <c r="I483" s="590"/>
      <c r="J483" s="590"/>
      <c r="K483" s="590"/>
      <c r="L483" s="590"/>
      <c r="M483" s="590"/>
      <c r="N483" s="590"/>
      <c r="O483" s="590"/>
      <c r="P483" s="590"/>
      <c r="Q483" s="590"/>
      <c r="R483" s="590"/>
      <c r="S483" s="590"/>
      <c r="T483" s="590"/>
      <c r="U483" s="590"/>
      <c r="V483" s="590"/>
      <c r="W483" s="590"/>
      <c r="X483" s="590"/>
      <c r="Y483" s="590"/>
      <c r="Z483" s="590"/>
    </row>
    <row r="484" spans="1:26" ht="15.75" customHeight="1">
      <c r="A484" s="590"/>
      <c r="B484" s="590"/>
      <c r="C484" s="590"/>
      <c r="D484" s="590"/>
      <c r="E484" s="590"/>
      <c r="F484" s="590"/>
      <c r="G484" s="590"/>
      <c r="H484" s="590"/>
      <c r="I484" s="590"/>
      <c r="J484" s="590"/>
      <c r="K484" s="590"/>
      <c r="L484" s="590"/>
      <c r="M484" s="590"/>
      <c r="N484" s="590"/>
      <c r="O484" s="590"/>
      <c r="P484" s="590"/>
      <c r="Q484" s="590"/>
      <c r="R484" s="590"/>
      <c r="S484" s="590"/>
      <c r="T484" s="590"/>
      <c r="U484" s="590"/>
      <c r="V484" s="590"/>
      <c r="W484" s="590"/>
      <c r="X484" s="590"/>
      <c r="Y484" s="590"/>
      <c r="Z484" s="590"/>
    </row>
    <row r="485" spans="1:26" ht="15.75" customHeight="1">
      <c r="A485" s="590"/>
      <c r="B485" s="590"/>
      <c r="C485" s="590"/>
      <c r="D485" s="590"/>
      <c r="E485" s="590"/>
      <c r="F485" s="590"/>
      <c r="G485" s="590"/>
      <c r="H485" s="590"/>
      <c r="I485" s="590"/>
      <c r="J485" s="590"/>
      <c r="K485" s="590"/>
      <c r="L485" s="590"/>
      <c r="M485" s="590"/>
      <c r="N485" s="590"/>
      <c r="O485" s="590"/>
      <c r="P485" s="590"/>
      <c r="Q485" s="590"/>
      <c r="R485" s="590"/>
      <c r="S485" s="590"/>
      <c r="T485" s="590"/>
      <c r="U485" s="590"/>
      <c r="V485" s="590"/>
      <c r="W485" s="590"/>
      <c r="X485" s="590"/>
      <c r="Y485" s="590"/>
      <c r="Z485" s="590"/>
    </row>
    <row r="486" spans="1:26" ht="15.75" customHeight="1">
      <c r="A486" s="590"/>
      <c r="B486" s="590"/>
      <c r="C486" s="590"/>
      <c r="D486" s="590"/>
      <c r="E486" s="590"/>
      <c r="F486" s="590"/>
      <c r="G486" s="590"/>
      <c r="H486" s="590"/>
      <c r="I486" s="590"/>
      <c r="J486" s="590"/>
      <c r="K486" s="590"/>
      <c r="L486" s="590"/>
      <c r="M486" s="590"/>
      <c r="N486" s="590"/>
      <c r="O486" s="590"/>
      <c r="P486" s="590"/>
      <c r="Q486" s="590"/>
      <c r="R486" s="590"/>
      <c r="S486" s="590"/>
      <c r="T486" s="590"/>
      <c r="U486" s="590"/>
      <c r="V486" s="590"/>
      <c r="W486" s="590"/>
      <c r="X486" s="590"/>
      <c r="Y486" s="590"/>
      <c r="Z486" s="590"/>
    </row>
    <row r="487" spans="1:26" ht="15.75" customHeight="1">
      <c r="A487" s="590"/>
      <c r="B487" s="590"/>
      <c r="C487" s="590"/>
      <c r="D487" s="590"/>
      <c r="E487" s="590"/>
      <c r="F487" s="590"/>
      <c r="G487" s="590"/>
      <c r="H487" s="590"/>
      <c r="I487" s="590"/>
      <c r="J487" s="590"/>
      <c r="K487" s="590"/>
      <c r="L487" s="590"/>
      <c r="M487" s="590"/>
      <c r="N487" s="590"/>
      <c r="O487" s="590"/>
      <c r="P487" s="590"/>
      <c r="Q487" s="590"/>
      <c r="R487" s="590"/>
      <c r="S487" s="590"/>
      <c r="T487" s="590"/>
      <c r="U487" s="590"/>
      <c r="V487" s="590"/>
      <c r="W487" s="590"/>
      <c r="X487" s="590"/>
      <c r="Y487" s="590"/>
      <c r="Z487" s="590"/>
    </row>
    <row r="488" spans="1:26" ht="15.75" customHeight="1">
      <c r="A488" s="590"/>
      <c r="B488" s="590"/>
      <c r="C488" s="590"/>
      <c r="D488" s="590"/>
      <c r="E488" s="590"/>
      <c r="F488" s="590"/>
      <c r="G488" s="590"/>
      <c r="H488" s="590"/>
      <c r="I488" s="590"/>
      <c r="J488" s="590"/>
      <c r="K488" s="590"/>
      <c r="L488" s="590"/>
      <c r="M488" s="590"/>
      <c r="N488" s="590"/>
      <c r="O488" s="590"/>
      <c r="P488" s="590"/>
      <c r="Q488" s="590"/>
      <c r="R488" s="590"/>
      <c r="S488" s="590"/>
      <c r="T488" s="590"/>
      <c r="U488" s="590"/>
      <c r="V488" s="590"/>
      <c r="W488" s="590"/>
      <c r="X488" s="590"/>
      <c r="Y488" s="590"/>
      <c r="Z488" s="590"/>
    </row>
    <row r="489" spans="1:26" ht="15.75" customHeight="1">
      <c r="A489" s="590"/>
      <c r="B489" s="590"/>
      <c r="C489" s="590"/>
      <c r="D489" s="590"/>
      <c r="E489" s="590"/>
      <c r="F489" s="590"/>
      <c r="G489" s="590"/>
      <c r="H489" s="590"/>
      <c r="I489" s="590"/>
      <c r="J489" s="590"/>
      <c r="K489" s="590"/>
      <c r="L489" s="590"/>
      <c r="M489" s="590"/>
      <c r="N489" s="590"/>
      <c r="O489" s="590"/>
      <c r="P489" s="590"/>
      <c r="Q489" s="590"/>
      <c r="R489" s="590"/>
      <c r="S489" s="590"/>
      <c r="T489" s="590"/>
      <c r="U489" s="590"/>
      <c r="V489" s="590"/>
      <c r="W489" s="590"/>
      <c r="X489" s="590"/>
      <c r="Y489" s="590"/>
      <c r="Z489" s="590"/>
    </row>
    <row r="490" spans="1:26" ht="15.75" customHeight="1">
      <c r="A490" s="590"/>
      <c r="B490" s="590"/>
      <c r="C490" s="590"/>
      <c r="D490" s="590"/>
      <c r="E490" s="590"/>
      <c r="F490" s="590"/>
      <c r="G490" s="590"/>
      <c r="H490" s="590"/>
      <c r="I490" s="590"/>
      <c r="J490" s="590"/>
      <c r="K490" s="590"/>
      <c r="L490" s="590"/>
      <c r="M490" s="590"/>
      <c r="N490" s="590"/>
      <c r="O490" s="590"/>
      <c r="P490" s="590"/>
      <c r="Q490" s="590"/>
      <c r="R490" s="590"/>
      <c r="S490" s="590"/>
      <c r="T490" s="590"/>
      <c r="U490" s="590"/>
      <c r="V490" s="590"/>
      <c r="W490" s="590"/>
      <c r="X490" s="590"/>
      <c r="Y490" s="590"/>
      <c r="Z490" s="590"/>
    </row>
    <row r="491" spans="1:26" ht="15.75" customHeight="1">
      <c r="A491" s="590"/>
      <c r="B491" s="590"/>
      <c r="C491" s="590"/>
      <c r="D491" s="590"/>
      <c r="E491" s="590"/>
      <c r="F491" s="590"/>
      <c r="G491" s="590"/>
      <c r="H491" s="590"/>
      <c r="I491" s="590"/>
      <c r="J491" s="590"/>
      <c r="K491" s="590"/>
      <c r="L491" s="590"/>
      <c r="M491" s="590"/>
      <c r="N491" s="590"/>
      <c r="O491" s="590"/>
      <c r="P491" s="590"/>
      <c r="Q491" s="590"/>
      <c r="R491" s="590"/>
      <c r="S491" s="590"/>
      <c r="T491" s="590"/>
      <c r="U491" s="590"/>
      <c r="V491" s="590"/>
      <c r="W491" s="590"/>
      <c r="X491" s="590"/>
      <c r="Y491" s="590"/>
      <c r="Z491" s="590"/>
    </row>
    <row r="492" spans="1:26" ht="15.75" customHeight="1">
      <c r="A492" s="590"/>
      <c r="B492" s="590"/>
      <c r="C492" s="590"/>
      <c r="D492" s="590"/>
      <c r="E492" s="590"/>
      <c r="F492" s="590"/>
      <c r="G492" s="590"/>
      <c r="H492" s="590"/>
      <c r="I492" s="590"/>
      <c r="J492" s="590"/>
      <c r="K492" s="590"/>
      <c r="L492" s="590"/>
      <c r="M492" s="590"/>
      <c r="N492" s="590"/>
      <c r="O492" s="590"/>
      <c r="P492" s="590"/>
      <c r="Q492" s="590"/>
      <c r="R492" s="590"/>
      <c r="S492" s="590"/>
      <c r="T492" s="590"/>
      <c r="U492" s="590"/>
      <c r="V492" s="590"/>
      <c r="W492" s="590"/>
      <c r="X492" s="590"/>
      <c r="Y492" s="590"/>
      <c r="Z492" s="590"/>
    </row>
    <row r="493" spans="1:26" ht="15.75" customHeight="1">
      <c r="A493" s="590"/>
      <c r="B493" s="590"/>
      <c r="C493" s="590"/>
      <c r="D493" s="590"/>
      <c r="E493" s="590"/>
      <c r="F493" s="590"/>
      <c r="G493" s="590"/>
      <c r="H493" s="590"/>
      <c r="I493" s="590"/>
      <c r="J493" s="590"/>
      <c r="K493" s="590"/>
      <c r="L493" s="590"/>
      <c r="M493" s="590"/>
      <c r="N493" s="590"/>
      <c r="O493" s="590"/>
      <c r="P493" s="590"/>
      <c r="Q493" s="590"/>
      <c r="R493" s="590"/>
      <c r="S493" s="590"/>
      <c r="T493" s="590"/>
      <c r="U493" s="590"/>
      <c r="V493" s="590"/>
      <c r="W493" s="590"/>
      <c r="X493" s="590"/>
      <c r="Y493" s="590"/>
      <c r="Z493" s="590"/>
    </row>
    <row r="494" spans="1:26" ht="15.75" customHeight="1">
      <c r="A494" s="590"/>
      <c r="B494" s="590"/>
      <c r="C494" s="590"/>
      <c r="D494" s="590"/>
      <c r="E494" s="590"/>
      <c r="F494" s="590"/>
      <c r="G494" s="590"/>
      <c r="H494" s="590"/>
      <c r="I494" s="590"/>
      <c r="J494" s="590"/>
      <c r="K494" s="590"/>
      <c r="L494" s="590"/>
      <c r="M494" s="590"/>
      <c r="N494" s="590"/>
      <c r="O494" s="590"/>
      <c r="P494" s="590"/>
      <c r="Q494" s="590"/>
      <c r="R494" s="590"/>
      <c r="S494" s="590"/>
      <c r="T494" s="590"/>
      <c r="U494" s="590"/>
      <c r="V494" s="590"/>
      <c r="W494" s="590"/>
      <c r="X494" s="590"/>
      <c r="Y494" s="590"/>
      <c r="Z494" s="590"/>
    </row>
    <row r="495" spans="1:26" ht="15.75" customHeight="1">
      <c r="A495" s="590"/>
      <c r="B495" s="590"/>
      <c r="C495" s="590"/>
      <c r="D495" s="590"/>
      <c r="E495" s="590"/>
      <c r="F495" s="590"/>
      <c r="G495" s="590"/>
      <c r="H495" s="590"/>
      <c r="I495" s="590"/>
      <c r="J495" s="590"/>
      <c r="K495" s="590"/>
      <c r="L495" s="590"/>
      <c r="M495" s="590"/>
      <c r="N495" s="590"/>
      <c r="O495" s="590"/>
      <c r="P495" s="590"/>
      <c r="Q495" s="590"/>
      <c r="R495" s="590"/>
      <c r="S495" s="590"/>
      <c r="T495" s="590"/>
      <c r="U495" s="590"/>
      <c r="V495" s="590"/>
      <c r="W495" s="590"/>
      <c r="X495" s="590"/>
      <c r="Y495" s="590"/>
      <c r="Z495" s="590"/>
    </row>
    <row r="496" spans="1:26" ht="15.75" customHeight="1">
      <c r="A496" s="590"/>
      <c r="B496" s="590"/>
      <c r="C496" s="590"/>
      <c r="D496" s="590"/>
      <c r="E496" s="590"/>
      <c r="F496" s="590"/>
      <c r="G496" s="590"/>
      <c r="H496" s="590"/>
      <c r="I496" s="590"/>
      <c r="J496" s="590"/>
      <c r="K496" s="590"/>
      <c r="L496" s="590"/>
      <c r="M496" s="590"/>
      <c r="N496" s="590"/>
      <c r="O496" s="590"/>
      <c r="P496" s="590"/>
      <c r="Q496" s="590"/>
      <c r="R496" s="590"/>
      <c r="S496" s="590"/>
      <c r="T496" s="590"/>
      <c r="U496" s="590"/>
      <c r="V496" s="590"/>
      <c r="W496" s="590"/>
      <c r="X496" s="590"/>
      <c r="Y496" s="590"/>
      <c r="Z496" s="590"/>
    </row>
    <row r="497" spans="1:26" ht="15.75" customHeight="1">
      <c r="A497" s="590"/>
      <c r="B497" s="590"/>
      <c r="C497" s="590"/>
      <c r="D497" s="590"/>
      <c r="E497" s="590"/>
      <c r="F497" s="590"/>
      <c r="G497" s="590"/>
      <c r="H497" s="590"/>
      <c r="I497" s="590"/>
      <c r="J497" s="590"/>
      <c r="K497" s="590"/>
      <c r="L497" s="590"/>
      <c r="M497" s="590"/>
      <c r="N497" s="590"/>
      <c r="O497" s="590"/>
      <c r="P497" s="590"/>
      <c r="Q497" s="590"/>
      <c r="R497" s="590"/>
      <c r="S497" s="590"/>
      <c r="T497" s="590"/>
      <c r="U497" s="590"/>
      <c r="V497" s="590"/>
      <c r="W497" s="590"/>
      <c r="X497" s="590"/>
      <c r="Y497" s="590"/>
      <c r="Z497" s="590"/>
    </row>
    <row r="498" spans="1:26" ht="15.75" customHeight="1">
      <c r="A498" s="590"/>
      <c r="B498" s="590"/>
      <c r="C498" s="590"/>
      <c r="D498" s="590"/>
      <c r="E498" s="590"/>
      <c r="F498" s="590"/>
      <c r="G498" s="590"/>
      <c r="H498" s="590"/>
      <c r="I498" s="590"/>
      <c r="J498" s="590"/>
      <c r="K498" s="590"/>
      <c r="L498" s="590"/>
      <c r="M498" s="590"/>
      <c r="N498" s="590"/>
      <c r="O498" s="590"/>
      <c r="P498" s="590"/>
      <c r="Q498" s="590"/>
      <c r="R498" s="590"/>
      <c r="S498" s="590"/>
      <c r="T498" s="590"/>
      <c r="U498" s="590"/>
      <c r="V498" s="590"/>
      <c r="W498" s="590"/>
      <c r="X498" s="590"/>
      <c r="Y498" s="590"/>
      <c r="Z498" s="590"/>
    </row>
    <row r="499" spans="1:26" ht="15.75" customHeight="1">
      <c r="A499" s="590"/>
      <c r="B499" s="590"/>
      <c r="C499" s="590"/>
      <c r="D499" s="590"/>
      <c r="E499" s="590"/>
      <c r="F499" s="590"/>
      <c r="G499" s="590"/>
      <c r="H499" s="590"/>
      <c r="I499" s="590"/>
      <c r="J499" s="590"/>
      <c r="K499" s="590"/>
      <c r="L499" s="590"/>
      <c r="M499" s="590"/>
      <c r="N499" s="590"/>
      <c r="O499" s="590"/>
      <c r="P499" s="590"/>
      <c r="Q499" s="590"/>
      <c r="R499" s="590"/>
      <c r="S499" s="590"/>
      <c r="T499" s="590"/>
      <c r="U499" s="590"/>
      <c r="V499" s="590"/>
      <c r="W499" s="590"/>
      <c r="X499" s="590"/>
      <c r="Y499" s="590"/>
      <c r="Z499" s="590"/>
    </row>
    <row r="500" spans="1:26" ht="15.75" customHeight="1">
      <c r="A500" s="590"/>
      <c r="B500" s="590"/>
      <c r="C500" s="590"/>
      <c r="D500" s="590"/>
      <c r="E500" s="590"/>
      <c r="F500" s="590"/>
      <c r="G500" s="590"/>
      <c r="H500" s="590"/>
      <c r="I500" s="590"/>
      <c r="J500" s="590"/>
      <c r="K500" s="590"/>
      <c r="L500" s="590"/>
      <c r="M500" s="590"/>
      <c r="N500" s="590"/>
      <c r="O500" s="590"/>
      <c r="P500" s="590"/>
      <c r="Q500" s="590"/>
      <c r="R500" s="590"/>
      <c r="S500" s="590"/>
      <c r="T500" s="590"/>
      <c r="U500" s="590"/>
      <c r="V500" s="590"/>
      <c r="W500" s="590"/>
      <c r="X500" s="590"/>
      <c r="Y500" s="590"/>
      <c r="Z500" s="590"/>
    </row>
    <row r="501" spans="1:26" ht="15.75" customHeight="1">
      <c r="A501" s="590"/>
      <c r="B501" s="590"/>
      <c r="C501" s="590"/>
      <c r="D501" s="590"/>
      <c r="E501" s="590"/>
      <c r="F501" s="590"/>
      <c r="G501" s="590"/>
      <c r="H501" s="590"/>
      <c r="I501" s="590"/>
      <c r="J501" s="590"/>
      <c r="K501" s="590"/>
      <c r="L501" s="590"/>
      <c r="M501" s="590"/>
      <c r="N501" s="590"/>
      <c r="O501" s="590"/>
      <c r="P501" s="590"/>
      <c r="Q501" s="590"/>
      <c r="R501" s="590"/>
      <c r="S501" s="590"/>
      <c r="T501" s="590"/>
      <c r="U501" s="590"/>
      <c r="V501" s="590"/>
      <c r="W501" s="590"/>
      <c r="X501" s="590"/>
      <c r="Y501" s="590"/>
      <c r="Z501" s="590"/>
    </row>
    <row r="502" spans="1:26" ht="15.75" customHeight="1">
      <c r="A502" s="590"/>
      <c r="B502" s="590"/>
      <c r="C502" s="590"/>
      <c r="D502" s="590"/>
      <c r="E502" s="590"/>
      <c r="F502" s="590"/>
      <c r="G502" s="590"/>
      <c r="H502" s="590"/>
      <c r="I502" s="590"/>
      <c r="J502" s="590"/>
      <c r="K502" s="590"/>
      <c r="L502" s="590"/>
      <c r="M502" s="590"/>
      <c r="N502" s="590"/>
      <c r="O502" s="590"/>
      <c r="P502" s="590"/>
      <c r="Q502" s="590"/>
      <c r="R502" s="590"/>
      <c r="S502" s="590"/>
      <c r="T502" s="590"/>
      <c r="U502" s="590"/>
      <c r="V502" s="590"/>
      <c r="W502" s="590"/>
      <c r="X502" s="590"/>
      <c r="Y502" s="590"/>
      <c r="Z502" s="590"/>
    </row>
    <row r="503" spans="1:26" ht="15.75" customHeight="1">
      <c r="A503" s="590"/>
      <c r="B503" s="590"/>
      <c r="C503" s="590"/>
      <c r="D503" s="590"/>
      <c r="E503" s="590"/>
      <c r="F503" s="590"/>
      <c r="G503" s="590"/>
      <c r="H503" s="590"/>
      <c r="I503" s="590"/>
      <c r="J503" s="590"/>
      <c r="K503" s="590"/>
      <c r="L503" s="590"/>
      <c r="M503" s="590"/>
      <c r="N503" s="590"/>
      <c r="O503" s="590"/>
      <c r="P503" s="590"/>
      <c r="Q503" s="590"/>
      <c r="R503" s="590"/>
      <c r="S503" s="590"/>
      <c r="T503" s="590"/>
      <c r="U503" s="590"/>
      <c r="V503" s="590"/>
      <c r="W503" s="590"/>
      <c r="X503" s="590"/>
      <c r="Y503" s="590"/>
      <c r="Z503" s="590"/>
    </row>
    <row r="504" spans="1:26" ht="15.75" customHeight="1">
      <c r="A504" s="590"/>
      <c r="B504" s="590"/>
      <c r="C504" s="590"/>
      <c r="D504" s="590"/>
      <c r="E504" s="590"/>
      <c r="F504" s="590"/>
      <c r="G504" s="590"/>
      <c r="H504" s="590"/>
      <c r="I504" s="590"/>
      <c r="J504" s="590"/>
      <c r="K504" s="590"/>
      <c r="L504" s="590"/>
      <c r="M504" s="590"/>
      <c r="N504" s="590"/>
      <c r="O504" s="590"/>
      <c r="P504" s="590"/>
      <c r="Q504" s="590"/>
      <c r="R504" s="590"/>
      <c r="S504" s="590"/>
      <c r="T504" s="590"/>
      <c r="U504" s="590"/>
      <c r="V504" s="590"/>
      <c r="W504" s="590"/>
      <c r="X504" s="590"/>
      <c r="Y504" s="590"/>
      <c r="Z504" s="590"/>
    </row>
    <row r="505" spans="1:26" ht="15.75" customHeight="1">
      <c r="A505" s="590"/>
      <c r="B505" s="590"/>
      <c r="C505" s="590"/>
      <c r="D505" s="590"/>
      <c r="E505" s="590"/>
      <c r="F505" s="590"/>
      <c r="G505" s="590"/>
      <c r="H505" s="590"/>
      <c r="I505" s="590"/>
      <c r="J505" s="590"/>
      <c r="K505" s="590"/>
      <c r="L505" s="590"/>
      <c r="M505" s="590"/>
      <c r="N505" s="590"/>
      <c r="O505" s="590"/>
      <c r="P505" s="590"/>
      <c r="Q505" s="590"/>
      <c r="R505" s="590"/>
      <c r="S505" s="590"/>
      <c r="T505" s="590"/>
      <c r="U505" s="590"/>
      <c r="V505" s="590"/>
      <c r="W505" s="590"/>
      <c r="X505" s="590"/>
      <c r="Y505" s="590"/>
      <c r="Z505" s="590"/>
    </row>
    <row r="506" spans="1:26" ht="15.75" customHeight="1">
      <c r="A506" s="590"/>
      <c r="B506" s="590"/>
      <c r="C506" s="590"/>
      <c r="D506" s="590"/>
      <c r="E506" s="590"/>
      <c r="F506" s="590"/>
      <c r="G506" s="590"/>
      <c r="H506" s="590"/>
      <c r="I506" s="590"/>
      <c r="J506" s="590"/>
      <c r="K506" s="590"/>
      <c r="L506" s="590"/>
      <c r="M506" s="590"/>
      <c r="N506" s="590"/>
      <c r="O506" s="590"/>
      <c r="P506" s="590"/>
      <c r="Q506" s="590"/>
      <c r="R506" s="590"/>
      <c r="S506" s="590"/>
      <c r="T506" s="590"/>
      <c r="U506" s="590"/>
      <c r="V506" s="590"/>
      <c r="W506" s="590"/>
      <c r="X506" s="590"/>
      <c r="Y506" s="590"/>
      <c r="Z506" s="590"/>
    </row>
    <row r="507" spans="1:26" ht="15.75" customHeight="1">
      <c r="A507" s="590"/>
      <c r="B507" s="590"/>
      <c r="C507" s="590"/>
      <c r="D507" s="590"/>
      <c r="E507" s="590"/>
      <c r="F507" s="590"/>
      <c r="G507" s="590"/>
      <c r="H507" s="590"/>
      <c r="I507" s="590"/>
      <c r="J507" s="590"/>
      <c r="K507" s="590"/>
      <c r="L507" s="590"/>
      <c r="M507" s="590"/>
      <c r="N507" s="590"/>
      <c r="O507" s="590"/>
      <c r="P507" s="590"/>
      <c r="Q507" s="590"/>
      <c r="R507" s="590"/>
      <c r="S507" s="590"/>
      <c r="T507" s="590"/>
      <c r="U507" s="590"/>
      <c r="V507" s="590"/>
      <c r="W507" s="590"/>
      <c r="X507" s="590"/>
      <c r="Y507" s="590"/>
      <c r="Z507" s="590"/>
    </row>
    <row r="508" spans="1:26" ht="15.75" customHeight="1">
      <c r="A508" s="590"/>
      <c r="B508" s="590"/>
      <c r="C508" s="590"/>
      <c r="D508" s="590"/>
      <c r="E508" s="590"/>
      <c r="F508" s="590"/>
      <c r="G508" s="590"/>
      <c r="H508" s="590"/>
      <c r="I508" s="590"/>
      <c r="J508" s="590"/>
      <c r="K508" s="590"/>
      <c r="L508" s="590"/>
      <c r="M508" s="590"/>
      <c r="N508" s="590"/>
      <c r="O508" s="590"/>
      <c r="P508" s="590"/>
      <c r="Q508" s="590"/>
      <c r="R508" s="590"/>
      <c r="S508" s="590"/>
      <c r="T508" s="590"/>
      <c r="U508" s="590"/>
      <c r="V508" s="590"/>
      <c r="W508" s="590"/>
      <c r="X508" s="590"/>
      <c r="Y508" s="590"/>
      <c r="Z508" s="590"/>
    </row>
    <row r="509" spans="1:26" ht="15.75" customHeight="1">
      <c r="A509" s="590"/>
      <c r="B509" s="590"/>
      <c r="C509" s="590"/>
      <c r="D509" s="590"/>
      <c r="E509" s="590"/>
      <c r="F509" s="590"/>
      <c r="G509" s="590"/>
      <c r="H509" s="590"/>
      <c r="I509" s="590"/>
      <c r="J509" s="590"/>
      <c r="K509" s="590"/>
      <c r="L509" s="590"/>
      <c r="M509" s="590"/>
      <c r="N509" s="590"/>
      <c r="O509" s="590"/>
      <c r="P509" s="590"/>
      <c r="Q509" s="590"/>
      <c r="R509" s="590"/>
      <c r="S509" s="590"/>
      <c r="T509" s="590"/>
      <c r="U509" s="590"/>
      <c r="V509" s="590"/>
      <c r="W509" s="590"/>
      <c r="X509" s="590"/>
      <c r="Y509" s="590"/>
      <c r="Z509" s="590"/>
    </row>
    <row r="510" spans="1:26" ht="15.75" customHeight="1">
      <c r="A510" s="590"/>
      <c r="B510" s="590"/>
      <c r="C510" s="590"/>
      <c r="D510" s="590"/>
      <c r="E510" s="590"/>
      <c r="F510" s="590"/>
      <c r="G510" s="590"/>
      <c r="H510" s="590"/>
      <c r="I510" s="590"/>
      <c r="J510" s="590"/>
      <c r="K510" s="590"/>
      <c r="L510" s="590"/>
      <c r="M510" s="590"/>
      <c r="N510" s="590"/>
      <c r="O510" s="590"/>
      <c r="P510" s="590"/>
      <c r="Q510" s="590"/>
      <c r="R510" s="590"/>
      <c r="S510" s="590"/>
      <c r="T510" s="590"/>
      <c r="U510" s="590"/>
      <c r="V510" s="590"/>
      <c r="W510" s="590"/>
      <c r="X510" s="590"/>
      <c r="Y510" s="590"/>
      <c r="Z510" s="590"/>
    </row>
    <row r="511" spans="1:26" ht="15.75" customHeight="1">
      <c r="A511" s="590"/>
      <c r="B511" s="590"/>
      <c r="C511" s="590"/>
      <c r="D511" s="590"/>
      <c r="E511" s="590"/>
      <c r="F511" s="590"/>
      <c r="G511" s="590"/>
      <c r="H511" s="590"/>
      <c r="I511" s="590"/>
      <c r="J511" s="590"/>
      <c r="K511" s="590"/>
      <c r="L511" s="590"/>
      <c r="M511" s="590"/>
      <c r="N511" s="590"/>
      <c r="O511" s="590"/>
      <c r="P511" s="590"/>
      <c r="Q511" s="590"/>
      <c r="R511" s="590"/>
      <c r="S511" s="590"/>
      <c r="T511" s="590"/>
      <c r="U511" s="590"/>
      <c r="V511" s="590"/>
      <c r="W511" s="590"/>
      <c r="X511" s="590"/>
      <c r="Y511" s="590"/>
      <c r="Z511" s="590"/>
    </row>
    <row r="512" spans="1:26" ht="15.75" customHeight="1">
      <c r="A512" s="590"/>
      <c r="B512" s="590"/>
      <c r="C512" s="590"/>
      <c r="D512" s="590"/>
      <c r="E512" s="590"/>
      <c r="F512" s="590"/>
      <c r="G512" s="590"/>
      <c r="H512" s="590"/>
      <c r="I512" s="590"/>
      <c r="J512" s="590"/>
      <c r="K512" s="590"/>
      <c r="L512" s="590"/>
      <c r="M512" s="590"/>
      <c r="N512" s="590"/>
      <c r="O512" s="590"/>
      <c r="P512" s="590"/>
      <c r="Q512" s="590"/>
      <c r="R512" s="590"/>
      <c r="S512" s="590"/>
      <c r="T512" s="590"/>
      <c r="U512" s="590"/>
      <c r="V512" s="590"/>
      <c r="W512" s="590"/>
      <c r="X512" s="590"/>
      <c r="Y512" s="590"/>
      <c r="Z512" s="590"/>
    </row>
    <row r="513" spans="1:26" ht="15.75" customHeight="1">
      <c r="A513" s="590"/>
      <c r="B513" s="590"/>
      <c r="C513" s="590"/>
      <c r="D513" s="590"/>
      <c r="E513" s="590"/>
      <c r="F513" s="590"/>
      <c r="G513" s="590"/>
      <c r="H513" s="590"/>
      <c r="I513" s="590"/>
      <c r="J513" s="590"/>
      <c r="K513" s="590"/>
      <c r="L513" s="590"/>
      <c r="M513" s="590"/>
      <c r="N513" s="590"/>
      <c r="O513" s="590"/>
      <c r="P513" s="590"/>
      <c r="Q513" s="590"/>
      <c r="R513" s="590"/>
      <c r="S513" s="590"/>
      <c r="T513" s="590"/>
      <c r="U513" s="590"/>
      <c r="V513" s="590"/>
      <c r="W513" s="590"/>
      <c r="X513" s="590"/>
      <c r="Y513" s="590"/>
      <c r="Z513" s="590"/>
    </row>
    <row r="514" spans="1:26" ht="15.75" customHeight="1">
      <c r="A514" s="590"/>
      <c r="B514" s="590"/>
      <c r="C514" s="590"/>
      <c r="D514" s="590"/>
      <c r="E514" s="590"/>
      <c r="F514" s="590"/>
      <c r="G514" s="590"/>
      <c r="H514" s="590"/>
      <c r="I514" s="590"/>
      <c r="J514" s="590"/>
      <c r="K514" s="590"/>
      <c r="L514" s="590"/>
      <c r="M514" s="590"/>
      <c r="N514" s="590"/>
      <c r="O514" s="590"/>
      <c r="P514" s="590"/>
      <c r="Q514" s="590"/>
      <c r="R514" s="590"/>
      <c r="S514" s="590"/>
      <c r="T514" s="590"/>
      <c r="U514" s="590"/>
      <c r="V514" s="590"/>
      <c r="W514" s="590"/>
      <c r="X514" s="590"/>
      <c r="Y514" s="590"/>
      <c r="Z514" s="590"/>
    </row>
    <row r="515" spans="1:26" ht="15.75" customHeight="1">
      <c r="A515" s="590"/>
      <c r="B515" s="590"/>
      <c r="C515" s="590"/>
      <c r="D515" s="590"/>
      <c r="E515" s="590"/>
      <c r="F515" s="590"/>
      <c r="G515" s="590"/>
      <c r="H515" s="590"/>
      <c r="I515" s="590"/>
      <c r="J515" s="590"/>
      <c r="K515" s="590"/>
      <c r="L515" s="590"/>
      <c r="M515" s="590"/>
      <c r="N515" s="590"/>
      <c r="O515" s="590"/>
      <c r="P515" s="590"/>
      <c r="Q515" s="590"/>
      <c r="R515" s="590"/>
      <c r="S515" s="590"/>
      <c r="T515" s="590"/>
      <c r="U515" s="590"/>
      <c r="V515" s="590"/>
      <c r="W515" s="590"/>
      <c r="X515" s="590"/>
      <c r="Y515" s="590"/>
      <c r="Z515" s="590"/>
    </row>
    <row r="516" spans="1:26" ht="15.75" customHeight="1">
      <c r="A516" s="590"/>
      <c r="B516" s="590"/>
      <c r="C516" s="590"/>
      <c r="D516" s="590"/>
      <c r="E516" s="590"/>
      <c r="F516" s="590"/>
      <c r="G516" s="590"/>
      <c r="H516" s="590"/>
      <c r="I516" s="590"/>
      <c r="J516" s="590"/>
      <c r="K516" s="590"/>
      <c r="L516" s="590"/>
      <c r="M516" s="590"/>
      <c r="N516" s="590"/>
      <c r="O516" s="590"/>
      <c r="P516" s="590"/>
      <c r="Q516" s="590"/>
      <c r="R516" s="590"/>
      <c r="S516" s="590"/>
      <c r="T516" s="590"/>
      <c r="U516" s="590"/>
      <c r="V516" s="590"/>
      <c r="W516" s="590"/>
      <c r="X516" s="590"/>
      <c r="Y516" s="590"/>
      <c r="Z516" s="590"/>
    </row>
    <row r="517" spans="1:26" ht="15.75" customHeight="1">
      <c r="A517" s="590"/>
      <c r="B517" s="590"/>
      <c r="C517" s="590"/>
      <c r="D517" s="590"/>
      <c r="E517" s="590"/>
      <c r="F517" s="590"/>
      <c r="G517" s="590"/>
      <c r="H517" s="590"/>
      <c r="I517" s="590"/>
      <c r="J517" s="590"/>
      <c r="K517" s="590"/>
      <c r="L517" s="590"/>
      <c r="M517" s="590"/>
      <c r="N517" s="590"/>
      <c r="O517" s="590"/>
      <c r="P517" s="590"/>
      <c r="Q517" s="590"/>
      <c r="R517" s="590"/>
      <c r="S517" s="590"/>
      <c r="T517" s="590"/>
      <c r="U517" s="590"/>
      <c r="V517" s="590"/>
      <c r="W517" s="590"/>
      <c r="X517" s="590"/>
      <c r="Y517" s="590"/>
      <c r="Z517" s="590"/>
    </row>
    <row r="518" spans="1:26" ht="15.75" customHeight="1">
      <c r="A518" s="590"/>
      <c r="B518" s="590"/>
      <c r="C518" s="590"/>
      <c r="D518" s="590"/>
      <c r="E518" s="590"/>
      <c r="F518" s="590"/>
      <c r="G518" s="590"/>
      <c r="H518" s="590"/>
      <c r="I518" s="590"/>
      <c r="J518" s="590"/>
      <c r="K518" s="590"/>
      <c r="L518" s="590"/>
      <c r="M518" s="590"/>
      <c r="N518" s="590"/>
      <c r="O518" s="590"/>
      <c r="P518" s="590"/>
      <c r="Q518" s="590"/>
      <c r="R518" s="590"/>
      <c r="S518" s="590"/>
      <c r="T518" s="590"/>
      <c r="U518" s="590"/>
      <c r="V518" s="590"/>
      <c r="W518" s="590"/>
      <c r="X518" s="590"/>
      <c r="Y518" s="590"/>
      <c r="Z518" s="590"/>
    </row>
    <row r="519" spans="1:26" ht="15.75" customHeight="1">
      <c r="A519" s="590"/>
      <c r="B519" s="590"/>
      <c r="C519" s="590"/>
      <c r="D519" s="590"/>
      <c r="E519" s="590"/>
      <c r="F519" s="590"/>
      <c r="G519" s="590"/>
      <c r="H519" s="590"/>
      <c r="I519" s="590"/>
      <c r="J519" s="590"/>
      <c r="K519" s="590"/>
      <c r="L519" s="590"/>
      <c r="M519" s="590"/>
      <c r="N519" s="590"/>
      <c r="O519" s="590"/>
      <c r="P519" s="590"/>
      <c r="Q519" s="590"/>
      <c r="R519" s="590"/>
      <c r="S519" s="590"/>
      <c r="T519" s="590"/>
      <c r="U519" s="590"/>
      <c r="V519" s="590"/>
      <c r="W519" s="590"/>
      <c r="X519" s="590"/>
      <c r="Y519" s="590"/>
      <c r="Z519" s="590"/>
    </row>
    <row r="520" spans="1:26" ht="15.75" customHeight="1">
      <c r="A520" s="590"/>
      <c r="B520" s="590"/>
      <c r="C520" s="590"/>
      <c r="D520" s="590"/>
      <c r="E520" s="590"/>
      <c r="F520" s="590"/>
      <c r="G520" s="590"/>
      <c r="H520" s="590"/>
      <c r="I520" s="590"/>
      <c r="J520" s="590"/>
      <c r="K520" s="590"/>
      <c r="L520" s="590"/>
      <c r="M520" s="590"/>
      <c r="N520" s="590"/>
      <c r="O520" s="590"/>
      <c r="P520" s="590"/>
      <c r="Q520" s="590"/>
      <c r="R520" s="590"/>
      <c r="S520" s="590"/>
      <c r="T520" s="590"/>
      <c r="U520" s="590"/>
      <c r="V520" s="590"/>
      <c r="W520" s="590"/>
      <c r="X520" s="590"/>
      <c r="Y520" s="590"/>
      <c r="Z520" s="590"/>
    </row>
    <row r="521" spans="1:26" ht="15.75" customHeight="1">
      <c r="A521" s="590"/>
      <c r="B521" s="590"/>
      <c r="C521" s="590"/>
      <c r="D521" s="590"/>
      <c r="E521" s="590"/>
      <c r="F521" s="590"/>
      <c r="G521" s="590"/>
      <c r="H521" s="590"/>
      <c r="I521" s="590"/>
      <c r="J521" s="590"/>
      <c r="K521" s="590"/>
      <c r="L521" s="590"/>
      <c r="M521" s="590"/>
      <c r="N521" s="590"/>
      <c r="O521" s="590"/>
      <c r="P521" s="590"/>
      <c r="Q521" s="590"/>
      <c r="R521" s="590"/>
      <c r="S521" s="590"/>
      <c r="T521" s="590"/>
      <c r="U521" s="590"/>
      <c r="V521" s="590"/>
      <c r="W521" s="590"/>
      <c r="X521" s="590"/>
      <c r="Y521" s="590"/>
      <c r="Z521" s="590"/>
    </row>
    <row r="522" spans="1:26" ht="15.75" customHeight="1">
      <c r="A522" s="590"/>
      <c r="B522" s="590"/>
      <c r="C522" s="590"/>
      <c r="D522" s="590"/>
      <c r="E522" s="590"/>
      <c r="F522" s="590"/>
      <c r="G522" s="590"/>
      <c r="H522" s="590"/>
      <c r="I522" s="590"/>
      <c r="J522" s="590"/>
      <c r="K522" s="590"/>
      <c r="L522" s="590"/>
      <c r="M522" s="590"/>
      <c r="N522" s="590"/>
      <c r="O522" s="590"/>
      <c r="P522" s="590"/>
      <c r="Q522" s="590"/>
      <c r="R522" s="590"/>
      <c r="S522" s="590"/>
      <c r="T522" s="590"/>
      <c r="U522" s="590"/>
      <c r="V522" s="590"/>
      <c r="W522" s="590"/>
      <c r="X522" s="590"/>
      <c r="Y522" s="590"/>
      <c r="Z522" s="590"/>
    </row>
    <row r="523" spans="1:26" ht="15.75" customHeight="1">
      <c r="A523" s="590"/>
      <c r="B523" s="590"/>
      <c r="C523" s="590"/>
      <c r="D523" s="590"/>
      <c r="E523" s="590"/>
      <c r="F523" s="590"/>
      <c r="G523" s="590"/>
      <c r="H523" s="590"/>
      <c r="I523" s="590"/>
      <c r="J523" s="590"/>
      <c r="K523" s="590"/>
      <c r="L523" s="590"/>
      <c r="M523" s="590"/>
      <c r="N523" s="590"/>
      <c r="O523" s="590"/>
      <c r="P523" s="590"/>
      <c r="Q523" s="590"/>
      <c r="R523" s="590"/>
      <c r="S523" s="590"/>
      <c r="T523" s="590"/>
      <c r="U523" s="590"/>
      <c r="V523" s="590"/>
      <c r="W523" s="590"/>
      <c r="X523" s="590"/>
      <c r="Y523" s="590"/>
      <c r="Z523" s="590"/>
    </row>
    <row r="524" spans="1:26" ht="15.75" customHeight="1">
      <c r="A524" s="590"/>
      <c r="B524" s="590"/>
      <c r="C524" s="590"/>
      <c r="D524" s="590"/>
      <c r="E524" s="590"/>
      <c r="F524" s="590"/>
      <c r="G524" s="590"/>
      <c r="H524" s="590"/>
      <c r="I524" s="590"/>
      <c r="J524" s="590"/>
      <c r="K524" s="590"/>
      <c r="L524" s="590"/>
      <c r="M524" s="590"/>
      <c r="N524" s="590"/>
      <c r="O524" s="590"/>
      <c r="P524" s="590"/>
      <c r="Q524" s="590"/>
      <c r="R524" s="590"/>
      <c r="S524" s="590"/>
      <c r="T524" s="590"/>
      <c r="U524" s="590"/>
      <c r="V524" s="590"/>
      <c r="W524" s="590"/>
      <c r="X524" s="590"/>
      <c r="Y524" s="590"/>
      <c r="Z524" s="590"/>
    </row>
    <row r="525" spans="1:26" ht="15.75" customHeight="1">
      <c r="A525" s="590"/>
      <c r="B525" s="590"/>
      <c r="C525" s="590"/>
      <c r="D525" s="590"/>
      <c r="E525" s="590"/>
      <c r="F525" s="590"/>
      <c r="G525" s="590"/>
      <c r="H525" s="590"/>
      <c r="I525" s="590"/>
      <c r="J525" s="590"/>
      <c r="K525" s="590"/>
      <c r="L525" s="590"/>
      <c r="M525" s="590"/>
      <c r="N525" s="590"/>
      <c r="O525" s="590"/>
      <c r="P525" s="590"/>
      <c r="Q525" s="590"/>
      <c r="R525" s="590"/>
      <c r="S525" s="590"/>
      <c r="T525" s="590"/>
      <c r="U525" s="590"/>
      <c r="V525" s="590"/>
      <c r="W525" s="590"/>
      <c r="X525" s="590"/>
      <c r="Y525" s="590"/>
      <c r="Z525" s="590"/>
    </row>
    <row r="526" spans="1:26" ht="15.75" customHeight="1">
      <c r="A526" s="590"/>
      <c r="B526" s="590"/>
      <c r="C526" s="590"/>
      <c r="D526" s="590"/>
      <c r="E526" s="590"/>
      <c r="F526" s="590"/>
      <c r="G526" s="590"/>
      <c r="H526" s="590"/>
      <c r="I526" s="590"/>
      <c r="J526" s="590"/>
      <c r="K526" s="590"/>
      <c r="L526" s="590"/>
      <c r="M526" s="590"/>
      <c r="N526" s="590"/>
      <c r="O526" s="590"/>
      <c r="P526" s="590"/>
      <c r="Q526" s="590"/>
      <c r="R526" s="590"/>
      <c r="S526" s="590"/>
      <c r="T526" s="590"/>
      <c r="U526" s="590"/>
      <c r="V526" s="590"/>
      <c r="W526" s="590"/>
      <c r="X526" s="590"/>
      <c r="Y526" s="590"/>
      <c r="Z526" s="590"/>
    </row>
    <row r="527" spans="1:26" ht="15.75" customHeight="1">
      <c r="A527" s="590"/>
      <c r="B527" s="590"/>
      <c r="C527" s="590"/>
      <c r="D527" s="590"/>
      <c r="E527" s="590"/>
      <c r="F527" s="590"/>
      <c r="G527" s="590"/>
      <c r="H527" s="590"/>
      <c r="I527" s="590"/>
      <c r="J527" s="590"/>
      <c r="K527" s="590"/>
      <c r="L527" s="590"/>
      <c r="M527" s="590"/>
      <c r="N527" s="590"/>
      <c r="O527" s="590"/>
      <c r="P527" s="590"/>
      <c r="Q527" s="590"/>
      <c r="R527" s="590"/>
      <c r="S527" s="590"/>
      <c r="T527" s="590"/>
      <c r="U527" s="590"/>
      <c r="V527" s="590"/>
      <c r="W527" s="590"/>
      <c r="X527" s="590"/>
      <c r="Y527" s="590"/>
      <c r="Z527" s="590"/>
    </row>
    <row r="528" spans="1:26" ht="15.75" customHeight="1">
      <c r="A528" s="590"/>
      <c r="B528" s="590"/>
      <c r="C528" s="590"/>
      <c r="D528" s="590"/>
      <c r="E528" s="590"/>
      <c r="F528" s="590"/>
      <c r="G528" s="590"/>
      <c r="H528" s="590"/>
      <c r="I528" s="590"/>
      <c r="J528" s="590"/>
      <c r="K528" s="590"/>
      <c r="L528" s="590"/>
      <c r="M528" s="590"/>
      <c r="N528" s="590"/>
      <c r="O528" s="590"/>
      <c r="P528" s="590"/>
      <c r="Q528" s="590"/>
      <c r="R528" s="590"/>
      <c r="S528" s="590"/>
      <c r="T528" s="590"/>
      <c r="U528" s="590"/>
      <c r="V528" s="590"/>
      <c r="W528" s="590"/>
      <c r="X528" s="590"/>
      <c r="Y528" s="590"/>
      <c r="Z528" s="590"/>
    </row>
    <row r="529" spans="1:26" ht="15.75" customHeight="1">
      <c r="A529" s="590"/>
      <c r="B529" s="590"/>
      <c r="C529" s="590"/>
      <c r="D529" s="590"/>
      <c r="E529" s="590"/>
      <c r="F529" s="590"/>
      <c r="G529" s="590"/>
      <c r="H529" s="590"/>
      <c r="I529" s="590"/>
      <c r="J529" s="590"/>
      <c r="K529" s="590"/>
      <c r="L529" s="590"/>
      <c r="M529" s="590"/>
      <c r="N529" s="590"/>
      <c r="O529" s="590"/>
      <c r="P529" s="590"/>
      <c r="Q529" s="590"/>
      <c r="R529" s="590"/>
      <c r="S529" s="590"/>
      <c r="T529" s="590"/>
      <c r="U529" s="590"/>
      <c r="V529" s="590"/>
      <c r="W529" s="590"/>
      <c r="X529" s="590"/>
      <c r="Y529" s="590"/>
      <c r="Z529" s="590"/>
    </row>
    <row r="530" spans="1:26" ht="15.75" customHeight="1">
      <c r="A530" s="590"/>
      <c r="B530" s="590"/>
      <c r="C530" s="590"/>
      <c r="D530" s="590"/>
      <c r="E530" s="590"/>
      <c r="F530" s="590"/>
      <c r="G530" s="590"/>
      <c r="H530" s="590"/>
      <c r="I530" s="590"/>
      <c r="J530" s="590"/>
      <c r="K530" s="590"/>
      <c r="L530" s="590"/>
      <c r="M530" s="590"/>
      <c r="N530" s="590"/>
      <c r="O530" s="590"/>
      <c r="P530" s="590"/>
      <c r="Q530" s="590"/>
      <c r="R530" s="590"/>
      <c r="S530" s="590"/>
      <c r="T530" s="590"/>
      <c r="U530" s="590"/>
      <c r="V530" s="590"/>
      <c r="W530" s="590"/>
      <c r="X530" s="590"/>
      <c r="Y530" s="590"/>
      <c r="Z530" s="590"/>
    </row>
    <row r="531" spans="1:26" ht="15.75" customHeight="1">
      <c r="A531" s="590"/>
      <c r="B531" s="590"/>
      <c r="C531" s="590"/>
      <c r="D531" s="590"/>
      <c r="E531" s="590"/>
      <c r="F531" s="590"/>
      <c r="G531" s="590"/>
      <c r="H531" s="590"/>
      <c r="I531" s="590"/>
      <c r="J531" s="590"/>
      <c r="K531" s="590"/>
      <c r="L531" s="590"/>
      <c r="M531" s="590"/>
      <c r="N531" s="590"/>
      <c r="O531" s="590"/>
      <c r="P531" s="590"/>
      <c r="Q531" s="590"/>
      <c r="R531" s="590"/>
      <c r="S531" s="590"/>
      <c r="T531" s="590"/>
      <c r="U531" s="590"/>
      <c r="V531" s="590"/>
      <c r="W531" s="590"/>
      <c r="X531" s="590"/>
      <c r="Y531" s="590"/>
      <c r="Z531" s="590"/>
    </row>
    <row r="532" spans="1:26" ht="15.75" customHeight="1">
      <c r="A532" s="590"/>
      <c r="B532" s="590"/>
      <c r="C532" s="590"/>
      <c r="D532" s="590"/>
      <c r="E532" s="590"/>
      <c r="F532" s="590"/>
      <c r="G532" s="590"/>
      <c r="H532" s="590"/>
      <c r="I532" s="590"/>
      <c r="J532" s="590"/>
      <c r="K532" s="590"/>
      <c r="L532" s="590"/>
      <c r="M532" s="590"/>
      <c r="N532" s="590"/>
      <c r="O532" s="590"/>
      <c r="P532" s="590"/>
      <c r="Q532" s="590"/>
      <c r="R532" s="590"/>
      <c r="S532" s="590"/>
      <c r="T532" s="590"/>
      <c r="U532" s="590"/>
      <c r="V532" s="590"/>
      <c r="W532" s="590"/>
      <c r="X532" s="590"/>
      <c r="Y532" s="590"/>
      <c r="Z532" s="590"/>
    </row>
    <row r="533" spans="1:26" ht="15.75" customHeight="1">
      <c r="A533" s="590"/>
      <c r="B533" s="590"/>
      <c r="C533" s="590"/>
      <c r="D533" s="590"/>
      <c r="E533" s="590"/>
      <c r="F533" s="590"/>
      <c r="G533" s="590"/>
      <c r="H533" s="590"/>
      <c r="I533" s="590"/>
      <c r="J533" s="590"/>
      <c r="K533" s="590"/>
      <c r="L533" s="590"/>
      <c r="M533" s="590"/>
      <c r="N533" s="590"/>
      <c r="O533" s="590"/>
      <c r="P533" s="590"/>
      <c r="Q533" s="590"/>
      <c r="R533" s="590"/>
      <c r="S533" s="590"/>
      <c r="T533" s="590"/>
      <c r="U533" s="590"/>
      <c r="V533" s="590"/>
      <c r="W533" s="590"/>
      <c r="X533" s="590"/>
      <c r="Y533" s="590"/>
      <c r="Z533" s="590"/>
    </row>
    <row r="534" spans="1:26" ht="15.75" customHeight="1">
      <c r="A534" s="590"/>
      <c r="B534" s="590"/>
      <c r="C534" s="590"/>
      <c r="D534" s="590"/>
      <c r="E534" s="590"/>
      <c r="F534" s="590"/>
      <c r="G534" s="590"/>
      <c r="H534" s="590"/>
      <c r="I534" s="590"/>
      <c r="J534" s="590"/>
      <c r="K534" s="590"/>
      <c r="L534" s="590"/>
      <c r="M534" s="590"/>
      <c r="N534" s="590"/>
      <c r="O534" s="590"/>
      <c r="P534" s="590"/>
      <c r="Q534" s="590"/>
      <c r="R534" s="590"/>
      <c r="S534" s="590"/>
      <c r="T534" s="590"/>
      <c r="U534" s="590"/>
      <c r="V534" s="590"/>
      <c r="W534" s="590"/>
      <c r="X534" s="590"/>
      <c r="Y534" s="590"/>
      <c r="Z534" s="590"/>
    </row>
    <row r="535" spans="1:26" ht="15.75" customHeight="1">
      <c r="A535" s="590"/>
      <c r="B535" s="590"/>
      <c r="C535" s="590"/>
      <c r="D535" s="590"/>
      <c r="E535" s="590"/>
      <c r="F535" s="590"/>
      <c r="G535" s="590"/>
      <c r="H535" s="590"/>
      <c r="I535" s="590"/>
      <c r="J535" s="590"/>
      <c r="K535" s="590"/>
      <c r="L535" s="590"/>
      <c r="M535" s="590"/>
      <c r="N535" s="590"/>
      <c r="O535" s="590"/>
      <c r="P535" s="590"/>
      <c r="Q535" s="590"/>
      <c r="R535" s="590"/>
      <c r="S535" s="590"/>
      <c r="T535" s="590"/>
      <c r="U535" s="590"/>
      <c r="V535" s="590"/>
      <c r="W535" s="590"/>
      <c r="X535" s="590"/>
      <c r="Y535" s="590"/>
      <c r="Z535" s="590"/>
    </row>
    <row r="536" spans="1:26" ht="15.75" customHeight="1">
      <c r="A536" s="590"/>
      <c r="B536" s="590"/>
      <c r="C536" s="590"/>
      <c r="D536" s="590"/>
      <c r="E536" s="590"/>
      <c r="F536" s="590"/>
      <c r="G536" s="590"/>
      <c r="H536" s="590"/>
      <c r="I536" s="590"/>
      <c r="J536" s="590"/>
      <c r="K536" s="590"/>
      <c r="L536" s="590"/>
      <c r="M536" s="590"/>
      <c r="N536" s="590"/>
      <c r="O536" s="590"/>
      <c r="P536" s="590"/>
      <c r="Q536" s="590"/>
      <c r="R536" s="590"/>
      <c r="S536" s="590"/>
      <c r="T536" s="590"/>
      <c r="U536" s="590"/>
      <c r="V536" s="590"/>
      <c r="W536" s="590"/>
      <c r="X536" s="590"/>
      <c r="Y536" s="590"/>
      <c r="Z536" s="590"/>
    </row>
    <row r="537" spans="1:26" ht="15.75" customHeight="1">
      <c r="A537" s="590"/>
      <c r="B537" s="590"/>
      <c r="C537" s="590"/>
      <c r="D537" s="590"/>
      <c r="E537" s="590"/>
      <c r="F537" s="590"/>
      <c r="G537" s="590"/>
      <c r="H537" s="590"/>
      <c r="I537" s="590"/>
      <c r="J537" s="590"/>
      <c r="K537" s="590"/>
      <c r="L537" s="590"/>
      <c r="M537" s="590"/>
      <c r="N537" s="590"/>
      <c r="O537" s="590"/>
      <c r="P537" s="590"/>
      <c r="Q537" s="590"/>
      <c r="R537" s="590"/>
      <c r="S537" s="590"/>
      <c r="T537" s="590"/>
      <c r="U537" s="590"/>
      <c r="V537" s="590"/>
      <c r="W537" s="590"/>
      <c r="X537" s="590"/>
      <c r="Y537" s="590"/>
      <c r="Z537" s="590"/>
    </row>
    <row r="538" spans="1:26" ht="15.75" customHeight="1">
      <c r="A538" s="590"/>
      <c r="B538" s="590"/>
      <c r="C538" s="590"/>
      <c r="D538" s="590"/>
      <c r="E538" s="590"/>
      <c r="F538" s="590"/>
      <c r="G538" s="590"/>
      <c r="H538" s="590"/>
      <c r="I538" s="590"/>
      <c r="J538" s="590"/>
      <c r="K538" s="590"/>
      <c r="L538" s="590"/>
      <c r="M538" s="590"/>
      <c r="N538" s="590"/>
      <c r="O538" s="590"/>
      <c r="P538" s="590"/>
      <c r="Q538" s="590"/>
      <c r="R538" s="590"/>
      <c r="S538" s="590"/>
      <c r="T538" s="590"/>
      <c r="U538" s="590"/>
      <c r="V538" s="590"/>
      <c r="W538" s="590"/>
      <c r="X538" s="590"/>
      <c r="Y538" s="590"/>
      <c r="Z538" s="590"/>
    </row>
    <row r="539" spans="1:26" ht="15.75" customHeight="1">
      <c r="A539" s="590"/>
      <c r="B539" s="590"/>
      <c r="C539" s="590"/>
      <c r="D539" s="590"/>
      <c r="E539" s="590"/>
      <c r="F539" s="590"/>
      <c r="G539" s="590"/>
      <c r="H539" s="590"/>
      <c r="I539" s="590"/>
      <c r="J539" s="590"/>
      <c r="K539" s="590"/>
      <c r="L539" s="590"/>
      <c r="M539" s="590"/>
      <c r="N539" s="590"/>
      <c r="O539" s="590"/>
      <c r="P539" s="590"/>
      <c r="Q539" s="590"/>
      <c r="R539" s="590"/>
      <c r="S539" s="590"/>
      <c r="T539" s="590"/>
      <c r="U539" s="590"/>
      <c r="V539" s="590"/>
      <c r="W539" s="590"/>
      <c r="X539" s="590"/>
      <c r="Y539" s="590"/>
      <c r="Z539" s="590"/>
    </row>
    <row r="540" spans="1:26" ht="15.75" customHeight="1">
      <c r="A540" s="590"/>
      <c r="B540" s="590"/>
      <c r="C540" s="590"/>
      <c r="D540" s="590"/>
      <c r="E540" s="590"/>
      <c r="F540" s="590"/>
      <c r="G540" s="590"/>
      <c r="H540" s="590"/>
      <c r="I540" s="590"/>
      <c r="J540" s="590"/>
      <c r="K540" s="590"/>
      <c r="L540" s="590"/>
      <c r="M540" s="590"/>
      <c r="N540" s="590"/>
      <c r="O540" s="590"/>
      <c r="P540" s="590"/>
      <c r="Q540" s="590"/>
      <c r="R540" s="590"/>
      <c r="S540" s="590"/>
      <c r="T540" s="590"/>
      <c r="U540" s="590"/>
      <c r="V540" s="590"/>
      <c r="W540" s="590"/>
      <c r="X540" s="590"/>
      <c r="Y540" s="590"/>
      <c r="Z540" s="590"/>
    </row>
    <row r="541" spans="1:26" ht="15.75" customHeight="1">
      <c r="A541" s="590"/>
      <c r="B541" s="590"/>
      <c r="C541" s="590"/>
      <c r="D541" s="590"/>
      <c r="E541" s="590"/>
      <c r="F541" s="590"/>
      <c r="G541" s="590"/>
      <c r="H541" s="590"/>
      <c r="I541" s="590"/>
      <c r="J541" s="590"/>
      <c r="K541" s="590"/>
      <c r="L541" s="590"/>
      <c r="M541" s="590"/>
      <c r="N541" s="590"/>
      <c r="O541" s="590"/>
      <c r="P541" s="590"/>
      <c r="Q541" s="590"/>
      <c r="R541" s="590"/>
      <c r="S541" s="590"/>
      <c r="T541" s="590"/>
      <c r="U541" s="590"/>
      <c r="V541" s="590"/>
      <c r="W541" s="590"/>
      <c r="X541" s="590"/>
      <c r="Y541" s="590"/>
      <c r="Z541" s="590"/>
    </row>
    <row r="542" spans="1:26" ht="15.75" customHeight="1">
      <c r="A542" s="590"/>
      <c r="B542" s="590"/>
      <c r="C542" s="590"/>
      <c r="D542" s="590"/>
      <c r="E542" s="590"/>
      <c r="F542" s="590"/>
      <c r="G542" s="590"/>
      <c r="H542" s="590"/>
      <c r="I542" s="590"/>
      <c r="J542" s="590"/>
      <c r="K542" s="590"/>
      <c r="L542" s="590"/>
      <c r="M542" s="590"/>
      <c r="N542" s="590"/>
      <c r="O542" s="590"/>
      <c r="P542" s="590"/>
      <c r="Q542" s="590"/>
      <c r="R542" s="590"/>
      <c r="S542" s="590"/>
      <c r="T542" s="590"/>
      <c r="U542" s="590"/>
      <c r="V542" s="590"/>
      <c r="W542" s="590"/>
      <c r="X542" s="590"/>
      <c r="Y542" s="590"/>
      <c r="Z542" s="590"/>
    </row>
    <row r="543" spans="1:26" ht="15.75" customHeight="1">
      <c r="A543" s="590"/>
      <c r="B543" s="590"/>
      <c r="C543" s="590"/>
      <c r="D543" s="590"/>
      <c r="E543" s="590"/>
      <c r="F543" s="590"/>
      <c r="G543" s="590"/>
      <c r="H543" s="590"/>
      <c r="I543" s="590"/>
      <c r="J543" s="590"/>
      <c r="K543" s="590"/>
      <c r="L543" s="590"/>
      <c r="M543" s="590"/>
      <c r="N543" s="590"/>
      <c r="O543" s="590"/>
      <c r="P543" s="590"/>
      <c r="Q543" s="590"/>
      <c r="R543" s="590"/>
      <c r="S543" s="590"/>
      <c r="T543" s="590"/>
      <c r="U543" s="590"/>
      <c r="V543" s="590"/>
      <c r="W543" s="590"/>
      <c r="X543" s="590"/>
      <c r="Y543" s="590"/>
      <c r="Z543" s="590"/>
    </row>
    <row r="544" spans="1:26" ht="15.75" customHeight="1">
      <c r="A544" s="590"/>
      <c r="B544" s="590"/>
      <c r="C544" s="590"/>
      <c r="D544" s="590"/>
      <c r="E544" s="590"/>
      <c r="F544" s="590"/>
      <c r="G544" s="590"/>
      <c r="H544" s="590"/>
      <c r="I544" s="590"/>
      <c r="J544" s="590"/>
      <c r="K544" s="590"/>
      <c r="L544" s="590"/>
      <c r="M544" s="590"/>
      <c r="N544" s="590"/>
      <c r="O544" s="590"/>
      <c r="P544" s="590"/>
      <c r="Q544" s="590"/>
      <c r="R544" s="590"/>
      <c r="S544" s="590"/>
      <c r="T544" s="590"/>
      <c r="U544" s="590"/>
      <c r="V544" s="590"/>
      <c r="W544" s="590"/>
      <c r="X544" s="590"/>
      <c r="Y544" s="590"/>
      <c r="Z544" s="590"/>
    </row>
    <row r="545" spans="1:26" ht="15.75" customHeight="1">
      <c r="A545" s="590"/>
      <c r="B545" s="590"/>
      <c r="C545" s="590"/>
      <c r="D545" s="590"/>
      <c r="E545" s="590"/>
      <c r="F545" s="590"/>
      <c r="G545" s="590"/>
      <c r="H545" s="590"/>
      <c r="I545" s="590"/>
      <c r="J545" s="590"/>
      <c r="K545" s="590"/>
      <c r="L545" s="590"/>
      <c r="M545" s="590"/>
      <c r="N545" s="590"/>
      <c r="O545" s="590"/>
      <c r="P545" s="590"/>
      <c r="Q545" s="590"/>
      <c r="R545" s="590"/>
      <c r="S545" s="590"/>
      <c r="T545" s="590"/>
      <c r="U545" s="590"/>
      <c r="V545" s="590"/>
      <c r="W545" s="590"/>
      <c r="X545" s="590"/>
      <c r="Y545" s="590"/>
      <c r="Z545" s="590"/>
    </row>
    <row r="546" spans="1:26" ht="15.75" customHeight="1">
      <c r="A546" s="590"/>
      <c r="B546" s="590"/>
      <c r="C546" s="590"/>
      <c r="D546" s="590"/>
      <c r="E546" s="590"/>
      <c r="F546" s="590"/>
      <c r="G546" s="590"/>
      <c r="H546" s="590"/>
      <c r="I546" s="590"/>
      <c r="J546" s="590"/>
      <c r="K546" s="590"/>
      <c r="L546" s="590"/>
      <c r="M546" s="590"/>
      <c r="N546" s="590"/>
      <c r="O546" s="590"/>
      <c r="P546" s="590"/>
      <c r="Q546" s="590"/>
      <c r="R546" s="590"/>
      <c r="S546" s="590"/>
      <c r="T546" s="590"/>
      <c r="U546" s="590"/>
      <c r="V546" s="590"/>
      <c r="W546" s="590"/>
      <c r="X546" s="590"/>
      <c r="Y546" s="590"/>
      <c r="Z546" s="590"/>
    </row>
    <row r="547" spans="1:26" ht="15.75" customHeight="1">
      <c r="A547" s="590"/>
      <c r="B547" s="590"/>
      <c r="C547" s="590"/>
      <c r="D547" s="590"/>
      <c r="E547" s="590"/>
      <c r="F547" s="590"/>
      <c r="G547" s="590"/>
      <c r="H547" s="590"/>
      <c r="I547" s="590"/>
      <c r="J547" s="590"/>
      <c r="K547" s="590"/>
      <c r="L547" s="590"/>
      <c r="M547" s="590"/>
      <c r="N547" s="590"/>
      <c r="O547" s="590"/>
      <c r="P547" s="590"/>
      <c r="Q547" s="590"/>
      <c r="R547" s="590"/>
      <c r="S547" s="590"/>
      <c r="T547" s="590"/>
      <c r="U547" s="590"/>
      <c r="V547" s="590"/>
      <c r="W547" s="590"/>
      <c r="X547" s="590"/>
      <c r="Y547" s="590"/>
      <c r="Z547" s="590"/>
    </row>
    <row r="548" spans="1:26" ht="15.75" customHeight="1">
      <c r="A548" s="590"/>
      <c r="B548" s="590"/>
      <c r="C548" s="590"/>
      <c r="D548" s="590"/>
      <c r="E548" s="590"/>
      <c r="F548" s="590"/>
      <c r="G548" s="590"/>
      <c r="H548" s="590"/>
      <c r="I548" s="590"/>
      <c r="J548" s="590"/>
      <c r="K548" s="590"/>
      <c r="L548" s="590"/>
      <c r="M548" s="590"/>
      <c r="N548" s="590"/>
      <c r="O548" s="590"/>
      <c r="P548" s="590"/>
      <c r="Q548" s="590"/>
      <c r="R548" s="590"/>
      <c r="S548" s="590"/>
      <c r="T548" s="590"/>
      <c r="U548" s="590"/>
      <c r="V548" s="590"/>
      <c r="W548" s="590"/>
      <c r="X548" s="590"/>
      <c r="Y548" s="590"/>
      <c r="Z548" s="590"/>
    </row>
    <row r="549" spans="1:26" ht="15.75" customHeight="1">
      <c r="A549" s="590"/>
      <c r="B549" s="590"/>
      <c r="C549" s="590"/>
      <c r="D549" s="590"/>
      <c r="E549" s="590"/>
      <c r="F549" s="590"/>
      <c r="G549" s="590"/>
      <c r="H549" s="590"/>
      <c r="I549" s="590"/>
      <c r="J549" s="590"/>
      <c r="K549" s="590"/>
      <c r="L549" s="590"/>
      <c r="M549" s="590"/>
      <c r="N549" s="590"/>
      <c r="O549" s="590"/>
      <c r="P549" s="590"/>
      <c r="Q549" s="590"/>
      <c r="R549" s="590"/>
      <c r="S549" s="590"/>
      <c r="T549" s="590"/>
      <c r="U549" s="590"/>
      <c r="V549" s="590"/>
      <c r="W549" s="590"/>
      <c r="X549" s="590"/>
      <c r="Y549" s="590"/>
      <c r="Z549" s="590"/>
    </row>
    <row r="550" spans="1:26" ht="15.75" customHeight="1">
      <c r="A550" s="590"/>
      <c r="B550" s="590"/>
      <c r="C550" s="590"/>
      <c r="D550" s="590"/>
      <c r="E550" s="590"/>
      <c r="F550" s="590"/>
      <c r="G550" s="590"/>
      <c r="H550" s="590"/>
      <c r="I550" s="590"/>
      <c r="J550" s="590"/>
      <c r="K550" s="590"/>
      <c r="L550" s="590"/>
      <c r="M550" s="590"/>
      <c r="N550" s="590"/>
      <c r="O550" s="590"/>
      <c r="P550" s="590"/>
      <c r="Q550" s="590"/>
      <c r="R550" s="590"/>
      <c r="S550" s="590"/>
      <c r="T550" s="590"/>
      <c r="U550" s="590"/>
      <c r="V550" s="590"/>
      <c r="W550" s="590"/>
      <c r="X550" s="590"/>
      <c r="Y550" s="590"/>
      <c r="Z550" s="590"/>
    </row>
    <row r="551" spans="1:26" ht="15.75" customHeight="1">
      <c r="A551" s="590"/>
      <c r="B551" s="590"/>
      <c r="C551" s="590"/>
      <c r="D551" s="590"/>
      <c r="E551" s="590"/>
      <c r="F551" s="590"/>
      <c r="G551" s="590"/>
      <c r="H551" s="590"/>
      <c r="I551" s="590"/>
      <c r="J551" s="590"/>
      <c r="K551" s="590"/>
      <c r="L551" s="590"/>
      <c r="M551" s="590"/>
      <c r="N551" s="590"/>
      <c r="O551" s="590"/>
      <c r="P551" s="590"/>
      <c r="Q551" s="590"/>
      <c r="R551" s="590"/>
      <c r="S551" s="590"/>
      <c r="T551" s="590"/>
      <c r="U551" s="590"/>
      <c r="V551" s="590"/>
      <c r="W551" s="590"/>
      <c r="X551" s="590"/>
      <c r="Y551" s="590"/>
      <c r="Z551" s="590"/>
    </row>
    <row r="552" spans="1:26" ht="15.75" customHeight="1">
      <c r="A552" s="590"/>
      <c r="B552" s="590"/>
      <c r="C552" s="590"/>
      <c r="D552" s="590"/>
      <c r="E552" s="590"/>
      <c r="F552" s="590"/>
      <c r="G552" s="590"/>
      <c r="H552" s="590"/>
      <c r="I552" s="590"/>
      <c r="J552" s="590"/>
      <c r="K552" s="590"/>
      <c r="L552" s="590"/>
      <c r="M552" s="590"/>
      <c r="N552" s="590"/>
      <c r="O552" s="590"/>
      <c r="P552" s="590"/>
      <c r="Q552" s="590"/>
      <c r="R552" s="590"/>
      <c r="S552" s="590"/>
      <c r="T552" s="590"/>
      <c r="U552" s="590"/>
      <c r="V552" s="590"/>
      <c r="W552" s="590"/>
      <c r="X552" s="590"/>
      <c r="Y552" s="590"/>
      <c r="Z552" s="590"/>
    </row>
    <row r="553" spans="1:26" ht="15.75" customHeight="1">
      <c r="A553" s="590"/>
      <c r="B553" s="590"/>
      <c r="C553" s="590"/>
      <c r="D553" s="590"/>
      <c r="E553" s="590"/>
      <c r="F553" s="590"/>
      <c r="G553" s="590"/>
      <c r="H553" s="590"/>
      <c r="I553" s="590"/>
      <c r="J553" s="590"/>
      <c r="K553" s="590"/>
      <c r="L553" s="590"/>
      <c r="M553" s="590"/>
      <c r="N553" s="590"/>
      <c r="O553" s="590"/>
      <c r="P553" s="590"/>
      <c r="Q553" s="590"/>
      <c r="R553" s="590"/>
      <c r="S553" s="590"/>
      <c r="T553" s="590"/>
      <c r="U553" s="590"/>
      <c r="V553" s="590"/>
      <c r="W553" s="590"/>
      <c r="X553" s="590"/>
      <c r="Y553" s="590"/>
      <c r="Z553" s="590"/>
    </row>
    <row r="554" spans="1:26" ht="15.75" customHeight="1">
      <c r="A554" s="590"/>
      <c r="B554" s="590"/>
      <c r="C554" s="590"/>
      <c r="D554" s="590"/>
      <c r="E554" s="590"/>
      <c r="F554" s="590"/>
      <c r="G554" s="590"/>
      <c r="H554" s="590"/>
      <c r="I554" s="590"/>
      <c r="J554" s="590"/>
      <c r="K554" s="590"/>
      <c r="L554" s="590"/>
      <c r="M554" s="590"/>
      <c r="N554" s="590"/>
      <c r="O554" s="590"/>
      <c r="P554" s="590"/>
      <c r="Q554" s="590"/>
      <c r="R554" s="590"/>
      <c r="S554" s="590"/>
      <c r="T554" s="590"/>
      <c r="U554" s="590"/>
      <c r="V554" s="590"/>
      <c r="W554" s="590"/>
      <c r="X554" s="590"/>
      <c r="Y554" s="590"/>
      <c r="Z554" s="590"/>
    </row>
    <row r="555" spans="1:26" ht="15.75" customHeight="1">
      <c r="A555" s="590"/>
      <c r="B555" s="590"/>
      <c r="C555" s="590"/>
      <c r="D555" s="590"/>
      <c r="E555" s="590"/>
      <c r="F555" s="590"/>
      <c r="G555" s="590"/>
      <c r="H555" s="590"/>
      <c r="I555" s="590"/>
      <c r="J555" s="590"/>
      <c r="K555" s="590"/>
      <c r="L555" s="590"/>
      <c r="M555" s="590"/>
      <c r="N555" s="590"/>
      <c r="O555" s="590"/>
      <c r="P555" s="590"/>
      <c r="Q555" s="590"/>
      <c r="R555" s="590"/>
      <c r="S555" s="590"/>
      <c r="T555" s="590"/>
      <c r="U555" s="590"/>
      <c r="V555" s="590"/>
      <c r="W555" s="590"/>
      <c r="X555" s="590"/>
      <c r="Y555" s="590"/>
      <c r="Z555" s="590"/>
    </row>
    <row r="556" spans="1:26" ht="15.75" customHeight="1">
      <c r="A556" s="590"/>
      <c r="B556" s="590"/>
      <c r="C556" s="590"/>
      <c r="D556" s="590"/>
      <c r="E556" s="590"/>
      <c r="F556" s="590"/>
      <c r="G556" s="590"/>
      <c r="H556" s="590"/>
      <c r="I556" s="590"/>
      <c r="J556" s="590"/>
      <c r="K556" s="590"/>
      <c r="L556" s="590"/>
      <c r="M556" s="590"/>
      <c r="N556" s="590"/>
      <c r="O556" s="590"/>
      <c r="P556" s="590"/>
      <c r="Q556" s="590"/>
      <c r="R556" s="590"/>
      <c r="S556" s="590"/>
      <c r="T556" s="590"/>
      <c r="U556" s="590"/>
      <c r="V556" s="590"/>
      <c r="W556" s="590"/>
      <c r="X556" s="590"/>
      <c r="Y556" s="590"/>
      <c r="Z556" s="590"/>
    </row>
    <row r="557" spans="1:26" ht="15.75" customHeight="1">
      <c r="A557" s="590"/>
      <c r="B557" s="590"/>
      <c r="C557" s="590"/>
      <c r="D557" s="590"/>
      <c r="E557" s="590"/>
      <c r="F557" s="590"/>
      <c r="G557" s="590"/>
      <c r="H557" s="590"/>
      <c r="I557" s="590"/>
      <c r="J557" s="590"/>
      <c r="K557" s="590"/>
      <c r="L557" s="590"/>
      <c r="M557" s="590"/>
      <c r="N557" s="590"/>
      <c r="O557" s="590"/>
      <c r="P557" s="590"/>
      <c r="Q557" s="590"/>
      <c r="R557" s="590"/>
      <c r="S557" s="590"/>
      <c r="T557" s="590"/>
      <c r="U557" s="590"/>
      <c r="V557" s="590"/>
      <c r="W557" s="590"/>
      <c r="X557" s="590"/>
      <c r="Y557" s="590"/>
      <c r="Z557" s="590"/>
    </row>
    <row r="558" spans="1:26" ht="15.75" customHeight="1">
      <c r="A558" s="590"/>
      <c r="B558" s="590"/>
      <c r="C558" s="590"/>
      <c r="D558" s="590"/>
      <c r="E558" s="590"/>
      <c r="F558" s="590"/>
      <c r="G558" s="590"/>
      <c r="H558" s="590"/>
      <c r="I558" s="590"/>
      <c r="J558" s="590"/>
      <c r="K558" s="590"/>
      <c r="L558" s="590"/>
      <c r="M558" s="590"/>
      <c r="N558" s="590"/>
      <c r="O558" s="590"/>
      <c r="P558" s="590"/>
      <c r="Q558" s="590"/>
      <c r="R558" s="590"/>
      <c r="S558" s="590"/>
      <c r="T558" s="590"/>
      <c r="U558" s="590"/>
      <c r="V558" s="590"/>
      <c r="W558" s="590"/>
      <c r="X558" s="590"/>
      <c r="Y558" s="590"/>
      <c r="Z558" s="590"/>
    </row>
    <row r="559" spans="1:26" ht="15.75" customHeight="1">
      <c r="A559" s="590"/>
      <c r="B559" s="590"/>
      <c r="C559" s="590"/>
      <c r="D559" s="590"/>
      <c r="E559" s="590"/>
      <c r="F559" s="590"/>
      <c r="G559" s="590"/>
      <c r="H559" s="590"/>
      <c r="I559" s="590"/>
      <c r="J559" s="590"/>
      <c r="K559" s="590"/>
      <c r="L559" s="590"/>
      <c r="M559" s="590"/>
      <c r="N559" s="590"/>
      <c r="O559" s="590"/>
      <c r="P559" s="590"/>
      <c r="Q559" s="590"/>
      <c r="R559" s="590"/>
      <c r="S559" s="590"/>
      <c r="T559" s="590"/>
      <c r="U559" s="590"/>
      <c r="V559" s="590"/>
      <c r="W559" s="590"/>
      <c r="X559" s="590"/>
      <c r="Y559" s="590"/>
      <c r="Z559" s="590"/>
    </row>
    <row r="560" spans="1:26" ht="15.75" customHeight="1">
      <c r="A560" s="590"/>
      <c r="B560" s="590"/>
      <c r="C560" s="590"/>
      <c r="D560" s="590"/>
      <c r="E560" s="590"/>
      <c r="F560" s="590"/>
      <c r="G560" s="590"/>
      <c r="H560" s="590"/>
      <c r="I560" s="590"/>
      <c r="J560" s="590"/>
      <c r="K560" s="590"/>
      <c r="L560" s="590"/>
      <c r="M560" s="590"/>
      <c r="N560" s="590"/>
      <c r="O560" s="590"/>
      <c r="P560" s="590"/>
      <c r="Q560" s="590"/>
      <c r="R560" s="590"/>
      <c r="S560" s="590"/>
      <c r="T560" s="590"/>
      <c r="U560" s="590"/>
      <c r="V560" s="590"/>
      <c r="W560" s="590"/>
      <c r="X560" s="590"/>
      <c r="Y560" s="590"/>
      <c r="Z560" s="590"/>
    </row>
    <row r="561" spans="1:26" ht="15.75" customHeight="1">
      <c r="A561" s="590"/>
      <c r="B561" s="590"/>
      <c r="C561" s="590"/>
      <c r="D561" s="590"/>
      <c r="E561" s="590"/>
      <c r="F561" s="590"/>
      <c r="G561" s="590"/>
      <c r="H561" s="590"/>
      <c r="I561" s="590"/>
      <c r="J561" s="590"/>
      <c r="K561" s="590"/>
      <c r="L561" s="590"/>
      <c r="M561" s="590"/>
      <c r="N561" s="590"/>
      <c r="O561" s="590"/>
      <c r="P561" s="590"/>
      <c r="Q561" s="590"/>
      <c r="R561" s="590"/>
      <c r="S561" s="590"/>
      <c r="T561" s="590"/>
      <c r="U561" s="590"/>
      <c r="V561" s="590"/>
      <c r="W561" s="590"/>
      <c r="X561" s="590"/>
      <c r="Y561" s="590"/>
      <c r="Z561" s="590"/>
    </row>
    <row r="562" spans="1:26" ht="15.75" customHeight="1">
      <c r="A562" s="590"/>
      <c r="B562" s="590"/>
      <c r="C562" s="590"/>
      <c r="D562" s="590"/>
      <c r="E562" s="590"/>
      <c r="F562" s="590"/>
      <c r="G562" s="590"/>
      <c r="H562" s="590"/>
      <c r="I562" s="590"/>
      <c r="J562" s="590"/>
      <c r="K562" s="590"/>
      <c r="L562" s="590"/>
      <c r="M562" s="590"/>
      <c r="N562" s="590"/>
      <c r="O562" s="590"/>
      <c r="P562" s="590"/>
      <c r="Q562" s="590"/>
      <c r="R562" s="590"/>
      <c r="S562" s="590"/>
      <c r="T562" s="590"/>
      <c r="U562" s="590"/>
      <c r="V562" s="590"/>
      <c r="W562" s="590"/>
      <c r="X562" s="590"/>
      <c r="Y562" s="590"/>
      <c r="Z562" s="590"/>
    </row>
    <row r="563" spans="1:26" ht="15.75" customHeight="1">
      <c r="A563" s="590"/>
      <c r="B563" s="590"/>
      <c r="C563" s="590"/>
      <c r="D563" s="590"/>
      <c r="E563" s="590"/>
      <c r="F563" s="590"/>
      <c r="G563" s="590"/>
      <c r="H563" s="590"/>
      <c r="I563" s="590"/>
      <c r="J563" s="590"/>
      <c r="K563" s="590"/>
      <c r="L563" s="590"/>
      <c r="M563" s="590"/>
      <c r="N563" s="590"/>
      <c r="O563" s="590"/>
      <c r="P563" s="590"/>
      <c r="Q563" s="590"/>
      <c r="R563" s="590"/>
      <c r="S563" s="590"/>
      <c r="T563" s="590"/>
      <c r="U563" s="590"/>
      <c r="V563" s="590"/>
      <c r="W563" s="590"/>
      <c r="X563" s="590"/>
      <c r="Y563" s="590"/>
      <c r="Z563" s="590"/>
    </row>
    <row r="564" spans="1:26" ht="15.75" customHeight="1">
      <c r="A564" s="590"/>
      <c r="B564" s="590"/>
      <c r="C564" s="590"/>
      <c r="D564" s="590"/>
      <c r="E564" s="590"/>
      <c r="F564" s="590"/>
      <c r="G564" s="590"/>
      <c r="H564" s="590"/>
      <c r="I564" s="590"/>
      <c r="J564" s="590"/>
      <c r="K564" s="590"/>
      <c r="L564" s="590"/>
      <c r="M564" s="590"/>
      <c r="N564" s="590"/>
      <c r="O564" s="590"/>
      <c r="P564" s="590"/>
      <c r="Q564" s="590"/>
      <c r="R564" s="590"/>
      <c r="S564" s="590"/>
      <c r="T564" s="590"/>
      <c r="U564" s="590"/>
      <c r="V564" s="590"/>
      <c r="W564" s="590"/>
      <c r="X564" s="590"/>
      <c r="Y564" s="590"/>
      <c r="Z564" s="590"/>
    </row>
    <row r="565" spans="1:26" ht="15.75" customHeight="1">
      <c r="A565" s="590"/>
      <c r="B565" s="590"/>
      <c r="C565" s="590"/>
      <c r="D565" s="590"/>
      <c r="E565" s="590"/>
      <c r="F565" s="590"/>
      <c r="G565" s="590"/>
      <c r="H565" s="590"/>
      <c r="I565" s="590"/>
      <c r="J565" s="590"/>
      <c r="K565" s="590"/>
      <c r="L565" s="590"/>
      <c r="M565" s="590"/>
      <c r="N565" s="590"/>
      <c r="O565" s="590"/>
      <c r="P565" s="590"/>
      <c r="Q565" s="590"/>
      <c r="R565" s="590"/>
      <c r="S565" s="590"/>
      <c r="T565" s="590"/>
      <c r="U565" s="590"/>
      <c r="V565" s="590"/>
      <c r="W565" s="590"/>
      <c r="X565" s="590"/>
      <c r="Y565" s="590"/>
      <c r="Z565" s="590"/>
    </row>
    <row r="566" spans="1:26" ht="15.75" customHeight="1">
      <c r="A566" s="590"/>
      <c r="B566" s="590"/>
      <c r="C566" s="590"/>
      <c r="D566" s="590"/>
      <c r="E566" s="590"/>
      <c r="F566" s="590"/>
      <c r="G566" s="590"/>
      <c r="H566" s="590"/>
      <c r="I566" s="590"/>
      <c r="J566" s="590"/>
      <c r="K566" s="590"/>
      <c r="L566" s="590"/>
      <c r="M566" s="590"/>
      <c r="N566" s="590"/>
      <c r="O566" s="590"/>
      <c r="P566" s="590"/>
      <c r="Q566" s="590"/>
      <c r="R566" s="590"/>
      <c r="S566" s="590"/>
      <c r="T566" s="590"/>
      <c r="U566" s="590"/>
      <c r="V566" s="590"/>
      <c r="W566" s="590"/>
      <c r="X566" s="590"/>
      <c r="Y566" s="590"/>
      <c r="Z566" s="590"/>
    </row>
    <row r="567" spans="1:26" ht="15.75" customHeight="1">
      <c r="A567" s="590"/>
      <c r="B567" s="590"/>
      <c r="C567" s="590"/>
      <c r="D567" s="590"/>
      <c r="E567" s="590"/>
      <c r="F567" s="590"/>
      <c r="G567" s="590"/>
      <c r="H567" s="590"/>
      <c r="I567" s="590"/>
      <c r="J567" s="590"/>
      <c r="K567" s="590"/>
      <c r="L567" s="590"/>
      <c r="M567" s="590"/>
      <c r="N567" s="590"/>
      <c r="O567" s="590"/>
      <c r="P567" s="590"/>
      <c r="Q567" s="590"/>
      <c r="R567" s="590"/>
      <c r="S567" s="590"/>
      <c r="T567" s="590"/>
      <c r="U567" s="590"/>
      <c r="V567" s="590"/>
      <c r="W567" s="590"/>
      <c r="X567" s="590"/>
      <c r="Y567" s="590"/>
      <c r="Z567" s="590"/>
    </row>
    <row r="568" spans="1:26" ht="15.75" customHeight="1">
      <c r="A568" s="590"/>
      <c r="B568" s="590"/>
      <c r="C568" s="590"/>
      <c r="D568" s="590"/>
      <c r="E568" s="590"/>
      <c r="F568" s="590"/>
      <c r="G568" s="590"/>
      <c r="H568" s="590"/>
      <c r="I568" s="590"/>
      <c r="J568" s="590"/>
      <c r="K568" s="590"/>
      <c r="L568" s="590"/>
      <c r="M568" s="590"/>
      <c r="N568" s="590"/>
      <c r="O568" s="590"/>
      <c r="P568" s="590"/>
      <c r="Q568" s="590"/>
      <c r="R568" s="590"/>
      <c r="S568" s="590"/>
      <c r="T568" s="590"/>
      <c r="U568" s="590"/>
      <c r="V568" s="590"/>
      <c r="W568" s="590"/>
      <c r="X568" s="590"/>
      <c r="Y568" s="590"/>
      <c r="Z568" s="590"/>
    </row>
    <row r="569" spans="1:26" ht="15.75" customHeight="1">
      <c r="A569" s="590"/>
      <c r="B569" s="590"/>
      <c r="C569" s="590"/>
      <c r="D569" s="590"/>
      <c r="E569" s="590"/>
      <c r="F569" s="590"/>
      <c r="G569" s="590"/>
      <c r="H569" s="590"/>
      <c r="I569" s="590"/>
      <c r="J569" s="590"/>
      <c r="K569" s="590"/>
      <c r="L569" s="590"/>
      <c r="M569" s="590"/>
      <c r="N569" s="590"/>
      <c r="O569" s="590"/>
      <c r="P569" s="590"/>
      <c r="Q569" s="590"/>
      <c r="R569" s="590"/>
      <c r="S569" s="590"/>
      <c r="T569" s="590"/>
      <c r="U569" s="590"/>
      <c r="V569" s="590"/>
      <c r="W569" s="590"/>
      <c r="X569" s="590"/>
      <c r="Y569" s="590"/>
      <c r="Z569" s="590"/>
    </row>
    <row r="570" spans="1:26" ht="15.75" customHeight="1">
      <c r="A570" s="590"/>
      <c r="B570" s="590"/>
      <c r="C570" s="590"/>
      <c r="D570" s="590"/>
      <c r="E570" s="590"/>
      <c r="F570" s="590"/>
      <c r="G570" s="590"/>
      <c r="H570" s="590"/>
      <c r="I570" s="590"/>
      <c r="J570" s="590"/>
      <c r="K570" s="590"/>
      <c r="L570" s="590"/>
      <c r="M570" s="590"/>
      <c r="N570" s="590"/>
      <c r="O570" s="590"/>
      <c r="P570" s="590"/>
      <c r="Q570" s="590"/>
      <c r="R570" s="590"/>
      <c r="S570" s="590"/>
      <c r="T570" s="590"/>
      <c r="U570" s="590"/>
      <c r="V570" s="590"/>
      <c r="W570" s="590"/>
      <c r="X570" s="590"/>
      <c r="Y570" s="590"/>
      <c r="Z570" s="590"/>
    </row>
    <row r="571" spans="1:26" ht="15.75" customHeight="1">
      <c r="A571" s="590"/>
      <c r="B571" s="590"/>
      <c r="C571" s="590"/>
      <c r="D571" s="590"/>
      <c r="E571" s="590"/>
      <c r="F571" s="590"/>
      <c r="G571" s="590"/>
      <c r="H571" s="590"/>
      <c r="I571" s="590"/>
      <c r="J571" s="590"/>
      <c r="K571" s="590"/>
      <c r="L571" s="590"/>
      <c r="M571" s="590"/>
      <c r="N571" s="590"/>
      <c r="O571" s="590"/>
      <c r="P571" s="590"/>
      <c r="Q571" s="590"/>
      <c r="R571" s="590"/>
      <c r="S571" s="590"/>
      <c r="T571" s="590"/>
      <c r="U571" s="590"/>
      <c r="V571" s="590"/>
      <c r="W571" s="590"/>
      <c r="X571" s="590"/>
      <c r="Y571" s="590"/>
      <c r="Z571" s="590"/>
    </row>
    <row r="572" spans="1:26" ht="15.75" customHeight="1">
      <c r="A572" s="590"/>
      <c r="B572" s="590"/>
      <c r="C572" s="590"/>
      <c r="D572" s="590"/>
      <c r="E572" s="590"/>
      <c r="F572" s="590"/>
      <c r="G572" s="590"/>
      <c r="H572" s="590"/>
      <c r="I572" s="590"/>
      <c r="J572" s="590"/>
      <c r="K572" s="590"/>
      <c r="L572" s="590"/>
      <c r="M572" s="590"/>
      <c r="N572" s="590"/>
      <c r="O572" s="590"/>
      <c r="P572" s="590"/>
      <c r="Q572" s="590"/>
      <c r="R572" s="590"/>
      <c r="S572" s="590"/>
      <c r="T572" s="590"/>
      <c r="U572" s="590"/>
      <c r="V572" s="590"/>
      <c r="W572" s="590"/>
      <c r="X572" s="590"/>
      <c r="Y572" s="590"/>
      <c r="Z572" s="590"/>
    </row>
    <row r="573" spans="1:26" ht="15.75" customHeight="1">
      <c r="A573" s="590"/>
      <c r="B573" s="590"/>
      <c r="C573" s="590"/>
      <c r="D573" s="590"/>
      <c r="E573" s="590"/>
      <c r="F573" s="590"/>
      <c r="G573" s="590"/>
      <c r="H573" s="590"/>
      <c r="I573" s="590"/>
      <c r="J573" s="590"/>
      <c r="K573" s="590"/>
      <c r="L573" s="590"/>
      <c r="M573" s="590"/>
      <c r="N573" s="590"/>
      <c r="O573" s="590"/>
      <c r="P573" s="590"/>
      <c r="Q573" s="590"/>
      <c r="R573" s="590"/>
      <c r="S573" s="590"/>
      <c r="T573" s="590"/>
      <c r="U573" s="590"/>
      <c r="V573" s="590"/>
      <c r="W573" s="590"/>
      <c r="X573" s="590"/>
      <c r="Y573" s="590"/>
      <c r="Z573" s="590"/>
    </row>
    <row r="574" spans="1:26" ht="15.75" customHeight="1">
      <c r="A574" s="590"/>
      <c r="B574" s="590"/>
      <c r="C574" s="590"/>
      <c r="D574" s="590"/>
      <c r="E574" s="590"/>
      <c r="F574" s="590"/>
      <c r="G574" s="590"/>
      <c r="H574" s="590"/>
      <c r="I574" s="590"/>
      <c r="J574" s="590"/>
      <c r="K574" s="590"/>
      <c r="L574" s="590"/>
      <c r="M574" s="590"/>
      <c r="N574" s="590"/>
      <c r="O574" s="590"/>
      <c r="P574" s="590"/>
      <c r="Q574" s="590"/>
      <c r="R574" s="590"/>
      <c r="S574" s="590"/>
      <c r="T574" s="590"/>
      <c r="U574" s="590"/>
      <c r="V574" s="590"/>
      <c r="W574" s="590"/>
      <c r="X574" s="590"/>
      <c r="Y574" s="590"/>
      <c r="Z574" s="590"/>
    </row>
    <row r="575" spans="1:26" ht="15.75" customHeight="1">
      <c r="A575" s="590"/>
      <c r="B575" s="590"/>
      <c r="C575" s="590"/>
      <c r="D575" s="590"/>
      <c r="E575" s="590"/>
      <c r="F575" s="590"/>
      <c r="G575" s="590"/>
      <c r="H575" s="590"/>
      <c r="I575" s="590"/>
      <c r="J575" s="590"/>
      <c r="K575" s="590"/>
      <c r="L575" s="590"/>
      <c r="M575" s="590"/>
      <c r="N575" s="590"/>
      <c r="O575" s="590"/>
      <c r="P575" s="590"/>
      <c r="Q575" s="590"/>
      <c r="R575" s="590"/>
      <c r="S575" s="590"/>
      <c r="T575" s="590"/>
      <c r="U575" s="590"/>
      <c r="V575" s="590"/>
      <c r="W575" s="590"/>
      <c r="X575" s="590"/>
      <c r="Y575" s="590"/>
      <c r="Z575" s="590"/>
    </row>
    <row r="576" spans="1:26" ht="15.75" customHeight="1">
      <c r="A576" s="590"/>
      <c r="B576" s="590"/>
      <c r="C576" s="590"/>
      <c r="D576" s="590"/>
      <c r="E576" s="590"/>
      <c r="F576" s="590"/>
      <c r="G576" s="590"/>
      <c r="H576" s="590"/>
      <c r="I576" s="590"/>
      <c r="J576" s="590"/>
      <c r="K576" s="590"/>
      <c r="L576" s="590"/>
      <c r="M576" s="590"/>
      <c r="N576" s="590"/>
      <c r="O576" s="590"/>
      <c r="P576" s="590"/>
      <c r="Q576" s="590"/>
      <c r="R576" s="590"/>
      <c r="S576" s="590"/>
      <c r="T576" s="590"/>
      <c r="U576" s="590"/>
      <c r="V576" s="590"/>
      <c r="W576" s="590"/>
      <c r="X576" s="590"/>
      <c r="Y576" s="590"/>
      <c r="Z576" s="590"/>
    </row>
    <row r="577" spans="1:26" ht="15.75" customHeight="1">
      <c r="A577" s="590"/>
      <c r="B577" s="590"/>
      <c r="C577" s="590"/>
      <c r="D577" s="590"/>
      <c r="E577" s="590"/>
      <c r="F577" s="590"/>
      <c r="G577" s="590"/>
      <c r="H577" s="590"/>
      <c r="I577" s="590"/>
      <c r="J577" s="590"/>
      <c r="K577" s="590"/>
      <c r="L577" s="590"/>
      <c r="M577" s="590"/>
      <c r="N577" s="590"/>
      <c r="O577" s="590"/>
      <c r="P577" s="590"/>
      <c r="Q577" s="590"/>
      <c r="R577" s="590"/>
      <c r="S577" s="590"/>
      <c r="T577" s="590"/>
      <c r="U577" s="590"/>
      <c r="V577" s="590"/>
      <c r="W577" s="590"/>
      <c r="X577" s="590"/>
      <c r="Y577" s="590"/>
      <c r="Z577" s="590"/>
    </row>
    <row r="578" spans="1:26" ht="15.75" customHeight="1">
      <c r="A578" s="590"/>
      <c r="B578" s="590"/>
      <c r="C578" s="590"/>
      <c r="D578" s="590"/>
      <c r="E578" s="590"/>
      <c r="F578" s="590"/>
      <c r="G578" s="590"/>
      <c r="H578" s="590"/>
      <c r="I578" s="590"/>
      <c r="J578" s="590"/>
      <c r="K578" s="590"/>
      <c r="L578" s="590"/>
      <c r="M578" s="590"/>
      <c r="N578" s="590"/>
      <c r="O578" s="590"/>
      <c r="P578" s="590"/>
      <c r="Q578" s="590"/>
      <c r="R578" s="590"/>
      <c r="S578" s="590"/>
      <c r="T578" s="590"/>
      <c r="U578" s="590"/>
      <c r="V578" s="590"/>
      <c r="W578" s="590"/>
      <c r="X578" s="590"/>
      <c r="Y578" s="590"/>
      <c r="Z578" s="590"/>
    </row>
    <row r="579" spans="1:26" ht="15.75" customHeight="1">
      <c r="A579" s="590"/>
      <c r="B579" s="590"/>
      <c r="C579" s="590"/>
      <c r="D579" s="590"/>
      <c r="E579" s="590"/>
      <c r="F579" s="590"/>
      <c r="G579" s="590"/>
      <c r="H579" s="590"/>
      <c r="I579" s="590"/>
      <c r="J579" s="590"/>
      <c r="K579" s="590"/>
      <c r="L579" s="590"/>
      <c r="M579" s="590"/>
      <c r="N579" s="590"/>
      <c r="O579" s="590"/>
      <c r="P579" s="590"/>
      <c r="Q579" s="590"/>
      <c r="R579" s="590"/>
      <c r="S579" s="590"/>
      <c r="T579" s="590"/>
      <c r="U579" s="590"/>
      <c r="V579" s="590"/>
      <c r="W579" s="590"/>
      <c r="X579" s="590"/>
      <c r="Y579" s="590"/>
      <c r="Z579" s="590"/>
    </row>
    <row r="580" spans="1:26" ht="15.75" customHeight="1">
      <c r="A580" s="590"/>
      <c r="B580" s="590"/>
      <c r="C580" s="590"/>
      <c r="D580" s="590"/>
      <c r="E580" s="590"/>
      <c r="F580" s="590"/>
      <c r="G580" s="590"/>
      <c r="H580" s="590"/>
      <c r="I580" s="590"/>
      <c r="J580" s="590"/>
      <c r="K580" s="590"/>
      <c r="L580" s="590"/>
      <c r="M580" s="590"/>
      <c r="N580" s="590"/>
      <c r="O580" s="590"/>
      <c r="P580" s="590"/>
      <c r="Q580" s="590"/>
      <c r="R580" s="590"/>
      <c r="S580" s="590"/>
      <c r="T580" s="590"/>
      <c r="U580" s="590"/>
      <c r="V580" s="590"/>
      <c r="W580" s="590"/>
      <c r="X580" s="590"/>
      <c r="Y580" s="590"/>
      <c r="Z580" s="590"/>
    </row>
    <row r="581" spans="1:26" ht="15.75" customHeight="1">
      <c r="A581" s="590"/>
      <c r="B581" s="590"/>
      <c r="C581" s="590"/>
      <c r="D581" s="590"/>
      <c r="E581" s="590"/>
      <c r="F581" s="590"/>
      <c r="G581" s="590"/>
      <c r="H581" s="590"/>
      <c r="I581" s="590"/>
      <c r="J581" s="590"/>
      <c r="K581" s="590"/>
      <c r="L581" s="590"/>
      <c r="M581" s="590"/>
      <c r="N581" s="590"/>
      <c r="O581" s="590"/>
      <c r="P581" s="590"/>
      <c r="Q581" s="590"/>
      <c r="R581" s="590"/>
      <c r="S581" s="590"/>
      <c r="T581" s="590"/>
      <c r="U581" s="590"/>
      <c r="V581" s="590"/>
      <c r="W581" s="590"/>
      <c r="X581" s="590"/>
      <c r="Y581" s="590"/>
      <c r="Z581" s="590"/>
    </row>
    <row r="582" spans="1:26" ht="15.75" customHeight="1">
      <c r="A582" s="590"/>
      <c r="B582" s="590"/>
      <c r="C582" s="590"/>
      <c r="D582" s="590"/>
      <c r="E582" s="590"/>
      <c r="F582" s="590"/>
      <c r="G582" s="590"/>
      <c r="H582" s="590"/>
      <c r="I582" s="590"/>
      <c r="J582" s="590"/>
      <c r="K582" s="590"/>
      <c r="L582" s="590"/>
      <c r="M582" s="590"/>
      <c r="N582" s="590"/>
      <c r="O582" s="590"/>
      <c r="P582" s="590"/>
      <c r="Q582" s="590"/>
      <c r="R582" s="590"/>
      <c r="S582" s="590"/>
      <c r="T582" s="590"/>
      <c r="U582" s="590"/>
      <c r="V582" s="590"/>
      <c r="W582" s="590"/>
      <c r="X582" s="590"/>
      <c r="Y582" s="590"/>
      <c r="Z582" s="590"/>
    </row>
    <row r="583" spans="1:26" ht="15.75" customHeight="1">
      <c r="A583" s="590"/>
      <c r="B583" s="590"/>
      <c r="C583" s="590"/>
      <c r="D583" s="590"/>
      <c r="E583" s="590"/>
      <c r="F583" s="590"/>
      <c r="G583" s="590"/>
      <c r="H583" s="590"/>
      <c r="I583" s="590"/>
      <c r="J583" s="590"/>
      <c r="K583" s="590"/>
      <c r="L583" s="590"/>
      <c r="M583" s="590"/>
      <c r="N583" s="590"/>
      <c r="O583" s="590"/>
      <c r="P583" s="590"/>
      <c r="Q583" s="590"/>
      <c r="R583" s="590"/>
      <c r="S583" s="590"/>
      <c r="T583" s="590"/>
      <c r="U583" s="590"/>
      <c r="V583" s="590"/>
      <c r="W583" s="590"/>
      <c r="X583" s="590"/>
      <c r="Y583" s="590"/>
      <c r="Z583" s="590"/>
    </row>
    <row r="584" spans="1:26" ht="15.75" customHeight="1">
      <c r="A584" s="590"/>
      <c r="B584" s="590"/>
      <c r="C584" s="590"/>
      <c r="D584" s="590"/>
      <c r="E584" s="590"/>
      <c r="F584" s="590"/>
      <c r="G584" s="590"/>
      <c r="H584" s="590"/>
      <c r="I584" s="590"/>
      <c r="J584" s="590"/>
      <c r="K584" s="590"/>
      <c r="L584" s="590"/>
      <c r="M584" s="590"/>
      <c r="N584" s="590"/>
      <c r="O584" s="590"/>
      <c r="P584" s="590"/>
      <c r="Q584" s="590"/>
      <c r="R584" s="590"/>
      <c r="S584" s="590"/>
      <c r="T584" s="590"/>
      <c r="U584" s="590"/>
      <c r="V584" s="590"/>
      <c r="W584" s="590"/>
      <c r="X584" s="590"/>
      <c r="Y584" s="590"/>
      <c r="Z584" s="590"/>
    </row>
    <row r="585" spans="1:26" ht="15.75" customHeight="1">
      <c r="A585" s="590"/>
      <c r="B585" s="590"/>
      <c r="C585" s="590"/>
      <c r="D585" s="590"/>
      <c r="E585" s="590"/>
      <c r="F585" s="590"/>
      <c r="G585" s="590"/>
      <c r="H585" s="590"/>
      <c r="I585" s="590"/>
      <c r="J585" s="590"/>
      <c r="K585" s="590"/>
      <c r="L585" s="590"/>
      <c r="M585" s="590"/>
      <c r="N585" s="590"/>
      <c r="O585" s="590"/>
      <c r="P585" s="590"/>
      <c r="Q585" s="590"/>
      <c r="R585" s="590"/>
      <c r="S585" s="590"/>
      <c r="T585" s="590"/>
      <c r="U585" s="590"/>
      <c r="V585" s="590"/>
      <c r="W585" s="590"/>
      <c r="X585" s="590"/>
      <c r="Y585" s="590"/>
      <c r="Z585" s="590"/>
    </row>
    <row r="586" spans="1:26" ht="15.75" customHeight="1">
      <c r="A586" s="590"/>
      <c r="B586" s="590"/>
      <c r="C586" s="590"/>
      <c r="D586" s="590"/>
      <c r="E586" s="590"/>
      <c r="F586" s="590"/>
      <c r="G586" s="590"/>
      <c r="H586" s="590"/>
      <c r="I586" s="590"/>
      <c r="J586" s="590"/>
      <c r="K586" s="590"/>
      <c r="L586" s="590"/>
      <c r="M586" s="590"/>
      <c r="N586" s="590"/>
      <c r="O586" s="590"/>
      <c r="P586" s="590"/>
      <c r="Q586" s="590"/>
      <c r="R586" s="590"/>
      <c r="S586" s="590"/>
      <c r="T586" s="590"/>
      <c r="U586" s="590"/>
      <c r="V586" s="590"/>
      <c r="W586" s="590"/>
      <c r="X586" s="590"/>
      <c r="Y586" s="590"/>
      <c r="Z586" s="590"/>
    </row>
    <row r="587" spans="1:26" ht="15.75" customHeight="1">
      <c r="A587" s="590"/>
      <c r="B587" s="590"/>
      <c r="C587" s="590"/>
      <c r="D587" s="590"/>
      <c r="E587" s="590"/>
      <c r="F587" s="590"/>
      <c r="G587" s="590"/>
      <c r="H587" s="590"/>
      <c r="I587" s="590"/>
      <c r="J587" s="590"/>
      <c r="K587" s="590"/>
      <c r="L587" s="590"/>
      <c r="M587" s="590"/>
      <c r="N587" s="590"/>
      <c r="O587" s="590"/>
      <c r="P587" s="590"/>
      <c r="Q587" s="590"/>
      <c r="R587" s="590"/>
      <c r="S587" s="590"/>
      <c r="T587" s="590"/>
      <c r="U587" s="590"/>
      <c r="V587" s="590"/>
      <c r="W587" s="590"/>
      <c r="X587" s="590"/>
      <c r="Y587" s="590"/>
      <c r="Z587" s="590"/>
    </row>
    <row r="588" spans="1:26" ht="15.75" customHeight="1">
      <c r="A588" s="590"/>
      <c r="B588" s="590"/>
      <c r="C588" s="590"/>
      <c r="D588" s="590"/>
      <c r="E588" s="590"/>
      <c r="F588" s="590"/>
      <c r="G588" s="590"/>
      <c r="H588" s="590"/>
      <c r="I588" s="590"/>
      <c r="J588" s="590"/>
      <c r="K588" s="590"/>
      <c r="L588" s="590"/>
      <c r="M588" s="590"/>
      <c r="N588" s="590"/>
      <c r="O588" s="590"/>
      <c r="P588" s="590"/>
      <c r="Q588" s="590"/>
      <c r="R588" s="590"/>
      <c r="S588" s="590"/>
      <c r="T588" s="590"/>
      <c r="U588" s="590"/>
      <c r="V588" s="590"/>
      <c r="W588" s="590"/>
      <c r="X588" s="590"/>
      <c r="Y588" s="590"/>
      <c r="Z588" s="590"/>
    </row>
    <row r="589" spans="1:26" ht="15.75" customHeight="1">
      <c r="A589" s="590"/>
      <c r="B589" s="590"/>
      <c r="C589" s="590"/>
      <c r="D589" s="590"/>
      <c r="E589" s="590"/>
      <c r="F589" s="590"/>
      <c r="G589" s="590"/>
      <c r="H589" s="590"/>
      <c r="I589" s="590"/>
      <c r="J589" s="590"/>
      <c r="K589" s="590"/>
      <c r="L589" s="590"/>
      <c r="M589" s="590"/>
      <c r="N589" s="590"/>
      <c r="O589" s="590"/>
      <c r="P589" s="590"/>
      <c r="Q589" s="590"/>
      <c r="R589" s="590"/>
      <c r="S589" s="590"/>
      <c r="T589" s="590"/>
      <c r="U589" s="590"/>
      <c r="V589" s="590"/>
      <c r="W589" s="590"/>
      <c r="X589" s="590"/>
      <c r="Y589" s="590"/>
      <c r="Z589" s="590"/>
    </row>
    <row r="590" spans="1:26" ht="15.75" customHeight="1">
      <c r="A590" s="590"/>
      <c r="B590" s="590"/>
      <c r="C590" s="590"/>
      <c r="D590" s="590"/>
      <c r="E590" s="590"/>
      <c r="F590" s="590"/>
      <c r="G590" s="590"/>
      <c r="H590" s="590"/>
      <c r="I590" s="590"/>
      <c r="J590" s="590"/>
      <c r="K590" s="590"/>
      <c r="L590" s="590"/>
      <c r="M590" s="590"/>
      <c r="N590" s="590"/>
      <c r="O590" s="590"/>
      <c r="P590" s="590"/>
      <c r="Q590" s="590"/>
      <c r="R590" s="590"/>
      <c r="S590" s="590"/>
      <c r="T590" s="590"/>
      <c r="U590" s="590"/>
      <c r="V590" s="590"/>
      <c r="W590" s="590"/>
      <c r="X590" s="590"/>
      <c r="Y590" s="590"/>
      <c r="Z590" s="590"/>
    </row>
    <row r="591" spans="1:26" ht="15.75" customHeight="1">
      <c r="A591" s="590"/>
      <c r="B591" s="590"/>
      <c r="C591" s="590"/>
      <c r="D591" s="590"/>
      <c r="E591" s="590"/>
      <c r="F591" s="590"/>
      <c r="G591" s="590"/>
      <c r="H591" s="590"/>
      <c r="I591" s="590"/>
      <c r="J591" s="590"/>
      <c r="K591" s="590"/>
      <c r="L591" s="590"/>
      <c r="M591" s="590"/>
      <c r="N591" s="590"/>
      <c r="O591" s="590"/>
      <c r="P591" s="590"/>
      <c r="Q591" s="590"/>
      <c r="R591" s="590"/>
      <c r="S591" s="590"/>
      <c r="T591" s="590"/>
      <c r="U591" s="590"/>
      <c r="V591" s="590"/>
      <c r="W591" s="590"/>
      <c r="X591" s="590"/>
      <c r="Y591" s="590"/>
      <c r="Z591" s="590"/>
    </row>
    <row r="592" spans="1:26" ht="15.75" customHeight="1">
      <c r="A592" s="590"/>
      <c r="B592" s="590"/>
      <c r="C592" s="590"/>
      <c r="D592" s="590"/>
      <c r="E592" s="590"/>
      <c r="F592" s="590"/>
      <c r="G592" s="590"/>
      <c r="H592" s="590"/>
      <c r="I592" s="590"/>
      <c r="J592" s="590"/>
      <c r="K592" s="590"/>
      <c r="L592" s="590"/>
      <c r="M592" s="590"/>
      <c r="N592" s="590"/>
      <c r="O592" s="590"/>
      <c r="P592" s="590"/>
      <c r="Q592" s="590"/>
      <c r="R592" s="590"/>
      <c r="S592" s="590"/>
      <c r="T592" s="590"/>
      <c r="U592" s="590"/>
      <c r="V592" s="590"/>
      <c r="W592" s="590"/>
      <c r="X592" s="590"/>
      <c r="Y592" s="590"/>
      <c r="Z592" s="590"/>
    </row>
    <row r="593" spans="1:26" ht="15.75" customHeight="1">
      <c r="A593" s="590"/>
      <c r="B593" s="590"/>
      <c r="C593" s="590"/>
      <c r="D593" s="590"/>
      <c r="E593" s="590"/>
      <c r="F593" s="590"/>
      <c r="G593" s="590"/>
      <c r="H593" s="590"/>
      <c r="I593" s="590"/>
      <c r="J593" s="590"/>
      <c r="K593" s="590"/>
      <c r="L593" s="590"/>
      <c r="M593" s="590"/>
      <c r="N593" s="590"/>
      <c r="O593" s="590"/>
      <c r="P593" s="590"/>
      <c r="Q593" s="590"/>
      <c r="R593" s="590"/>
      <c r="S593" s="590"/>
      <c r="T593" s="590"/>
      <c r="U593" s="590"/>
      <c r="V593" s="590"/>
      <c r="W593" s="590"/>
      <c r="X593" s="590"/>
      <c r="Y593" s="590"/>
      <c r="Z593" s="590"/>
    </row>
    <row r="594" spans="1:26" ht="15.75" customHeight="1">
      <c r="A594" s="590"/>
      <c r="B594" s="590"/>
      <c r="C594" s="590"/>
      <c r="D594" s="590"/>
      <c r="E594" s="590"/>
      <c r="F594" s="590"/>
      <c r="G594" s="590"/>
      <c r="H594" s="590"/>
      <c r="I594" s="590"/>
      <c r="J594" s="590"/>
      <c r="K594" s="590"/>
      <c r="L594" s="590"/>
      <c r="M594" s="590"/>
      <c r="N594" s="590"/>
      <c r="O594" s="590"/>
      <c r="P594" s="590"/>
      <c r="Q594" s="590"/>
      <c r="R594" s="590"/>
      <c r="S594" s="590"/>
      <c r="T594" s="590"/>
      <c r="U594" s="590"/>
      <c r="V594" s="590"/>
      <c r="W594" s="590"/>
      <c r="X594" s="590"/>
      <c r="Y594" s="590"/>
      <c r="Z594" s="590"/>
    </row>
    <row r="595" spans="1:26" ht="15.75" customHeight="1">
      <c r="A595" s="590"/>
      <c r="B595" s="590"/>
      <c r="C595" s="590"/>
      <c r="D595" s="590"/>
      <c r="E595" s="590"/>
      <c r="F595" s="590"/>
      <c r="G595" s="590"/>
      <c r="H595" s="590"/>
      <c r="I595" s="590"/>
      <c r="J595" s="590"/>
      <c r="K595" s="590"/>
      <c r="L595" s="590"/>
      <c r="M595" s="590"/>
      <c r="N595" s="590"/>
      <c r="O595" s="590"/>
      <c r="P595" s="590"/>
      <c r="Q595" s="590"/>
      <c r="R595" s="590"/>
      <c r="S595" s="590"/>
      <c r="T595" s="590"/>
      <c r="U595" s="590"/>
      <c r="V595" s="590"/>
      <c r="W595" s="590"/>
      <c r="X595" s="590"/>
      <c r="Y595" s="590"/>
      <c r="Z595" s="590"/>
    </row>
    <row r="596" spans="1:26" ht="15.75" customHeight="1">
      <c r="A596" s="590"/>
      <c r="B596" s="590"/>
      <c r="C596" s="590"/>
      <c r="D596" s="590"/>
      <c r="E596" s="590"/>
      <c r="F596" s="590"/>
      <c r="G596" s="590"/>
      <c r="H596" s="590"/>
      <c r="I596" s="590"/>
      <c r="J596" s="590"/>
      <c r="K596" s="590"/>
      <c r="L596" s="590"/>
      <c r="M596" s="590"/>
      <c r="N596" s="590"/>
      <c r="O596" s="590"/>
      <c r="P596" s="590"/>
      <c r="Q596" s="590"/>
      <c r="R596" s="590"/>
      <c r="S596" s="590"/>
      <c r="T596" s="590"/>
      <c r="U596" s="590"/>
      <c r="V596" s="590"/>
      <c r="W596" s="590"/>
      <c r="X596" s="590"/>
      <c r="Y596" s="590"/>
      <c r="Z596" s="590"/>
    </row>
    <row r="597" spans="1:26" ht="15.75" customHeight="1">
      <c r="A597" s="590"/>
      <c r="B597" s="590"/>
      <c r="C597" s="590"/>
      <c r="D597" s="590"/>
      <c r="E597" s="590"/>
      <c r="F597" s="590"/>
      <c r="G597" s="590"/>
      <c r="H597" s="590"/>
      <c r="I597" s="590"/>
      <c r="J597" s="590"/>
      <c r="K597" s="590"/>
      <c r="L597" s="590"/>
      <c r="M597" s="590"/>
      <c r="N597" s="590"/>
      <c r="O597" s="590"/>
      <c r="P597" s="590"/>
      <c r="Q597" s="590"/>
      <c r="R597" s="590"/>
      <c r="S597" s="590"/>
      <c r="T597" s="590"/>
      <c r="U597" s="590"/>
      <c r="V597" s="590"/>
      <c r="W597" s="590"/>
      <c r="X597" s="590"/>
      <c r="Y597" s="590"/>
      <c r="Z597" s="590"/>
    </row>
    <row r="598" spans="1:26" ht="15.75" customHeight="1">
      <c r="A598" s="590"/>
      <c r="B598" s="590"/>
      <c r="C598" s="590"/>
      <c r="D598" s="590"/>
      <c r="E598" s="590"/>
      <c r="F598" s="590"/>
      <c r="G598" s="590"/>
      <c r="H598" s="590"/>
      <c r="I598" s="590"/>
      <c r="J598" s="590"/>
      <c r="K598" s="590"/>
      <c r="L598" s="590"/>
      <c r="M598" s="590"/>
      <c r="N598" s="590"/>
      <c r="O598" s="590"/>
      <c r="P598" s="590"/>
      <c r="Q598" s="590"/>
      <c r="R598" s="590"/>
      <c r="S598" s="590"/>
      <c r="T598" s="590"/>
      <c r="U598" s="590"/>
      <c r="V598" s="590"/>
      <c r="W598" s="590"/>
      <c r="X598" s="590"/>
      <c r="Y598" s="590"/>
      <c r="Z598" s="590"/>
    </row>
    <row r="599" spans="1:26" ht="15.75" customHeight="1">
      <c r="A599" s="590"/>
      <c r="B599" s="590"/>
      <c r="C599" s="590"/>
      <c r="D599" s="590"/>
      <c r="E599" s="590"/>
      <c r="F599" s="590"/>
      <c r="G599" s="590"/>
      <c r="H599" s="590"/>
      <c r="I599" s="590"/>
      <c r="J599" s="590"/>
      <c r="K599" s="590"/>
      <c r="L599" s="590"/>
      <c r="M599" s="590"/>
      <c r="N599" s="590"/>
      <c r="O599" s="590"/>
      <c r="P599" s="590"/>
      <c r="Q599" s="590"/>
      <c r="R599" s="590"/>
      <c r="S599" s="590"/>
      <c r="T599" s="590"/>
      <c r="U599" s="590"/>
      <c r="V599" s="590"/>
      <c r="W599" s="590"/>
      <c r="X599" s="590"/>
      <c r="Y599" s="590"/>
      <c r="Z599" s="590"/>
    </row>
    <row r="600" spans="1:26" ht="15.75" customHeight="1">
      <c r="A600" s="590"/>
      <c r="B600" s="590"/>
      <c r="C600" s="590"/>
      <c r="D600" s="590"/>
      <c r="E600" s="590"/>
      <c r="F600" s="590"/>
      <c r="G600" s="590"/>
      <c r="H600" s="590"/>
      <c r="I600" s="590"/>
      <c r="J600" s="590"/>
      <c r="K600" s="590"/>
      <c r="L600" s="590"/>
      <c r="M600" s="590"/>
      <c r="N600" s="590"/>
      <c r="O600" s="590"/>
      <c r="P600" s="590"/>
      <c r="Q600" s="590"/>
      <c r="R600" s="590"/>
      <c r="S600" s="590"/>
      <c r="T600" s="590"/>
      <c r="U600" s="590"/>
      <c r="V600" s="590"/>
      <c r="W600" s="590"/>
      <c r="X600" s="590"/>
      <c r="Y600" s="590"/>
      <c r="Z600" s="590"/>
    </row>
    <row r="601" spans="1:26" ht="15.75" customHeight="1">
      <c r="A601" s="590"/>
      <c r="B601" s="590"/>
      <c r="C601" s="590"/>
      <c r="D601" s="590"/>
      <c r="E601" s="590"/>
      <c r="F601" s="590"/>
      <c r="G601" s="590"/>
      <c r="H601" s="590"/>
      <c r="I601" s="590"/>
      <c r="J601" s="590"/>
      <c r="K601" s="590"/>
      <c r="L601" s="590"/>
      <c r="M601" s="590"/>
      <c r="N601" s="590"/>
      <c r="O601" s="590"/>
      <c r="P601" s="590"/>
      <c r="Q601" s="590"/>
      <c r="R601" s="590"/>
      <c r="S601" s="590"/>
      <c r="T601" s="590"/>
      <c r="U601" s="590"/>
      <c r="V601" s="590"/>
      <c r="W601" s="590"/>
      <c r="X601" s="590"/>
      <c r="Y601" s="590"/>
      <c r="Z601" s="590"/>
    </row>
    <row r="602" spans="1:26" ht="15.75" customHeight="1">
      <c r="A602" s="590"/>
      <c r="B602" s="590"/>
      <c r="C602" s="590"/>
      <c r="D602" s="590"/>
      <c r="E602" s="590"/>
      <c r="F602" s="590"/>
      <c r="G602" s="590"/>
      <c r="H602" s="590"/>
      <c r="I602" s="590"/>
      <c r="J602" s="590"/>
      <c r="K602" s="590"/>
      <c r="L602" s="590"/>
      <c r="M602" s="590"/>
      <c r="N602" s="590"/>
      <c r="O602" s="590"/>
      <c r="P602" s="590"/>
      <c r="Q602" s="590"/>
      <c r="R602" s="590"/>
      <c r="S602" s="590"/>
      <c r="T602" s="590"/>
      <c r="U602" s="590"/>
      <c r="V602" s="590"/>
      <c r="W602" s="590"/>
      <c r="X602" s="590"/>
      <c r="Y602" s="590"/>
      <c r="Z602" s="590"/>
    </row>
    <row r="603" spans="1:26" ht="15.75" customHeight="1">
      <c r="A603" s="590"/>
      <c r="B603" s="590"/>
      <c r="C603" s="590"/>
      <c r="D603" s="590"/>
      <c r="E603" s="590"/>
      <c r="F603" s="590"/>
      <c r="G603" s="590"/>
      <c r="H603" s="590"/>
      <c r="I603" s="590"/>
      <c r="J603" s="590"/>
      <c r="K603" s="590"/>
      <c r="L603" s="590"/>
      <c r="M603" s="590"/>
      <c r="N603" s="590"/>
      <c r="O603" s="590"/>
      <c r="P603" s="590"/>
      <c r="Q603" s="590"/>
      <c r="R603" s="590"/>
      <c r="S603" s="590"/>
      <c r="T603" s="590"/>
      <c r="U603" s="590"/>
      <c r="V603" s="590"/>
      <c r="W603" s="590"/>
      <c r="X603" s="590"/>
      <c r="Y603" s="590"/>
      <c r="Z603" s="590"/>
    </row>
    <row r="604" spans="1:26" ht="15.75" customHeight="1">
      <c r="A604" s="590"/>
      <c r="B604" s="590"/>
      <c r="C604" s="590"/>
      <c r="D604" s="590"/>
      <c r="E604" s="590"/>
      <c r="F604" s="590"/>
      <c r="G604" s="590"/>
      <c r="H604" s="590"/>
      <c r="I604" s="590"/>
      <c r="J604" s="590"/>
      <c r="K604" s="590"/>
      <c r="L604" s="590"/>
      <c r="M604" s="590"/>
      <c r="N604" s="590"/>
      <c r="O604" s="590"/>
      <c r="P604" s="590"/>
      <c r="Q604" s="590"/>
      <c r="R604" s="590"/>
      <c r="S604" s="590"/>
      <c r="T604" s="590"/>
      <c r="U604" s="590"/>
      <c r="V604" s="590"/>
      <c r="W604" s="590"/>
      <c r="X604" s="590"/>
      <c r="Y604" s="590"/>
      <c r="Z604" s="590"/>
    </row>
    <row r="605" spans="1:26" ht="15.75" customHeight="1">
      <c r="A605" s="590"/>
      <c r="B605" s="590"/>
      <c r="C605" s="590"/>
      <c r="D605" s="590"/>
      <c r="E605" s="590"/>
      <c r="F605" s="590"/>
      <c r="G605" s="590"/>
      <c r="H605" s="590"/>
      <c r="I605" s="590"/>
      <c r="J605" s="590"/>
      <c r="K605" s="590"/>
      <c r="L605" s="590"/>
      <c r="M605" s="590"/>
      <c r="N605" s="590"/>
      <c r="O605" s="590"/>
      <c r="P605" s="590"/>
      <c r="Q605" s="590"/>
      <c r="R605" s="590"/>
      <c r="S605" s="590"/>
      <c r="T605" s="590"/>
      <c r="U605" s="590"/>
      <c r="V605" s="590"/>
      <c r="W605" s="590"/>
      <c r="X605" s="590"/>
      <c r="Y605" s="590"/>
      <c r="Z605" s="590"/>
    </row>
    <row r="606" spans="1:26" ht="15.75" customHeight="1">
      <c r="A606" s="590"/>
      <c r="B606" s="590"/>
      <c r="C606" s="590"/>
      <c r="D606" s="590"/>
      <c r="E606" s="590"/>
      <c r="F606" s="590"/>
      <c r="G606" s="590"/>
      <c r="H606" s="590"/>
      <c r="I606" s="590"/>
      <c r="J606" s="590"/>
      <c r="K606" s="590"/>
      <c r="L606" s="590"/>
      <c r="M606" s="590"/>
      <c r="N606" s="590"/>
      <c r="O606" s="590"/>
      <c r="P606" s="590"/>
      <c r="Q606" s="590"/>
      <c r="R606" s="590"/>
      <c r="S606" s="590"/>
      <c r="T606" s="590"/>
      <c r="U606" s="590"/>
      <c r="V606" s="590"/>
      <c r="W606" s="590"/>
      <c r="X606" s="590"/>
      <c r="Y606" s="590"/>
      <c r="Z606" s="590"/>
    </row>
    <row r="607" spans="1:26" ht="15.75" customHeight="1">
      <c r="A607" s="590"/>
      <c r="B607" s="590"/>
      <c r="C607" s="590"/>
      <c r="D607" s="590"/>
      <c r="E607" s="590"/>
      <c r="F607" s="590"/>
      <c r="G607" s="590"/>
      <c r="H607" s="590"/>
      <c r="I607" s="590"/>
      <c r="J607" s="590"/>
      <c r="K607" s="590"/>
      <c r="L607" s="590"/>
      <c r="M607" s="590"/>
      <c r="N607" s="590"/>
      <c r="O607" s="590"/>
      <c r="P607" s="590"/>
      <c r="Q607" s="590"/>
      <c r="R607" s="590"/>
      <c r="S607" s="590"/>
      <c r="T607" s="590"/>
      <c r="U607" s="590"/>
      <c r="V607" s="590"/>
      <c r="W607" s="590"/>
      <c r="X607" s="590"/>
      <c r="Y607" s="590"/>
      <c r="Z607" s="590"/>
    </row>
    <row r="608" spans="1:26" ht="15.75" customHeight="1">
      <c r="A608" s="590"/>
      <c r="B608" s="590"/>
      <c r="C608" s="590"/>
      <c r="D608" s="590"/>
      <c r="E608" s="590"/>
      <c r="F608" s="590"/>
      <c r="G608" s="590"/>
      <c r="H608" s="590"/>
      <c r="I608" s="590"/>
      <c r="J608" s="590"/>
      <c r="K608" s="590"/>
      <c r="L608" s="590"/>
      <c r="M608" s="590"/>
      <c r="N608" s="590"/>
      <c r="O608" s="590"/>
      <c r="P608" s="590"/>
      <c r="Q608" s="590"/>
      <c r="R608" s="590"/>
      <c r="S608" s="590"/>
      <c r="T608" s="590"/>
      <c r="U608" s="590"/>
      <c r="V608" s="590"/>
      <c r="W608" s="590"/>
      <c r="X608" s="590"/>
      <c r="Y608" s="590"/>
      <c r="Z608" s="590"/>
    </row>
    <row r="609" spans="1:26" ht="15.75" customHeight="1">
      <c r="A609" s="590"/>
      <c r="B609" s="590"/>
      <c r="C609" s="590"/>
      <c r="D609" s="590"/>
      <c r="E609" s="590"/>
      <c r="F609" s="590"/>
      <c r="G609" s="590"/>
      <c r="H609" s="590"/>
      <c r="I609" s="590"/>
      <c r="J609" s="590"/>
      <c r="K609" s="590"/>
      <c r="L609" s="590"/>
      <c r="M609" s="590"/>
      <c r="N609" s="590"/>
      <c r="O609" s="590"/>
      <c r="P609" s="590"/>
      <c r="Q609" s="590"/>
      <c r="R609" s="590"/>
      <c r="S609" s="590"/>
      <c r="T609" s="590"/>
      <c r="U609" s="590"/>
      <c r="V609" s="590"/>
      <c r="W609" s="590"/>
      <c r="X609" s="590"/>
      <c r="Y609" s="590"/>
      <c r="Z609" s="590"/>
    </row>
    <row r="610" spans="1:26" ht="15.75" customHeight="1">
      <c r="A610" s="590"/>
      <c r="B610" s="590"/>
      <c r="C610" s="590"/>
      <c r="D610" s="590"/>
      <c r="E610" s="590"/>
      <c r="F610" s="590"/>
      <c r="G610" s="590"/>
      <c r="H610" s="590"/>
      <c r="I610" s="590"/>
      <c r="J610" s="590"/>
      <c r="K610" s="590"/>
      <c r="L610" s="590"/>
      <c r="M610" s="590"/>
      <c r="N610" s="590"/>
      <c r="O610" s="590"/>
      <c r="P610" s="590"/>
      <c r="Q610" s="590"/>
      <c r="R610" s="590"/>
      <c r="S610" s="590"/>
      <c r="T610" s="590"/>
      <c r="U610" s="590"/>
      <c r="V610" s="590"/>
      <c r="W610" s="590"/>
      <c r="X610" s="590"/>
      <c r="Y610" s="590"/>
      <c r="Z610" s="590"/>
    </row>
    <row r="611" spans="1:26" ht="15.75" customHeight="1">
      <c r="A611" s="590"/>
      <c r="B611" s="590"/>
      <c r="C611" s="590"/>
      <c r="D611" s="590"/>
      <c r="E611" s="590"/>
      <c r="F611" s="590"/>
      <c r="G611" s="590"/>
      <c r="H611" s="590"/>
      <c r="I611" s="590"/>
      <c r="J611" s="590"/>
      <c r="K611" s="590"/>
      <c r="L611" s="590"/>
      <c r="M611" s="590"/>
      <c r="N611" s="590"/>
      <c r="O611" s="590"/>
      <c r="P611" s="590"/>
      <c r="Q611" s="590"/>
      <c r="R611" s="590"/>
      <c r="S611" s="590"/>
      <c r="T611" s="590"/>
      <c r="U611" s="590"/>
      <c r="V611" s="590"/>
      <c r="W611" s="590"/>
      <c r="X611" s="590"/>
      <c r="Y611" s="590"/>
      <c r="Z611" s="590"/>
    </row>
    <row r="612" spans="1:26" ht="15.75" customHeight="1">
      <c r="A612" s="590"/>
      <c r="B612" s="590"/>
      <c r="C612" s="590"/>
      <c r="D612" s="590"/>
      <c r="E612" s="590"/>
      <c r="F612" s="590"/>
      <c r="G612" s="590"/>
      <c r="H612" s="590"/>
      <c r="I612" s="590"/>
      <c r="J612" s="590"/>
      <c r="K612" s="590"/>
      <c r="L612" s="590"/>
      <c r="M612" s="590"/>
      <c r="N612" s="590"/>
      <c r="O612" s="590"/>
      <c r="P612" s="590"/>
      <c r="Q612" s="590"/>
      <c r="R612" s="590"/>
      <c r="S612" s="590"/>
      <c r="T612" s="590"/>
      <c r="U612" s="590"/>
      <c r="V612" s="590"/>
      <c r="W612" s="590"/>
      <c r="X612" s="590"/>
      <c r="Y612" s="590"/>
      <c r="Z612" s="590"/>
    </row>
    <row r="613" spans="1:26" ht="15.75" customHeight="1">
      <c r="A613" s="590"/>
      <c r="B613" s="590"/>
      <c r="C613" s="590"/>
      <c r="D613" s="590"/>
      <c r="E613" s="590"/>
      <c r="F613" s="590"/>
      <c r="G613" s="590"/>
      <c r="H613" s="590"/>
      <c r="I613" s="590"/>
      <c r="J613" s="590"/>
      <c r="K613" s="590"/>
      <c r="L613" s="590"/>
      <c r="M613" s="590"/>
      <c r="N613" s="590"/>
      <c r="O613" s="590"/>
      <c r="P613" s="590"/>
      <c r="Q613" s="590"/>
      <c r="R613" s="590"/>
      <c r="S613" s="590"/>
      <c r="T613" s="590"/>
      <c r="U613" s="590"/>
      <c r="V613" s="590"/>
      <c r="W613" s="590"/>
      <c r="X613" s="590"/>
      <c r="Y613" s="590"/>
      <c r="Z613" s="590"/>
    </row>
    <row r="614" spans="1:26" ht="15.75" customHeight="1">
      <c r="A614" s="590"/>
      <c r="B614" s="590"/>
      <c r="C614" s="590"/>
      <c r="D614" s="590"/>
      <c r="E614" s="590"/>
      <c r="F614" s="590"/>
      <c r="G614" s="590"/>
      <c r="H614" s="590"/>
      <c r="I614" s="590"/>
      <c r="J614" s="590"/>
      <c r="K614" s="590"/>
      <c r="L614" s="590"/>
      <c r="M614" s="590"/>
      <c r="N614" s="590"/>
      <c r="O614" s="590"/>
      <c r="P614" s="590"/>
      <c r="Q614" s="590"/>
      <c r="R614" s="590"/>
      <c r="S614" s="590"/>
      <c r="T614" s="590"/>
      <c r="U614" s="590"/>
      <c r="V614" s="590"/>
      <c r="W614" s="590"/>
      <c r="X614" s="590"/>
      <c r="Y614" s="590"/>
      <c r="Z614" s="590"/>
    </row>
    <row r="615" spans="1:26" ht="15.75" customHeight="1">
      <c r="A615" s="590"/>
      <c r="B615" s="590"/>
      <c r="C615" s="590"/>
      <c r="D615" s="590"/>
      <c r="E615" s="590"/>
      <c r="F615" s="590"/>
      <c r="G615" s="590"/>
      <c r="H615" s="590"/>
      <c r="I615" s="590"/>
      <c r="J615" s="590"/>
      <c r="K615" s="590"/>
      <c r="L615" s="590"/>
      <c r="M615" s="590"/>
      <c r="N615" s="590"/>
      <c r="O615" s="590"/>
      <c r="P615" s="590"/>
      <c r="Q615" s="590"/>
      <c r="R615" s="590"/>
      <c r="S615" s="590"/>
      <c r="T615" s="590"/>
      <c r="U615" s="590"/>
      <c r="V615" s="590"/>
      <c r="W615" s="590"/>
      <c r="X615" s="590"/>
      <c r="Y615" s="590"/>
      <c r="Z615" s="590"/>
    </row>
    <row r="616" spans="1:26" ht="15.75" customHeight="1">
      <c r="A616" s="590"/>
      <c r="B616" s="590"/>
      <c r="C616" s="590"/>
      <c r="D616" s="590"/>
      <c r="E616" s="590"/>
      <c r="F616" s="590"/>
      <c r="G616" s="590"/>
      <c r="H616" s="590"/>
      <c r="I616" s="590"/>
      <c r="J616" s="590"/>
      <c r="K616" s="590"/>
      <c r="L616" s="590"/>
      <c r="M616" s="590"/>
      <c r="N616" s="590"/>
      <c r="O616" s="590"/>
      <c r="P616" s="590"/>
      <c r="Q616" s="590"/>
      <c r="R616" s="590"/>
      <c r="S616" s="590"/>
      <c r="T616" s="590"/>
      <c r="U616" s="590"/>
      <c r="V616" s="590"/>
      <c r="W616" s="590"/>
      <c r="X616" s="590"/>
      <c r="Y616" s="590"/>
      <c r="Z616" s="590"/>
    </row>
    <row r="617" spans="1:26" ht="15.75" customHeight="1">
      <c r="A617" s="590"/>
      <c r="B617" s="590"/>
      <c r="C617" s="590"/>
      <c r="D617" s="590"/>
      <c r="E617" s="590"/>
      <c r="F617" s="590"/>
      <c r="G617" s="590"/>
      <c r="H617" s="590"/>
      <c r="I617" s="590"/>
      <c r="J617" s="590"/>
      <c r="K617" s="590"/>
      <c r="L617" s="590"/>
      <c r="M617" s="590"/>
      <c r="N617" s="590"/>
      <c r="O617" s="590"/>
      <c r="P617" s="590"/>
      <c r="Q617" s="590"/>
      <c r="R617" s="590"/>
      <c r="S617" s="590"/>
      <c r="T617" s="590"/>
      <c r="U617" s="590"/>
      <c r="V617" s="590"/>
      <c r="W617" s="590"/>
      <c r="X617" s="590"/>
      <c r="Y617" s="590"/>
      <c r="Z617" s="590"/>
    </row>
    <row r="618" spans="1:26" ht="15.75" customHeight="1">
      <c r="A618" s="590"/>
      <c r="B618" s="590"/>
      <c r="C618" s="590"/>
      <c r="D618" s="590"/>
      <c r="E618" s="590"/>
      <c r="F618" s="590"/>
      <c r="G618" s="590"/>
      <c r="H618" s="590"/>
      <c r="I618" s="590"/>
      <c r="J618" s="590"/>
      <c r="K618" s="590"/>
      <c r="L618" s="590"/>
      <c r="M618" s="590"/>
      <c r="N618" s="590"/>
      <c r="O618" s="590"/>
      <c r="P618" s="590"/>
      <c r="Q618" s="590"/>
      <c r="R618" s="590"/>
      <c r="S618" s="590"/>
      <c r="T618" s="590"/>
      <c r="U618" s="590"/>
      <c r="V618" s="590"/>
      <c r="W618" s="590"/>
      <c r="X618" s="590"/>
      <c r="Y618" s="590"/>
      <c r="Z618" s="590"/>
    </row>
    <row r="619" spans="1:26" ht="15.75" customHeight="1">
      <c r="A619" s="590"/>
      <c r="B619" s="590"/>
      <c r="C619" s="590"/>
      <c r="D619" s="590"/>
      <c r="E619" s="590"/>
      <c r="F619" s="590"/>
      <c r="G619" s="590"/>
      <c r="H619" s="590"/>
      <c r="I619" s="590"/>
      <c r="J619" s="590"/>
      <c r="K619" s="590"/>
      <c r="L619" s="590"/>
      <c r="M619" s="590"/>
      <c r="N619" s="590"/>
      <c r="O619" s="590"/>
      <c r="P619" s="590"/>
      <c r="Q619" s="590"/>
      <c r="R619" s="590"/>
      <c r="S619" s="590"/>
      <c r="T619" s="590"/>
      <c r="U619" s="590"/>
      <c r="V619" s="590"/>
      <c r="W619" s="590"/>
      <c r="X619" s="590"/>
      <c r="Y619" s="590"/>
      <c r="Z619" s="590"/>
    </row>
    <row r="620" spans="1:26" ht="15.75" customHeight="1">
      <c r="A620" s="590"/>
      <c r="B620" s="590"/>
      <c r="C620" s="590"/>
      <c r="D620" s="590"/>
      <c r="E620" s="590"/>
      <c r="F620" s="590"/>
      <c r="G620" s="590"/>
      <c r="H620" s="590"/>
      <c r="I620" s="590"/>
      <c r="J620" s="590"/>
      <c r="K620" s="590"/>
      <c r="L620" s="590"/>
      <c r="M620" s="590"/>
      <c r="N620" s="590"/>
      <c r="O620" s="590"/>
      <c r="P620" s="590"/>
      <c r="Q620" s="590"/>
      <c r="R620" s="590"/>
      <c r="S620" s="590"/>
      <c r="T620" s="590"/>
      <c r="U620" s="590"/>
      <c r="V620" s="590"/>
      <c r="W620" s="590"/>
      <c r="X620" s="590"/>
      <c r="Y620" s="590"/>
      <c r="Z620" s="590"/>
    </row>
    <row r="621" spans="1:26" ht="15.75" customHeight="1">
      <c r="A621" s="590"/>
      <c r="B621" s="590"/>
      <c r="C621" s="590"/>
      <c r="D621" s="590"/>
      <c r="E621" s="590"/>
      <c r="F621" s="590"/>
      <c r="G621" s="590"/>
      <c r="H621" s="590"/>
      <c r="I621" s="590"/>
      <c r="J621" s="590"/>
      <c r="K621" s="590"/>
      <c r="L621" s="590"/>
      <c r="M621" s="590"/>
      <c r="N621" s="590"/>
      <c r="O621" s="590"/>
      <c r="P621" s="590"/>
      <c r="Q621" s="590"/>
      <c r="R621" s="590"/>
      <c r="S621" s="590"/>
      <c r="T621" s="590"/>
      <c r="U621" s="590"/>
      <c r="V621" s="590"/>
      <c r="W621" s="590"/>
      <c r="X621" s="590"/>
      <c r="Y621" s="590"/>
      <c r="Z621" s="590"/>
    </row>
    <row r="622" spans="1:26" ht="15.75" customHeight="1">
      <c r="A622" s="590"/>
      <c r="B622" s="590"/>
      <c r="C622" s="590"/>
      <c r="D622" s="590"/>
      <c r="E622" s="590"/>
      <c r="F622" s="590"/>
      <c r="G622" s="590"/>
      <c r="H622" s="590"/>
      <c r="I622" s="590"/>
      <c r="J622" s="590"/>
      <c r="K622" s="590"/>
      <c r="L622" s="590"/>
      <c r="M622" s="590"/>
      <c r="N622" s="590"/>
      <c r="O622" s="590"/>
      <c r="P622" s="590"/>
      <c r="Q622" s="590"/>
      <c r="R622" s="590"/>
      <c r="S622" s="590"/>
      <c r="T622" s="590"/>
      <c r="U622" s="590"/>
      <c r="V622" s="590"/>
      <c r="W622" s="590"/>
      <c r="X622" s="590"/>
      <c r="Y622" s="590"/>
      <c r="Z622" s="590"/>
    </row>
    <row r="623" spans="1:26" ht="15.75" customHeight="1">
      <c r="A623" s="590"/>
      <c r="B623" s="590"/>
      <c r="C623" s="590"/>
      <c r="D623" s="590"/>
      <c r="E623" s="590"/>
      <c r="F623" s="590"/>
      <c r="G623" s="590"/>
      <c r="H623" s="590"/>
      <c r="I623" s="590"/>
      <c r="J623" s="590"/>
      <c r="K623" s="590"/>
      <c r="L623" s="590"/>
      <c r="M623" s="590"/>
      <c r="N623" s="590"/>
      <c r="O623" s="590"/>
      <c r="P623" s="590"/>
      <c r="Q623" s="590"/>
      <c r="R623" s="590"/>
      <c r="S623" s="590"/>
      <c r="T623" s="590"/>
      <c r="U623" s="590"/>
      <c r="V623" s="590"/>
      <c r="W623" s="590"/>
      <c r="X623" s="590"/>
      <c r="Y623" s="590"/>
      <c r="Z623" s="590"/>
    </row>
    <row r="624" spans="1:26" ht="15.75" customHeight="1">
      <c r="A624" s="590"/>
      <c r="B624" s="590"/>
      <c r="C624" s="590"/>
      <c r="D624" s="590"/>
      <c r="E624" s="590"/>
      <c r="F624" s="590"/>
      <c r="G624" s="590"/>
      <c r="H624" s="590"/>
      <c r="I624" s="590"/>
      <c r="J624" s="590"/>
      <c r="K624" s="590"/>
      <c r="L624" s="590"/>
      <c r="M624" s="590"/>
      <c r="N624" s="590"/>
      <c r="O624" s="590"/>
      <c r="P624" s="590"/>
      <c r="Q624" s="590"/>
      <c r="R624" s="590"/>
      <c r="S624" s="590"/>
      <c r="T624" s="590"/>
      <c r="U624" s="590"/>
      <c r="V624" s="590"/>
      <c r="W624" s="590"/>
      <c r="X624" s="590"/>
      <c r="Y624" s="590"/>
      <c r="Z624" s="590"/>
    </row>
    <row r="625" spans="1:26" ht="15.75" customHeight="1">
      <c r="A625" s="590"/>
      <c r="B625" s="590"/>
      <c r="C625" s="590"/>
      <c r="D625" s="590"/>
      <c r="E625" s="590"/>
      <c r="F625" s="590"/>
      <c r="G625" s="590"/>
      <c r="H625" s="590"/>
      <c r="I625" s="590"/>
      <c r="J625" s="590"/>
      <c r="K625" s="590"/>
      <c r="L625" s="590"/>
      <c r="M625" s="590"/>
      <c r="N625" s="590"/>
      <c r="O625" s="590"/>
      <c r="P625" s="590"/>
      <c r="Q625" s="590"/>
      <c r="R625" s="590"/>
      <c r="S625" s="590"/>
      <c r="T625" s="590"/>
      <c r="U625" s="590"/>
      <c r="V625" s="590"/>
      <c r="W625" s="590"/>
      <c r="X625" s="590"/>
      <c r="Y625" s="590"/>
      <c r="Z625" s="590"/>
    </row>
    <row r="626" spans="1:26" ht="15.75" customHeight="1">
      <c r="A626" s="590"/>
      <c r="B626" s="590"/>
      <c r="C626" s="590"/>
      <c r="D626" s="590"/>
      <c r="E626" s="590"/>
      <c r="F626" s="590"/>
      <c r="G626" s="590"/>
      <c r="H626" s="590"/>
      <c r="I626" s="590"/>
      <c r="J626" s="590"/>
      <c r="K626" s="590"/>
      <c r="L626" s="590"/>
      <c r="M626" s="590"/>
      <c r="N626" s="590"/>
      <c r="O626" s="590"/>
      <c r="P626" s="590"/>
      <c r="Q626" s="590"/>
      <c r="R626" s="590"/>
      <c r="S626" s="590"/>
      <c r="T626" s="590"/>
      <c r="U626" s="590"/>
      <c r="V626" s="590"/>
      <c r="W626" s="590"/>
      <c r="X626" s="590"/>
      <c r="Y626" s="590"/>
      <c r="Z626" s="590"/>
    </row>
    <row r="627" spans="1:26" ht="15.75" customHeight="1">
      <c r="A627" s="590"/>
      <c r="B627" s="590"/>
      <c r="C627" s="590"/>
      <c r="D627" s="590"/>
      <c r="E627" s="590"/>
      <c r="F627" s="590"/>
      <c r="G627" s="590"/>
      <c r="H627" s="590"/>
      <c r="I627" s="590"/>
      <c r="J627" s="590"/>
      <c r="K627" s="590"/>
      <c r="L627" s="590"/>
      <c r="M627" s="590"/>
      <c r="N627" s="590"/>
      <c r="O627" s="590"/>
      <c r="P627" s="590"/>
      <c r="Q627" s="590"/>
      <c r="R627" s="590"/>
      <c r="S627" s="590"/>
      <c r="T627" s="590"/>
      <c r="U627" s="590"/>
      <c r="V627" s="590"/>
      <c r="W627" s="590"/>
      <c r="X627" s="590"/>
      <c r="Y627" s="590"/>
      <c r="Z627" s="590"/>
    </row>
    <row r="628" spans="1:26" ht="15.75" customHeight="1">
      <c r="A628" s="590"/>
      <c r="B628" s="590"/>
      <c r="C628" s="590"/>
      <c r="D628" s="590"/>
      <c r="E628" s="590"/>
      <c r="F628" s="590"/>
      <c r="G628" s="590"/>
      <c r="H628" s="590"/>
      <c r="I628" s="590"/>
      <c r="J628" s="590"/>
      <c r="K628" s="590"/>
      <c r="L628" s="590"/>
      <c r="M628" s="590"/>
      <c r="N628" s="590"/>
      <c r="O628" s="590"/>
      <c r="P628" s="590"/>
      <c r="Q628" s="590"/>
      <c r="R628" s="590"/>
      <c r="S628" s="590"/>
      <c r="T628" s="590"/>
      <c r="U628" s="590"/>
      <c r="V628" s="590"/>
      <c r="W628" s="590"/>
      <c r="X628" s="590"/>
      <c r="Y628" s="590"/>
      <c r="Z628" s="590"/>
    </row>
    <row r="629" spans="1:26" ht="15.75" customHeight="1">
      <c r="A629" s="590"/>
      <c r="B629" s="590"/>
      <c r="C629" s="590"/>
      <c r="D629" s="590"/>
      <c r="E629" s="590"/>
      <c r="F629" s="590"/>
      <c r="G629" s="590"/>
      <c r="H629" s="590"/>
      <c r="I629" s="590"/>
      <c r="J629" s="590"/>
      <c r="K629" s="590"/>
      <c r="L629" s="590"/>
      <c r="M629" s="590"/>
      <c r="N629" s="590"/>
      <c r="O629" s="590"/>
      <c r="P629" s="590"/>
      <c r="Q629" s="590"/>
      <c r="R629" s="590"/>
      <c r="S629" s="590"/>
      <c r="T629" s="590"/>
      <c r="U629" s="590"/>
      <c r="V629" s="590"/>
      <c r="W629" s="590"/>
      <c r="X629" s="590"/>
      <c r="Y629" s="590"/>
      <c r="Z629" s="590"/>
    </row>
    <row r="630" spans="1:26" ht="15.75" customHeight="1">
      <c r="A630" s="590"/>
      <c r="B630" s="590"/>
      <c r="C630" s="590"/>
      <c r="D630" s="590"/>
      <c r="E630" s="590"/>
      <c r="F630" s="590"/>
      <c r="G630" s="590"/>
      <c r="H630" s="590"/>
      <c r="I630" s="590"/>
      <c r="J630" s="590"/>
      <c r="K630" s="590"/>
      <c r="L630" s="590"/>
      <c r="M630" s="590"/>
      <c r="N630" s="590"/>
      <c r="O630" s="590"/>
      <c r="P630" s="590"/>
      <c r="Q630" s="590"/>
      <c r="R630" s="590"/>
      <c r="S630" s="590"/>
      <c r="T630" s="590"/>
      <c r="U630" s="590"/>
      <c r="V630" s="590"/>
      <c r="W630" s="590"/>
      <c r="X630" s="590"/>
      <c r="Y630" s="590"/>
      <c r="Z630" s="590"/>
    </row>
    <row r="631" spans="1:26" ht="15.75" customHeight="1">
      <c r="A631" s="590"/>
      <c r="B631" s="590"/>
      <c r="C631" s="590"/>
      <c r="D631" s="590"/>
      <c r="E631" s="590"/>
      <c r="F631" s="590"/>
      <c r="G631" s="590"/>
      <c r="H631" s="590"/>
      <c r="I631" s="590"/>
      <c r="J631" s="590"/>
      <c r="K631" s="590"/>
      <c r="L631" s="590"/>
      <c r="M631" s="590"/>
      <c r="N631" s="590"/>
      <c r="O631" s="590"/>
      <c r="P631" s="590"/>
      <c r="Q631" s="590"/>
      <c r="R631" s="590"/>
      <c r="S631" s="590"/>
      <c r="T631" s="590"/>
      <c r="U631" s="590"/>
      <c r="V631" s="590"/>
      <c r="W631" s="590"/>
      <c r="X631" s="590"/>
      <c r="Y631" s="590"/>
      <c r="Z631" s="590"/>
    </row>
    <row r="632" spans="1:26" ht="15.75" customHeight="1">
      <c r="A632" s="590"/>
      <c r="B632" s="590"/>
      <c r="C632" s="590"/>
      <c r="D632" s="590"/>
      <c r="E632" s="590"/>
      <c r="F632" s="590"/>
      <c r="G632" s="590"/>
      <c r="H632" s="590"/>
      <c r="I632" s="590"/>
      <c r="J632" s="590"/>
      <c r="K632" s="590"/>
      <c r="L632" s="590"/>
      <c r="M632" s="590"/>
      <c r="N632" s="590"/>
      <c r="O632" s="590"/>
      <c r="P632" s="590"/>
      <c r="Q632" s="590"/>
      <c r="R632" s="590"/>
      <c r="S632" s="590"/>
      <c r="T632" s="590"/>
      <c r="U632" s="590"/>
      <c r="V632" s="590"/>
      <c r="W632" s="590"/>
      <c r="X632" s="590"/>
      <c r="Y632" s="590"/>
      <c r="Z632" s="590"/>
    </row>
    <row r="633" spans="1:26" ht="15.75" customHeight="1">
      <c r="A633" s="590"/>
      <c r="B633" s="590"/>
      <c r="C633" s="590"/>
      <c r="D633" s="590"/>
      <c r="E633" s="590"/>
      <c r="F633" s="590"/>
      <c r="G633" s="590"/>
      <c r="H633" s="590"/>
      <c r="I633" s="590"/>
      <c r="J633" s="590"/>
      <c r="K633" s="590"/>
      <c r="L633" s="590"/>
      <c r="M633" s="590"/>
      <c r="N633" s="590"/>
      <c r="O633" s="590"/>
      <c r="P633" s="590"/>
      <c r="Q633" s="590"/>
      <c r="R633" s="590"/>
      <c r="S633" s="590"/>
      <c r="T633" s="590"/>
      <c r="U633" s="590"/>
      <c r="V633" s="590"/>
      <c r="W633" s="590"/>
      <c r="X633" s="590"/>
      <c r="Y633" s="590"/>
      <c r="Z633" s="590"/>
    </row>
    <row r="634" spans="1:26" ht="15.75" customHeight="1">
      <c r="A634" s="590"/>
      <c r="B634" s="590"/>
      <c r="C634" s="590"/>
      <c r="D634" s="590"/>
      <c r="E634" s="590"/>
      <c r="F634" s="590"/>
      <c r="G634" s="590"/>
      <c r="H634" s="590"/>
      <c r="I634" s="590"/>
      <c r="J634" s="590"/>
      <c r="K634" s="590"/>
      <c r="L634" s="590"/>
      <c r="M634" s="590"/>
      <c r="N634" s="590"/>
      <c r="O634" s="590"/>
      <c r="P634" s="590"/>
      <c r="Q634" s="590"/>
      <c r="R634" s="590"/>
      <c r="S634" s="590"/>
      <c r="T634" s="590"/>
      <c r="U634" s="590"/>
      <c r="V634" s="590"/>
      <c r="W634" s="590"/>
      <c r="X634" s="590"/>
      <c r="Y634" s="590"/>
      <c r="Z634" s="590"/>
    </row>
    <row r="635" spans="1:26" ht="15.75" customHeight="1">
      <c r="A635" s="590"/>
      <c r="B635" s="590"/>
      <c r="C635" s="590"/>
      <c r="D635" s="590"/>
      <c r="E635" s="590"/>
      <c r="F635" s="590"/>
      <c r="G635" s="590"/>
      <c r="H635" s="590"/>
      <c r="I635" s="590"/>
      <c r="J635" s="590"/>
      <c r="K635" s="590"/>
      <c r="L635" s="590"/>
      <c r="M635" s="590"/>
      <c r="N635" s="590"/>
      <c r="O635" s="590"/>
      <c r="P635" s="590"/>
      <c r="Q635" s="590"/>
      <c r="R635" s="590"/>
      <c r="S635" s="590"/>
      <c r="T635" s="590"/>
      <c r="U635" s="590"/>
      <c r="V635" s="590"/>
      <c r="W635" s="590"/>
      <c r="X635" s="590"/>
      <c r="Y635" s="590"/>
      <c r="Z635" s="590"/>
    </row>
    <row r="636" spans="1:26" ht="15.75" customHeight="1">
      <c r="A636" s="590"/>
      <c r="B636" s="590"/>
      <c r="C636" s="590"/>
      <c r="D636" s="590"/>
      <c r="E636" s="590"/>
      <c r="F636" s="590"/>
      <c r="G636" s="590"/>
      <c r="H636" s="590"/>
      <c r="I636" s="590"/>
      <c r="J636" s="590"/>
      <c r="K636" s="590"/>
      <c r="L636" s="590"/>
      <c r="M636" s="590"/>
      <c r="N636" s="590"/>
      <c r="O636" s="590"/>
      <c r="P636" s="590"/>
      <c r="Q636" s="590"/>
      <c r="R636" s="590"/>
      <c r="S636" s="590"/>
      <c r="T636" s="590"/>
      <c r="U636" s="590"/>
      <c r="V636" s="590"/>
      <c r="W636" s="590"/>
      <c r="X636" s="590"/>
      <c r="Y636" s="590"/>
      <c r="Z636" s="590"/>
    </row>
    <row r="637" spans="1:26" ht="15.75" customHeight="1">
      <c r="A637" s="590"/>
      <c r="B637" s="590"/>
      <c r="C637" s="590"/>
      <c r="D637" s="590"/>
      <c r="E637" s="590"/>
      <c r="F637" s="590"/>
      <c r="G637" s="590"/>
      <c r="H637" s="590"/>
      <c r="I637" s="590"/>
      <c r="J637" s="590"/>
      <c r="K637" s="590"/>
      <c r="L637" s="590"/>
      <c r="M637" s="590"/>
      <c r="N637" s="590"/>
      <c r="O637" s="590"/>
      <c r="P637" s="590"/>
      <c r="Q637" s="590"/>
      <c r="R637" s="590"/>
      <c r="S637" s="590"/>
      <c r="T637" s="590"/>
      <c r="U637" s="590"/>
      <c r="V637" s="590"/>
      <c r="W637" s="590"/>
      <c r="X637" s="590"/>
      <c r="Y637" s="590"/>
      <c r="Z637" s="590"/>
    </row>
    <row r="638" spans="1:26" ht="15.75" customHeight="1">
      <c r="A638" s="590"/>
      <c r="B638" s="590"/>
      <c r="C638" s="590"/>
      <c r="D638" s="590"/>
      <c r="E638" s="590"/>
      <c r="F638" s="590"/>
      <c r="G638" s="590"/>
      <c r="H638" s="590"/>
      <c r="I638" s="590"/>
      <c r="J638" s="590"/>
      <c r="K638" s="590"/>
      <c r="L638" s="590"/>
      <c r="M638" s="590"/>
      <c r="N638" s="590"/>
      <c r="O638" s="590"/>
      <c r="P638" s="590"/>
      <c r="Q638" s="590"/>
      <c r="R638" s="590"/>
      <c r="S638" s="590"/>
      <c r="T638" s="590"/>
      <c r="U638" s="590"/>
      <c r="V638" s="590"/>
      <c r="W638" s="590"/>
      <c r="X638" s="590"/>
      <c r="Y638" s="590"/>
      <c r="Z638" s="590"/>
    </row>
    <row r="639" spans="1:26" ht="15.75" customHeight="1">
      <c r="A639" s="590"/>
      <c r="B639" s="590"/>
      <c r="C639" s="590"/>
      <c r="D639" s="590"/>
      <c r="E639" s="590"/>
      <c r="F639" s="590"/>
      <c r="G639" s="590"/>
      <c r="H639" s="590"/>
      <c r="I639" s="590"/>
      <c r="J639" s="590"/>
      <c r="K639" s="590"/>
      <c r="L639" s="590"/>
      <c r="M639" s="590"/>
      <c r="N639" s="590"/>
      <c r="O639" s="590"/>
      <c r="P639" s="590"/>
      <c r="Q639" s="590"/>
      <c r="R639" s="590"/>
      <c r="S639" s="590"/>
      <c r="T639" s="590"/>
      <c r="U639" s="590"/>
      <c r="V639" s="590"/>
      <c r="W639" s="590"/>
      <c r="X639" s="590"/>
      <c r="Y639" s="590"/>
      <c r="Z639" s="590"/>
    </row>
    <row r="640" spans="1:26" ht="15.75" customHeight="1">
      <c r="A640" s="590"/>
      <c r="B640" s="590"/>
      <c r="C640" s="590"/>
      <c r="D640" s="590"/>
      <c r="E640" s="590"/>
      <c r="F640" s="590"/>
      <c r="G640" s="590"/>
      <c r="H640" s="590"/>
      <c r="I640" s="590"/>
      <c r="J640" s="590"/>
      <c r="K640" s="590"/>
      <c r="L640" s="590"/>
      <c r="M640" s="590"/>
      <c r="N640" s="590"/>
      <c r="O640" s="590"/>
      <c r="P640" s="590"/>
      <c r="Q640" s="590"/>
      <c r="R640" s="590"/>
      <c r="S640" s="590"/>
      <c r="T640" s="590"/>
      <c r="U640" s="590"/>
      <c r="V640" s="590"/>
      <c r="W640" s="590"/>
      <c r="X640" s="590"/>
      <c r="Y640" s="590"/>
      <c r="Z640" s="590"/>
    </row>
    <row r="641" spans="1:26" ht="15.75" customHeight="1">
      <c r="A641" s="590"/>
      <c r="B641" s="590"/>
      <c r="C641" s="590"/>
      <c r="D641" s="590"/>
      <c r="E641" s="590"/>
      <c r="F641" s="590"/>
      <c r="G641" s="590"/>
      <c r="H641" s="590"/>
      <c r="I641" s="590"/>
      <c r="J641" s="590"/>
      <c r="K641" s="590"/>
      <c r="L641" s="590"/>
      <c r="M641" s="590"/>
      <c r="N641" s="590"/>
      <c r="O641" s="590"/>
      <c r="P641" s="590"/>
      <c r="Q641" s="590"/>
      <c r="R641" s="590"/>
      <c r="S641" s="590"/>
      <c r="T641" s="590"/>
      <c r="U641" s="590"/>
      <c r="V641" s="590"/>
      <c r="W641" s="590"/>
      <c r="X641" s="590"/>
      <c r="Y641" s="590"/>
      <c r="Z641" s="590"/>
    </row>
    <row r="642" spans="1:26" ht="15.75" customHeight="1">
      <c r="A642" s="590"/>
      <c r="B642" s="590"/>
      <c r="C642" s="590"/>
      <c r="D642" s="590"/>
      <c r="E642" s="590"/>
      <c r="F642" s="590"/>
      <c r="G642" s="590"/>
      <c r="H642" s="590"/>
      <c r="I642" s="590"/>
      <c r="J642" s="590"/>
      <c r="K642" s="590"/>
      <c r="L642" s="590"/>
      <c r="M642" s="590"/>
      <c r="N642" s="590"/>
      <c r="O642" s="590"/>
      <c r="P642" s="590"/>
      <c r="Q642" s="590"/>
      <c r="R642" s="590"/>
      <c r="S642" s="590"/>
      <c r="T642" s="590"/>
      <c r="U642" s="590"/>
      <c r="V642" s="590"/>
      <c r="W642" s="590"/>
      <c r="X642" s="590"/>
      <c r="Y642" s="590"/>
      <c r="Z642" s="590"/>
    </row>
    <row r="643" spans="1:26" ht="15.75" customHeight="1">
      <c r="A643" s="590"/>
      <c r="B643" s="590"/>
      <c r="C643" s="590"/>
      <c r="D643" s="590"/>
      <c r="E643" s="590"/>
      <c r="F643" s="590"/>
      <c r="G643" s="590"/>
      <c r="H643" s="590"/>
      <c r="I643" s="590"/>
      <c r="J643" s="590"/>
      <c r="K643" s="590"/>
      <c r="L643" s="590"/>
      <c r="M643" s="590"/>
      <c r="N643" s="590"/>
      <c r="O643" s="590"/>
      <c r="P643" s="590"/>
      <c r="Q643" s="590"/>
      <c r="R643" s="590"/>
      <c r="S643" s="590"/>
      <c r="T643" s="590"/>
      <c r="U643" s="590"/>
      <c r="V643" s="590"/>
      <c r="W643" s="590"/>
      <c r="X643" s="590"/>
      <c r="Y643" s="590"/>
      <c r="Z643" s="590"/>
    </row>
    <row r="644" spans="1:26" ht="15.75" customHeight="1">
      <c r="A644" s="590"/>
      <c r="B644" s="590"/>
      <c r="C644" s="590"/>
      <c r="D644" s="590"/>
      <c r="E644" s="590"/>
      <c r="F644" s="590"/>
      <c r="G644" s="590"/>
      <c r="H644" s="590"/>
      <c r="I644" s="590"/>
      <c r="J644" s="590"/>
      <c r="K644" s="590"/>
      <c r="L644" s="590"/>
      <c r="M644" s="590"/>
      <c r="N644" s="590"/>
      <c r="O644" s="590"/>
      <c r="P644" s="590"/>
      <c r="Q644" s="590"/>
      <c r="R644" s="590"/>
      <c r="S644" s="590"/>
      <c r="T644" s="590"/>
      <c r="U644" s="590"/>
      <c r="V644" s="590"/>
      <c r="W644" s="590"/>
      <c r="X644" s="590"/>
      <c r="Y644" s="590"/>
      <c r="Z644" s="590"/>
    </row>
    <row r="645" spans="1:26" ht="15.75" customHeight="1">
      <c r="A645" s="590"/>
      <c r="B645" s="590"/>
      <c r="C645" s="590"/>
      <c r="D645" s="590"/>
      <c r="E645" s="590"/>
      <c r="F645" s="590"/>
      <c r="G645" s="590"/>
      <c r="H645" s="590"/>
      <c r="I645" s="590"/>
      <c r="J645" s="590"/>
      <c r="K645" s="590"/>
      <c r="L645" s="590"/>
      <c r="M645" s="590"/>
      <c r="N645" s="590"/>
      <c r="O645" s="590"/>
      <c r="P645" s="590"/>
      <c r="Q645" s="590"/>
      <c r="R645" s="590"/>
      <c r="S645" s="590"/>
      <c r="T645" s="590"/>
      <c r="U645" s="590"/>
      <c r="V645" s="590"/>
      <c r="W645" s="590"/>
      <c r="X645" s="590"/>
      <c r="Y645" s="590"/>
      <c r="Z645" s="590"/>
    </row>
    <row r="646" spans="1:26" ht="15.75" customHeight="1">
      <c r="A646" s="590"/>
      <c r="B646" s="590"/>
      <c r="C646" s="590"/>
      <c r="D646" s="590"/>
      <c r="E646" s="590"/>
      <c r="F646" s="590"/>
      <c r="G646" s="590"/>
      <c r="H646" s="590"/>
      <c r="I646" s="590"/>
      <c r="J646" s="590"/>
      <c r="K646" s="590"/>
      <c r="L646" s="590"/>
      <c r="M646" s="590"/>
      <c r="N646" s="590"/>
      <c r="O646" s="590"/>
      <c r="P646" s="590"/>
      <c r="Q646" s="590"/>
      <c r="R646" s="590"/>
      <c r="S646" s="590"/>
      <c r="T646" s="590"/>
      <c r="U646" s="590"/>
      <c r="V646" s="590"/>
      <c r="W646" s="590"/>
      <c r="X646" s="590"/>
      <c r="Y646" s="590"/>
      <c r="Z646" s="590"/>
    </row>
    <row r="647" spans="1:26" ht="15.75" customHeight="1">
      <c r="A647" s="590"/>
      <c r="B647" s="590"/>
      <c r="C647" s="590"/>
      <c r="D647" s="590"/>
      <c r="E647" s="590"/>
      <c r="F647" s="590"/>
      <c r="G647" s="590"/>
      <c r="H647" s="590"/>
      <c r="I647" s="590"/>
      <c r="J647" s="590"/>
      <c r="K647" s="590"/>
      <c r="L647" s="590"/>
      <c r="M647" s="590"/>
      <c r="N647" s="590"/>
      <c r="O647" s="590"/>
      <c r="P647" s="590"/>
      <c r="Q647" s="590"/>
      <c r="R647" s="590"/>
      <c r="S647" s="590"/>
      <c r="T647" s="590"/>
      <c r="U647" s="590"/>
      <c r="V647" s="590"/>
      <c r="W647" s="590"/>
      <c r="X647" s="590"/>
      <c r="Y647" s="590"/>
      <c r="Z647" s="590"/>
    </row>
    <row r="648" spans="1:26" ht="15.75" customHeight="1">
      <c r="A648" s="590"/>
      <c r="B648" s="590"/>
      <c r="C648" s="590"/>
      <c r="D648" s="590"/>
      <c r="E648" s="590"/>
      <c r="F648" s="590"/>
      <c r="G648" s="590"/>
      <c r="H648" s="590"/>
      <c r="I648" s="590"/>
      <c r="J648" s="590"/>
      <c r="K648" s="590"/>
      <c r="L648" s="590"/>
      <c r="M648" s="590"/>
      <c r="N648" s="590"/>
      <c r="O648" s="590"/>
      <c r="P648" s="590"/>
      <c r="Q648" s="590"/>
      <c r="R648" s="590"/>
      <c r="S648" s="590"/>
      <c r="T648" s="590"/>
      <c r="U648" s="590"/>
      <c r="V648" s="590"/>
      <c r="W648" s="590"/>
      <c r="X648" s="590"/>
      <c r="Y648" s="590"/>
      <c r="Z648" s="590"/>
    </row>
    <row r="649" spans="1:26" ht="15.75" customHeight="1">
      <c r="A649" s="590"/>
      <c r="B649" s="590"/>
      <c r="C649" s="590"/>
      <c r="D649" s="590"/>
      <c r="E649" s="590"/>
      <c r="F649" s="590"/>
      <c r="G649" s="590"/>
      <c r="H649" s="590"/>
      <c r="I649" s="590"/>
      <c r="J649" s="590"/>
      <c r="K649" s="590"/>
      <c r="L649" s="590"/>
      <c r="M649" s="590"/>
      <c r="N649" s="590"/>
      <c r="O649" s="590"/>
      <c r="P649" s="590"/>
      <c r="Q649" s="590"/>
      <c r="R649" s="590"/>
      <c r="S649" s="590"/>
      <c r="T649" s="590"/>
      <c r="U649" s="590"/>
      <c r="V649" s="590"/>
      <c r="W649" s="590"/>
      <c r="X649" s="590"/>
      <c r="Y649" s="590"/>
      <c r="Z649" s="590"/>
    </row>
    <row r="650" spans="1:26" ht="15.75" customHeight="1">
      <c r="A650" s="590"/>
      <c r="B650" s="590"/>
      <c r="C650" s="590"/>
      <c r="D650" s="590"/>
      <c r="E650" s="590"/>
      <c r="F650" s="590"/>
      <c r="G650" s="590"/>
      <c r="H650" s="590"/>
      <c r="I650" s="590"/>
      <c r="J650" s="590"/>
      <c r="K650" s="590"/>
      <c r="L650" s="590"/>
      <c r="M650" s="590"/>
      <c r="N650" s="590"/>
      <c r="O650" s="590"/>
      <c r="P650" s="590"/>
      <c r="Q650" s="590"/>
      <c r="R650" s="590"/>
      <c r="S650" s="590"/>
      <c r="T650" s="590"/>
      <c r="U650" s="590"/>
      <c r="V650" s="590"/>
      <c r="W650" s="590"/>
      <c r="X650" s="590"/>
      <c r="Y650" s="590"/>
      <c r="Z650" s="590"/>
    </row>
    <row r="651" spans="1:26" ht="15.75" customHeight="1">
      <c r="A651" s="590"/>
      <c r="B651" s="590"/>
      <c r="C651" s="590"/>
      <c r="D651" s="590"/>
      <c r="E651" s="590"/>
      <c r="F651" s="590"/>
      <c r="G651" s="590"/>
      <c r="H651" s="590"/>
      <c r="I651" s="590"/>
      <c r="J651" s="590"/>
      <c r="K651" s="590"/>
      <c r="L651" s="590"/>
      <c r="M651" s="590"/>
      <c r="N651" s="590"/>
      <c r="O651" s="590"/>
      <c r="P651" s="590"/>
      <c r="Q651" s="590"/>
      <c r="R651" s="590"/>
      <c r="S651" s="590"/>
      <c r="T651" s="590"/>
      <c r="U651" s="590"/>
      <c r="V651" s="590"/>
      <c r="W651" s="590"/>
      <c r="X651" s="590"/>
      <c r="Y651" s="590"/>
      <c r="Z651" s="590"/>
    </row>
    <row r="652" spans="1:26" ht="15.75" customHeight="1">
      <c r="A652" s="590"/>
      <c r="B652" s="590"/>
      <c r="C652" s="590"/>
      <c r="D652" s="590"/>
      <c r="E652" s="590"/>
      <c r="F652" s="590"/>
      <c r="G652" s="590"/>
      <c r="H652" s="590"/>
      <c r="I652" s="590"/>
      <c r="J652" s="590"/>
      <c r="K652" s="590"/>
      <c r="L652" s="590"/>
      <c r="M652" s="590"/>
      <c r="N652" s="590"/>
      <c r="O652" s="590"/>
      <c r="P652" s="590"/>
      <c r="Q652" s="590"/>
      <c r="R652" s="590"/>
      <c r="S652" s="590"/>
      <c r="T652" s="590"/>
      <c r="U652" s="590"/>
      <c r="V652" s="590"/>
      <c r="W652" s="590"/>
      <c r="X652" s="590"/>
      <c r="Y652" s="590"/>
      <c r="Z652" s="590"/>
    </row>
    <row r="653" spans="1:26" ht="15.75" customHeight="1">
      <c r="A653" s="590"/>
      <c r="B653" s="590"/>
      <c r="C653" s="590"/>
      <c r="D653" s="590"/>
      <c r="E653" s="590"/>
      <c r="F653" s="590"/>
      <c r="G653" s="590"/>
      <c r="H653" s="590"/>
      <c r="I653" s="590"/>
      <c r="J653" s="590"/>
      <c r="K653" s="590"/>
      <c r="L653" s="590"/>
      <c r="M653" s="590"/>
      <c r="N653" s="590"/>
      <c r="O653" s="590"/>
      <c r="P653" s="590"/>
      <c r="Q653" s="590"/>
      <c r="R653" s="590"/>
      <c r="S653" s="590"/>
      <c r="T653" s="590"/>
      <c r="U653" s="590"/>
      <c r="V653" s="590"/>
      <c r="W653" s="590"/>
      <c r="X653" s="590"/>
      <c r="Y653" s="590"/>
      <c r="Z653" s="590"/>
    </row>
    <row r="654" spans="1:26" ht="15.75" customHeight="1">
      <c r="A654" s="590"/>
      <c r="B654" s="590"/>
      <c r="C654" s="590"/>
      <c r="D654" s="590"/>
      <c r="E654" s="590"/>
      <c r="F654" s="590"/>
      <c r="G654" s="590"/>
      <c r="H654" s="590"/>
      <c r="I654" s="590"/>
      <c r="J654" s="590"/>
      <c r="K654" s="590"/>
      <c r="L654" s="590"/>
      <c r="M654" s="590"/>
      <c r="N654" s="590"/>
      <c r="O654" s="590"/>
      <c r="P654" s="590"/>
      <c r="Q654" s="590"/>
      <c r="R654" s="590"/>
      <c r="S654" s="590"/>
      <c r="T654" s="590"/>
      <c r="U654" s="590"/>
      <c r="V654" s="590"/>
      <c r="W654" s="590"/>
      <c r="X654" s="590"/>
      <c r="Y654" s="590"/>
      <c r="Z654" s="590"/>
    </row>
    <row r="655" spans="1:26" ht="15.75" customHeight="1">
      <c r="A655" s="590"/>
      <c r="B655" s="590"/>
      <c r="C655" s="590"/>
      <c r="D655" s="590"/>
      <c r="E655" s="590"/>
      <c r="F655" s="590"/>
      <c r="G655" s="590"/>
      <c r="H655" s="590"/>
      <c r="I655" s="590"/>
      <c r="J655" s="590"/>
      <c r="K655" s="590"/>
      <c r="L655" s="590"/>
      <c r="M655" s="590"/>
      <c r="N655" s="590"/>
      <c r="O655" s="590"/>
      <c r="P655" s="590"/>
      <c r="Q655" s="590"/>
      <c r="R655" s="590"/>
      <c r="S655" s="590"/>
      <c r="T655" s="590"/>
      <c r="U655" s="590"/>
      <c r="V655" s="590"/>
      <c r="W655" s="590"/>
      <c r="X655" s="590"/>
      <c r="Y655" s="590"/>
      <c r="Z655" s="590"/>
    </row>
    <row r="656" spans="1:26" ht="15.75" customHeight="1">
      <c r="A656" s="590"/>
      <c r="B656" s="590"/>
      <c r="C656" s="590"/>
      <c r="D656" s="590"/>
      <c r="E656" s="590"/>
      <c r="F656" s="590"/>
      <c r="G656" s="590"/>
      <c r="H656" s="590"/>
      <c r="I656" s="590"/>
      <c r="J656" s="590"/>
      <c r="K656" s="590"/>
      <c r="L656" s="590"/>
      <c r="M656" s="590"/>
      <c r="N656" s="590"/>
      <c r="O656" s="590"/>
      <c r="P656" s="590"/>
      <c r="Q656" s="590"/>
      <c r="R656" s="590"/>
      <c r="S656" s="590"/>
      <c r="T656" s="590"/>
      <c r="U656" s="590"/>
      <c r="V656" s="590"/>
      <c r="W656" s="590"/>
      <c r="X656" s="590"/>
      <c r="Y656" s="590"/>
      <c r="Z656" s="590"/>
    </row>
    <row r="657" spans="1:26" ht="15.75" customHeight="1">
      <c r="A657" s="590"/>
      <c r="B657" s="590"/>
      <c r="C657" s="590"/>
      <c r="D657" s="590"/>
      <c r="E657" s="590"/>
      <c r="F657" s="590"/>
      <c r="G657" s="590"/>
      <c r="H657" s="590"/>
      <c r="I657" s="590"/>
      <c r="J657" s="590"/>
      <c r="K657" s="590"/>
      <c r="L657" s="590"/>
      <c r="M657" s="590"/>
      <c r="N657" s="590"/>
      <c r="O657" s="590"/>
      <c r="P657" s="590"/>
      <c r="Q657" s="590"/>
      <c r="R657" s="590"/>
      <c r="S657" s="590"/>
      <c r="T657" s="590"/>
      <c r="U657" s="590"/>
      <c r="V657" s="590"/>
      <c r="W657" s="590"/>
      <c r="X657" s="590"/>
      <c r="Y657" s="590"/>
      <c r="Z657" s="590"/>
    </row>
    <row r="658" spans="1:26" ht="15.75" customHeight="1">
      <c r="A658" s="590"/>
      <c r="B658" s="590"/>
      <c r="C658" s="590"/>
      <c r="D658" s="590"/>
      <c r="E658" s="590"/>
      <c r="F658" s="590"/>
      <c r="G658" s="590"/>
      <c r="H658" s="590"/>
      <c r="I658" s="590"/>
      <c r="J658" s="590"/>
      <c r="K658" s="590"/>
      <c r="L658" s="590"/>
      <c r="M658" s="590"/>
      <c r="N658" s="590"/>
      <c r="O658" s="590"/>
      <c r="P658" s="590"/>
      <c r="Q658" s="590"/>
      <c r="R658" s="590"/>
      <c r="S658" s="590"/>
      <c r="T658" s="590"/>
      <c r="U658" s="590"/>
      <c r="V658" s="590"/>
      <c r="W658" s="590"/>
      <c r="X658" s="590"/>
      <c r="Y658" s="590"/>
      <c r="Z658" s="590"/>
    </row>
    <row r="659" spans="1:26" ht="15.75" customHeight="1">
      <c r="A659" s="590"/>
      <c r="B659" s="590"/>
      <c r="C659" s="590"/>
      <c r="D659" s="590"/>
      <c r="E659" s="590"/>
      <c r="F659" s="590"/>
      <c r="G659" s="590"/>
      <c r="H659" s="590"/>
      <c r="I659" s="590"/>
      <c r="J659" s="590"/>
      <c r="K659" s="590"/>
      <c r="L659" s="590"/>
      <c r="M659" s="590"/>
      <c r="N659" s="590"/>
      <c r="O659" s="590"/>
      <c r="P659" s="590"/>
      <c r="Q659" s="590"/>
      <c r="R659" s="590"/>
      <c r="S659" s="590"/>
      <c r="T659" s="590"/>
      <c r="U659" s="590"/>
      <c r="V659" s="590"/>
      <c r="W659" s="590"/>
      <c r="X659" s="590"/>
      <c r="Y659" s="590"/>
      <c r="Z659" s="590"/>
    </row>
    <row r="660" spans="1:26" ht="15.75" customHeight="1">
      <c r="A660" s="590"/>
      <c r="B660" s="590"/>
      <c r="C660" s="590"/>
      <c r="D660" s="590"/>
      <c r="E660" s="590"/>
      <c r="F660" s="590"/>
      <c r="G660" s="590"/>
      <c r="H660" s="590"/>
      <c r="I660" s="590"/>
      <c r="J660" s="590"/>
      <c r="K660" s="590"/>
      <c r="L660" s="590"/>
      <c r="M660" s="590"/>
      <c r="N660" s="590"/>
      <c r="O660" s="590"/>
      <c r="P660" s="590"/>
      <c r="Q660" s="590"/>
      <c r="R660" s="590"/>
      <c r="S660" s="590"/>
      <c r="T660" s="590"/>
      <c r="U660" s="590"/>
      <c r="V660" s="590"/>
      <c r="W660" s="590"/>
      <c r="X660" s="590"/>
      <c r="Y660" s="590"/>
      <c r="Z660" s="590"/>
    </row>
    <row r="661" spans="1:26" ht="15.75" customHeight="1">
      <c r="A661" s="590"/>
      <c r="B661" s="590"/>
      <c r="C661" s="590"/>
      <c r="D661" s="590"/>
      <c r="E661" s="590"/>
      <c r="F661" s="590"/>
      <c r="G661" s="590"/>
      <c r="H661" s="590"/>
      <c r="I661" s="590"/>
      <c r="J661" s="590"/>
      <c r="K661" s="590"/>
      <c r="L661" s="590"/>
      <c r="M661" s="590"/>
      <c r="N661" s="590"/>
      <c r="O661" s="590"/>
      <c r="P661" s="590"/>
      <c r="Q661" s="590"/>
      <c r="R661" s="590"/>
      <c r="S661" s="590"/>
      <c r="T661" s="590"/>
      <c r="U661" s="590"/>
      <c r="V661" s="590"/>
      <c r="W661" s="590"/>
      <c r="X661" s="590"/>
      <c r="Y661" s="590"/>
      <c r="Z661" s="590"/>
    </row>
    <row r="662" spans="1:26" ht="15.75" customHeight="1">
      <c r="A662" s="590"/>
      <c r="B662" s="590"/>
      <c r="C662" s="590"/>
      <c r="D662" s="590"/>
      <c r="E662" s="590"/>
      <c r="F662" s="590"/>
      <c r="G662" s="590"/>
      <c r="H662" s="590"/>
      <c r="I662" s="590"/>
      <c r="J662" s="590"/>
      <c r="K662" s="590"/>
      <c r="L662" s="590"/>
      <c r="M662" s="590"/>
      <c r="N662" s="590"/>
      <c r="O662" s="590"/>
      <c r="P662" s="590"/>
      <c r="Q662" s="590"/>
      <c r="R662" s="590"/>
      <c r="S662" s="590"/>
      <c r="T662" s="590"/>
      <c r="U662" s="590"/>
      <c r="V662" s="590"/>
      <c r="W662" s="590"/>
      <c r="X662" s="590"/>
      <c r="Y662" s="590"/>
      <c r="Z662" s="590"/>
    </row>
    <row r="663" spans="1:26" ht="15.75" customHeight="1">
      <c r="A663" s="590"/>
      <c r="B663" s="590"/>
      <c r="C663" s="590"/>
      <c r="D663" s="590"/>
      <c r="E663" s="590"/>
      <c r="F663" s="590"/>
      <c r="G663" s="590"/>
      <c r="H663" s="590"/>
      <c r="I663" s="590"/>
      <c r="J663" s="590"/>
      <c r="K663" s="590"/>
      <c r="L663" s="590"/>
      <c r="M663" s="590"/>
      <c r="N663" s="590"/>
      <c r="O663" s="590"/>
      <c r="P663" s="590"/>
      <c r="Q663" s="590"/>
      <c r="R663" s="590"/>
      <c r="S663" s="590"/>
      <c r="T663" s="590"/>
      <c r="U663" s="590"/>
      <c r="V663" s="590"/>
      <c r="W663" s="590"/>
      <c r="X663" s="590"/>
      <c r="Y663" s="590"/>
      <c r="Z663" s="590"/>
    </row>
    <row r="664" spans="1:26" ht="15.75" customHeight="1">
      <c r="A664" s="590"/>
      <c r="B664" s="590"/>
      <c r="C664" s="590"/>
      <c r="D664" s="590"/>
      <c r="E664" s="590"/>
      <c r="F664" s="590"/>
      <c r="G664" s="590"/>
      <c r="H664" s="590"/>
      <c r="I664" s="590"/>
      <c r="J664" s="590"/>
      <c r="K664" s="590"/>
      <c r="L664" s="590"/>
      <c r="M664" s="590"/>
      <c r="N664" s="590"/>
      <c r="O664" s="590"/>
      <c r="P664" s="590"/>
      <c r="Q664" s="590"/>
      <c r="R664" s="590"/>
      <c r="S664" s="590"/>
      <c r="T664" s="590"/>
      <c r="U664" s="590"/>
      <c r="V664" s="590"/>
      <c r="W664" s="590"/>
      <c r="X664" s="590"/>
      <c r="Y664" s="590"/>
      <c r="Z664" s="590"/>
    </row>
    <row r="665" spans="1:26" ht="15.75" customHeight="1">
      <c r="A665" s="590"/>
      <c r="B665" s="590"/>
      <c r="C665" s="590"/>
      <c r="D665" s="590"/>
      <c r="E665" s="590"/>
      <c r="F665" s="590"/>
      <c r="G665" s="590"/>
      <c r="H665" s="590"/>
      <c r="I665" s="590"/>
      <c r="J665" s="590"/>
      <c r="K665" s="590"/>
      <c r="L665" s="590"/>
      <c r="M665" s="590"/>
      <c r="N665" s="590"/>
      <c r="O665" s="590"/>
      <c r="P665" s="590"/>
      <c r="Q665" s="590"/>
      <c r="R665" s="590"/>
      <c r="S665" s="590"/>
      <c r="T665" s="590"/>
      <c r="U665" s="590"/>
      <c r="V665" s="590"/>
      <c r="W665" s="590"/>
      <c r="X665" s="590"/>
      <c r="Y665" s="590"/>
      <c r="Z665" s="590"/>
    </row>
    <row r="666" spans="1:26" ht="15.75" customHeight="1">
      <c r="A666" s="590"/>
      <c r="B666" s="590"/>
      <c r="C666" s="590"/>
      <c r="D666" s="590"/>
      <c r="E666" s="590"/>
      <c r="F666" s="590"/>
      <c r="G666" s="590"/>
      <c r="H666" s="590"/>
      <c r="I666" s="590"/>
      <c r="J666" s="590"/>
      <c r="K666" s="590"/>
      <c r="L666" s="590"/>
      <c r="M666" s="590"/>
      <c r="N666" s="590"/>
      <c r="O666" s="590"/>
      <c r="P666" s="590"/>
      <c r="Q666" s="590"/>
      <c r="R666" s="590"/>
      <c r="S666" s="590"/>
      <c r="T666" s="590"/>
      <c r="U666" s="590"/>
      <c r="V666" s="590"/>
      <c r="W666" s="590"/>
      <c r="X666" s="590"/>
      <c r="Y666" s="590"/>
      <c r="Z666" s="590"/>
    </row>
    <row r="667" spans="1:26" ht="15.75" customHeight="1">
      <c r="A667" s="590"/>
      <c r="B667" s="590"/>
      <c r="C667" s="590"/>
      <c r="D667" s="590"/>
      <c r="E667" s="590"/>
      <c r="F667" s="590"/>
      <c r="G667" s="590"/>
      <c r="H667" s="590"/>
      <c r="I667" s="590"/>
      <c r="J667" s="590"/>
      <c r="K667" s="590"/>
      <c r="L667" s="590"/>
      <c r="M667" s="590"/>
      <c r="N667" s="590"/>
      <c r="O667" s="590"/>
      <c r="P667" s="590"/>
      <c r="Q667" s="590"/>
      <c r="R667" s="590"/>
      <c r="S667" s="590"/>
      <c r="T667" s="590"/>
      <c r="U667" s="590"/>
      <c r="V667" s="590"/>
      <c r="W667" s="590"/>
      <c r="X667" s="590"/>
      <c r="Y667" s="590"/>
      <c r="Z667" s="590"/>
    </row>
    <row r="668" spans="1:26" ht="15.75" customHeight="1">
      <c r="A668" s="590"/>
      <c r="B668" s="590"/>
      <c r="C668" s="590"/>
      <c r="D668" s="590"/>
      <c r="E668" s="590"/>
      <c r="F668" s="590"/>
      <c r="G668" s="590"/>
      <c r="H668" s="590"/>
      <c r="I668" s="590"/>
      <c r="J668" s="590"/>
      <c r="K668" s="590"/>
      <c r="L668" s="590"/>
      <c r="M668" s="590"/>
      <c r="N668" s="590"/>
      <c r="O668" s="590"/>
      <c r="P668" s="590"/>
      <c r="Q668" s="590"/>
      <c r="R668" s="590"/>
      <c r="S668" s="590"/>
      <c r="T668" s="590"/>
      <c r="U668" s="590"/>
      <c r="V668" s="590"/>
      <c r="W668" s="590"/>
      <c r="X668" s="590"/>
      <c r="Y668" s="590"/>
      <c r="Z668" s="590"/>
    </row>
    <row r="669" spans="1:26" ht="15.75" customHeight="1">
      <c r="A669" s="590"/>
      <c r="B669" s="590"/>
      <c r="C669" s="590"/>
      <c r="D669" s="590"/>
      <c r="E669" s="590"/>
      <c r="F669" s="590"/>
      <c r="G669" s="590"/>
      <c r="H669" s="590"/>
      <c r="I669" s="590"/>
      <c r="J669" s="590"/>
      <c r="K669" s="590"/>
      <c r="L669" s="590"/>
      <c r="M669" s="590"/>
      <c r="N669" s="590"/>
      <c r="O669" s="590"/>
      <c r="P669" s="590"/>
      <c r="Q669" s="590"/>
      <c r="R669" s="590"/>
      <c r="S669" s="590"/>
      <c r="T669" s="590"/>
      <c r="U669" s="590"/>
      <c r="V669" s="590"/>
      <c r="W669" s="590"/>
      <c r="X669" s="590"/>
      <c r="Y669" s="590"/>
      <c r="Z669" s="590"/>
    </row>
    <row r="670" spans="1:26" ht="15.75" customHeight="1">
      <c r="A670" s="590"/>
      <c r="B670" s="590"/>
      <c r="C670" s="590"/>
      <c r="D670" s="590"/>
      <c r="E670" s="590"/>
      <c r="F670" s="590"/>
      <c r="G670" s="590"/>
      <c r="H670" s="590"/>
      <c r="I670" s="590"/>
      <c r="J670" s="590"/>
      <c r="K670" s="590"/>
      <c r="L670" s="590"/>
      <c r="M670" s="590"/>
      <c r="N670" s="590"/>
      <c r="O670" s="590"/>
      <c r="P670" s="590"/>
      <c r="Q670" s="590"/>
      <c r="R670" s="590"/>
      <c r="S670" s="590"/>
      <c r="T670" s="590"/>
      <c r="U670" s="590"/>
      <c r="V670" s="590"/>
      <c r="W670" s="590"/>
      <c r="X670" s="590"/>
      <c r="Y670" s="590"/>
      <c r="Z670" s="590"/>
    </row>
    <row r="671" spans="1:26" ht="15.75" customHeight="1">
      <c r="A671" s="590"/>
      <c r="B671" s="590"/>
      <c r="C671" s="590"/>
      <c r="D671" s="590"/>
      <c r="E671" s="590"/>
      <c r="F671" s="590"/>
      <c r="G671" s="590"/>
      <c r="H671" s="590"/>
      <c r="I671" s="590"/>
      <c r="J671" s="590"/>
      <c r="K671" s="590"/>
      <c r="L671" s="590"/>
      <c r="M671" s="590"/>
      <c r="N671" s="590"/>
      <c r="O671" s="590"/>
      <c r="P671" s="590"/>
      <c r="Q671" s="590"/>
      <c r="R671" s="590"/>
      <c r="S671" s="590"/>
      <c r="T671" s="590"/>
      <c r="U671" s="590"/>
      <c r="V671" s="590"/>
      <c r="W671" s="590"/>
      <c r="X671" s="590"/>
      <c r="Y671" s="590"/>
      <c r="Z671" s="590"/>
    </row>
    <row r="672" spans="1:26" ht="15.75" customHeight="1">
      <c r="A672" s="590"/>
      <c r="B672" s="590"/>
      <c r="C672" s="590"/>
      <c r="D672" s="590"/>
      <c r="E672" s="590"/>
      <c r="F672" s="590"/>
      <c r="G672" s="590"/>
      <c r="H672" s="590"/>
      <c r="I672" s="590"/>
      <c r="J672" s="590"/>
      <c r="K672" s="590"/>
      <c r="L672" s="590"/>
      <c r="M672" s="590"/>
      <c r="N672" s="590"/>
      <c r="O672" s="590"/>
      <c r="P672" s="590"/>
      <c r="Q672" s="590"/>
      <c r="R672" s="590"/>
      <c r="S672" s="590"/>
      <c r="T672" s="590"/>
      <c r="U672" s="590"/>
      <c r="V672" s="590"/>
      <c r="W672" s="590"/>
      <c r="X672" s="590"/>
      <c r="Y672" s="590"/>
      <c r="Z672" s="590"/>
    </row>
    <row r="673" spans="1:26" ht="15.75" customHeight="1">
      <c r="A673" s="590"/>
      <c r="B673" s="590"/>
      <c r="C673" s="590"/>
      <c r="D673" s="590"/>
      <c r="E673" s="590"/>
      <c r="F673" s="590"/>
      <c r="G673" s="590"/>
      <c r="H673" s="590"/>
      <c r="I673" s="590"/>
      <c r="J673" s="590"/>
      <c r="K673" s="590"/>
      <c r="L673" s="590"/>
      <c r="M673" s="590"/>
      <c r="N673" s="590"/>
      <c r="O673" s="590"/>
      <c r="P673" s="590"/>
      <c r="Q673" s="590"/>
      <c r="R673" s="590"/>
      <c r="S673" s="590"/>
      <c r="T673" s="590"/>
      <c r="U673" s="590"/>
      <c r="V673" s="590"/>
      <c r="W673" s="590"/>
      <c r="X673" s="590"/>
      <c r="Y673" s="590"/>
      <c r="Z673" s="590"/>
    </row>
    <row r="674" spans="1:26" ht="15.75" customHeight="1">
      <c r="A674" s="590"/>
      <c r="B674" s="590"/>
      <c r="C674" s="590"/>
      <c r="D674" s="590"/>
      <c r="E674" s="590"/>
      <c r="F674" s="590"/>
      <c r="G674" s="590"/>
      <c r="H674" s="590"/>
      <c r="I674" s="590"/>
      <c r="J674" s="590"/>
      <c r="K674" s="590"/>
      <c r="L674" s="590"/>
      <c r="M674" s="590"/>
      <c r="N674" s="590"/>
      <c r="O674" s="590"/>
      <c r="P674" s="590"/>
      <c r="Q674" s="590"/>
      <c r="R674" s="590"/>
      <c r="S674" s="590"/>
      <c r="T674" s="590"/>
      <c r="U674" s="590"/>
      <c r="V674" s="590"/>
      <c r="W674" s="590"/>
      <c r="X674" s="590"/>
      <c r="Y674" s="590"/>
      <c r="Z674" s="590"/>
    </row>
    <row r="675" spans="1:26" ht="15.75" customHeight="1">
      <c r="A675" s="590"/>
      <c r="B675" s="590"/>
      <c r="C675" s="590"/>
      <c r="D675" s="590"/>
      <c r="E675" s="590"/>
      <c r="F675" s="590"/>
      <c r="G675" s="590"/>
      <c r="H675" s="590"/>
      <c r="I675" s="590"/>
      <c r="J675" s="590"/>
      <c r="K675" s="590"/>
      <c r="L675" s="590"/>
      <c r="M675" s="590"/>
      <c r="N675" s="590"/>
      <c r="O675" s="590"/>
      <c r="P675" s="590"/>
      <c r="Q675" s="590"/>
      <c r="R675" s="590"/>
      <c r="S675" s="590"/>
      <c r="T675" s="590"/>
      <c r="U675" s="590"/>
      <c r="V675" s="590"/>
      <c r="W675" s="590"/>
      <c r="X675" s="590"/>
      <c r="Y675" s="590"/>
      <c r="Z675" s="590"/>
    </row>
    <row r="676" spans="1:26" ht="15.75" customHeight="1">
      <c r="A676" s="590"/>
      <c r="B676" s="590"/>
      <c r="C676" s="590"/>
      <c r="D676" s="590"/>
      <c r="E676" s="590"/>
      <c r="F676" s="590"/>
      <c r="G676" s="590"/>
      <c r="H676" s="590"/>
      <c r="I676" s="590"/>
      <c r="J676" s="590"/>
      <c r="K676" s="590"/>
      <c r="L676" s="590"/>
      <c r="M676" s="590"/>
      <c r="N676" s="590"/>
      <c r="O676" s="590"/>
      <c r="P676" s="590"/>
      <c r="Q676" s="590"/>
      <c r="R676" s="590"/>
      <c r="S676" s="590"/>
      <c r="T676" s="590"/>
      <c r="U676" s="590"/>
      <c r="V676" s="590"/>
      <c r="W676" s="590"/>
      <c r="X676" s="590"/>
      <c r="Y676" s="590"/>
      <c r="Z676" s="590"/>
    </row>
    <row r="677" spans="1:26" ht="15.75" customHeight="1">
      <c r="A677" s="590"/>
      <c r="B677" s="590"/>
      <c r="C677" s="590"/>
      <c r="D677" s="590"/>
      <c r="E677" s="590"/>
      <c r="F677" s="590"/>
      <c r="G677" s="590"/>
      <c r="H677" s="590"/>
      <c r="I677" s="590"/>
      <c r="J677" s="590"/>
      <c r="K677" s="590"/>
      <c r="L677" s="590"/>
      <c r="M677" s="590"/>
      <c r="N677" s="590"/>
      <c r="O677" s="590"/>
      <c r="P677" s="590"/>
      <c r="Q677" s="590"/>
      <c r="R677" s="590"/>
      <c r="S677" s="590"/>
      <c r="T677" s="590"/>
      <c r="U677" s="590"/>
      <c r="V677" s="590"/>
      <c r="W677" s="590"/>
      <c r="X677" s="590"/>
      <c r="Y677" s="590"/>
      <c r="Z677" s="590"/>
    </row>
    <row r="678" spans="1:26" ht="15.75" customHeight="1">
      <c r="A678" s="590"/>
      <c r="B678" s="590"/>
      <c r="C678" s="590"/>
      <c r="D678" s="590"/>
      <c r="E678" s="590"/>
      <c r="F678" s="590"/>
      <c r="G678" s="590"/>
      <c r="H678" s="590"/>
      <c r="I678" s="590"/>
      <c r="J678" s="590"/>
      <c r="K678" s="590"/>
      <c r="L678" s="590"/>
      <c r="M678" s="590"/>
      <c r="N678" s="590"/>
      <c r="O678" s="590"/>
      <c r="P678" s="590"/>
      <c r="Q678" s="590"/>
      <c r="R678" s="590"/>
      <c r="S678" s="590"/>
      <c r="T678" s="590"/>
      <c r="U678" s="590"/>
      <c r="V678" s="590"/>
      <c r="W678" s="590"/>
      <c r="X678" s="590"/>
      <c r="Y678" s="590"/>
      <c r="Z678" s="590"/>
    </row>
    <row r="679" spans="1:26" ht="15.75" customHeight="1">
      <c r="A679" s="590"/>
      <c r="B679" s="590"/>
      <c r="C679" s="590"/>
      <c r="D679" s="590"/>
      <c r="E679" s="590"/>
      <c r="F679" s="590"/>
      <c r="G679" s="590"/>
      <c r="H679" s="590"/>
      <c r="I679" s="590"/>
      <c r="J679" s="590"/>
      <c r="K679" s="590"/>
      <c r="L679" s="590"/>
      <c r="M679" s="590"/>
      <c r="N679" s="590"/>
      <c r="O679" s="590"/>
      <c r="P679" s="590"/>
      <c r="Q679" s="590"/>
      <c r="R679" s="590"/>
      <c r="S679" s="590"/>
      <c r="T679" s="590"/>
      <c r="U679" s="590"/>
      <c r="V679" s="590"/>
      <c r="W679" s="590"/>
      <c r="X679" s="590"/>
      <c r="Y679" s="590"/>
      <c r="Z679" s="590"/>
    </row>
    <row r="680" spans="1:26" ht="15.75" customHeight="1">
      <c r="A680" s="590"/>
      <c r="B680" s="590"/>
      <c r="C680" s="590"/>
      <c r="D680" s="590"/>
      <c r="E680" s="590"/>
      <c r="F680" s="590"/>
      <c r="G680" s="590"/>
      <c r="H680" s="590"/>
      <c r="I680" s="590"/>
      <c r="J680" s="590"/>
      <c r="K680" s="590"/>
      <c r="L680" s="590"/>
      <c r="M680" s="590"/>
      <c r="N680" s="590"/>
      <c r="O680" s="590"/>
      <c r="P680" s="590"/>
      <c r="Q680" s="590"/>
      <c r="R680" s="590"/>
      <c r="S680" s="590"/>
      <c r="T680" s="590"/>
      <c r="U680" s="590"/>
      <c r="V680" s="590"/>
      <c r="W680" s="590"/>
      <c r="X680" s="590"/>
      <c r="Y680" s="590"/>
      <c r="Z680" s="590"/>
    </row>
    <row r="681" spans="1:26" ht="15.75" customHeight="1">
      <c r="A681" s="590"/>
      <c r="B681" s="590"/>
      <c r="C681" s="590"/>
      <c r="D681" s="590"/>
      <c r="E681" s="590"/>
      <c r="F681" s="590"/>
      <c r="G681" s="590"/>
      <c r="H681" s="590"/>
      <c r="I681" s="590"/>
      <c r="J681" s="590"/>
      <c r="K681" s="590"/>
      <c r="L681" s="590"/>
      <c r="M681" s="590"/>
      <c r="N681" s="590"/>
      <c r="O681" s="590"/>
      <c r="P681" s="590"/>
      <c r="Q681" s="590"/>
      <c r="R681" s="590"/>
      <c r="S681" s="590"/>
      <c r="T681" s="590"/>
      <c r="U681" s="590"/>
      <c r="V681" s="590"/>
      <c r="W681" s="590"/>
      <c r="X681" s="590"/>
      <c r="Y681" s="590"/>
      <c r="Z681" s="590"/>
    </row>
    <row r="682" spans="1:26" ht="15.75" customHeight="1">
      <c r="A682" s="590"/>
      <c r="B682" s="590"/>
      <c r="C682" s="590"/>
      <c r="D682" s="590"/>
      <c r="E682" s="590"/>
      <c r="F682" s="590"/>
      <c r="G682" s="590"/>
      <c r="H682" s="590"/>
      <c r="I682" s="590"/>
      <c r="J682" s="590"/>
      <c r="K682" s="590"/>
      <c r="L682" s="590"/>
      <c r="M682" s="590"/>
      <c r="N682" s="590"/>
      <c r="O682" s="590"/>
      <c r="P682" s="590"/>
      <c r="Q682" s="590"/>
      <c r="R682" s="590"/>
      <c r="S682" s="590"/>
      <c r="T682" s="590"/>
      <c r="U682" s="590"/>
      <c r="V682" s="590"/>
      <c r="W682" s="590"/>
      <c r="X682" s="590"/>
      <c r="Y682" s="590"/>
      <c r="Z682" s="590"/>
    </row>
    <row r="683" spans="1:26" ht="15.75" customHeight="1">
      <c r="A683" s="590"/>
      <c r="B683" s="590"/>
      <c r="C683" s="590"/>
      <c r="D683" s="590"/>
      <c r="E683" s="590"/>
      <c r="F683" s="590"/>
      <c r="G683" s="590"/>
      <c r="H683" s="590"/>
      <c r="I683" s="590"/>
      <c r="J683" s="590"/>
      <c r="K683" s="590"/>
      <c r="L683" s="590"/>
      <c r="M683" s="590"/>
      <c r="N683" s="590"/>
      <c r="O683" s="590"/>
      <c r="P683" s="590"/>
      <c r="Q683" s="590"/>
      <c r="R683" s="590"/>
      <c r="S683" s="590"/>
      <c r="T683" s="590"/>
      <c r="U683" s="590"/>
      <c r="V683" s="590"/>
      <c r="W683" s="590"/>
      <c r="X683" s="590"/>
      <c r="Y683" s="590"/>
      <c r="Z683" s="590"/>
    </row>
    <row r="684" spans="1:26" ht="15.75" customHeight="1">
      <c r="A684" s="590"/>
      <c r="B684" s="590"/>
      <c r="C684" s="590"/>
      <c r="D684" s="590"/>
      <c r="E684" s="590"/>
      <c r="F684" s="590"/>
      <c r="G684" s="590"/>
      <c r="H684" s="590"/>
      <c r="I684" s="590"/>
      <c r="J684" s="590"/>
      <c r="K684" s="590"/>
      <c r="L684" s="590"/>
      <c r="M684" s="590"/>
      <c r="N684" s="590"/>
      <c r="O684" s="590"/>
      <c r="P684" s="590"/>
      <c r="Q684" s="590"/>
      <c r="R684" s="590"/>
      <c r="S684" s="590"/>
      <c r="T684" s="590"/>
      <c r="U684" s="590"/>
      <c r="V684" s="590"/>
      <c r="W684" s="590"/>
      <c r="X684" s="590"/>
      <c r="Y684" s="590"/>
      <c r="Z684" s="590"/>
    </row>
    <row r="685" spans="1:26" ht="15.75" customHeight="1">
      <c r="A685" s="590"/>
      <c r="B685" s="590"/>
      <c r="C685" s="590"/>
      <c r="D685" s="590"/>
      <c r="E685" s="590"/>
      <c r="F685" s="590"/>
      <c r="G685" s="590"/>
      <c r="H685" s="590"/>
      <c r="I685" s="590"/>
      <c r="J685" s="590"/>
      <c r="K685" s="590"/>
      <c r="L685" s="590"/>
      <c r="M685" s="590"/>
      <c r="N685" s="590"/>
      <c r="O685" s="590"/>
      <c r="P685" s="590"/>
      <c r="Q685" s="590"/>
      <c r="R685" s="590"/>
      <c r="S685" s="590"/>
      <c r="T685" s="590"/>
      <c r="U685" s="590"/>
      <c r="V685" s="590"/>
      <c r="W685" s="590"/>
      <c r="X685" s="590"/>
      <c r="Y685" s="590"/>
      <c r="Z685" s="590"/>
    </row>
    <row r="686" spans="1:26" ht="15.75" customHeight="1">
      <c r="A686" s="590"/>
      <c r="B686" s="590"/>
      <c r="C686" s="590"/>
      <c r="D686" s="590"/>
      <c r="E686" s="590"/>
      <c r="F686" s="590"/>
      <c r="G686" s="590"/>
      <c r="H686" s="590"/>
      <c r="I686" s="590"/>
      <c r="J686" s="590"/>
      <c r="K686" s="590"/>
      <c r="L686" s="590"/>
      <c r="M686" s="590"/>
      <c r="N686" s="590"/>
      <c r="O686" s="590"/>
      <c r="P686" s="590"/>
      <c r="Q686" s="590"/>
      <c r="R686" s="590"/>
      <c r="S686" s="590"/>
      <c r="T686" s="590"/>
      <c r="U686" s="590"/>
      <c r="V686" s="590"/>
      <c r="W686" s="590"/>
      <c r="X686" s="590"/>
      <c r="Y686" s="590"/>
      <c r="Z686" s="590"/>
    </row>
    <row r="687" spans="1:26" ht="15.75" customHeight="1">
      <c r="A687" s="590"/>
      <c r="B687" s="590"/>
      <c r="C687" s="590"/>
      <c r="D687" s="590"/>
      <c r="E687" s="590"/>
      <c r="F687" s="590"/>
      <c r="G687" s="590"/>
      <c r="H687" s="590"/>
      <c r="I687" s="590"/>
      <c r="J687" s="590"/>
      <c r="K687" s="590"/>
      <c r="L687" s="590"/>
      <c r="M687" s="590"/>
      <c r="N687" s="590"/>
      <c r="O687" s="590"/>
      <c r="P687" s="590"/>
      <c r="Q687" s="590"/>
      <c r="R687" s="590"/>
      <c r="S687" s="590"/>
      <c r="T687" s="590"/>
      <c r="U687" s="590"/>
      <c r="V687" s="590"/>
      <c r="W687" s="590"/>
      <c r="X687" s="590"/>
      <c r="Y687" s="590"/>
      <c r="Z687" s="590"/>
    </row>
    <row r="688" spans="1:26" ht="15.75" customHeight="1">
      <c r="A688" s="590"/>
      <c r="B688" s="590"/>
      <c r="C688" s="590"/>
      <c r="D688" s="590"/>
      <c r="E688" s="590"/>
      <c r="F688" s="590"/>
      <c r="G688" s="590"/>
      <c r="H688" s="590"/>
      <c r="I688" s="590"/>
      <c r="J688" s="590"/>
      <c r="K688" s="590"/>
      <c r="L688" s="590"/>
      <c r="M688" s="590"/>
      <c r="N688" s="590"/>
      <c r="O688" s="590"/>
      <c r="P688" s="590"/>
      <c r="Q688" s="590"/>
      <c r="R688" s="590"/>
      <c r="S688" s="590"/>
      <c r="T688" s="590"/>
      <c r="U688" s="590"/>
      <c r="V688" s="590"/>
      <c r="W688" s="590"/>
      <c r="X688" s="590"/>
      <c r="Y688" s="590"/>
      <c r="Z688" s="590"/>
    </row>
    <row r="689" spans="1:26" ht="15.75" customHeight="1">
      <c r="A689" s="590"/>
      <c r="B689" s="590"/>
      <c r="C689" s="590"/>
      <c r="D689" s="590"/>
      <c r="E689" s="590"/>
      <c r="F689" s="590"/>
      <c r="G689" s="590"/>
      <c r="H689" s="590"/>
      <c r="I689" s="590"/>
      <c r="J689" s="590"/>
      <c r="K689" s="590"/>
      <c r="L689" s="590"/>
      <c r="M689" s="590"/>
      <c r="N689" s="590"/>
      <c r="O689" s="590"/>
      <c r="P689" s="590"/>
      <c r="Q689" s="590"/>
      <c r="R689" s="590"/>
      <c r="S689" s="590"/>
      <c r="T689" s="590"/>
      <c r="U689" s="590"/>
      <c r="V689" s="590"/>
      <c r="W689" s="590"/>
      <c r="X689" s="590"/>
      <c r="Y689" s="590"/>
      <c r="Z689" s="590"/>
    </row>
    <row r="690" spans="1:26" ht="15.75" customHeight="1">
      <c r="A690" s="590"/>
      <c r="B690" s="590"/>
      <c r="C690" s="590"/>
      <c r="D690" s="590"/>
      <c r="E690" s="590"/>
      <c r="F690" s="590"/>
      <c r="G690" s="590"/>
      <c r="H690" s="590"/>
      <c r="I690" s="590"/>
      <c r="J690" s="590"/>
      <c r="K690" s="590"/>
      <c r="L690" s="590"/>
      <c r="M690" s="590"/>
      <c r="N690" s="590"/>
      <c r="O690" s="590"/>
      <c r="P690" s="590"/>
      <c r="Q690" s="590"/>
      <c r="R690" s="590"/>
      <c r="S690" s="590"/>
      <c r="T690" s="590"/>
      <c r="U690" s="590"/>
      <c r="V690" s="590"/>
      <c r="W690" s="590"/>
      <c r="X690" s="590"/>
      <c r="Y690" s="590"/>
      <c r="Z690" s="590"/>
    </row>
    <row r="691" spans="1:26" ht="15.75" customHeight="1">
      <c r="A691" s="590"/>
      <c r="B691" s="590"/>
      <c r="C691" s="590"/>
      <c r="D691" s="590"/>
      <c r="E691" s="590"/>
      <c r="F691" s="590"/>
      <c r="G691" s="590"/>
      <c r="H691" s="590"/>
      <c r="I691" s="590"/>
      <c r="J691" s="590"/>
      <c r="K691" s="590"/>
      <c r="L691" s="590"/>
      <c r="M691" s="590"/>
      <c r="N691" s="590"/>
      <c r="O691" s="590"/>
      <c r="P691" s="590"/>
      <c r="Q691" s="590"/>
      <c r="R691" s="590"/>
      <c r="S691" s="590"/>
      <c r="T691" s="590"/>
      <c r="U691" s="590"/>
      <c r="V691" s="590"/>
      <c r="W691" s="590"/>
      <c r="X691" s="590"/>
      <c r="Y691" s="590"/>
      <c r="Z691" s="590"/>
    </row>
    <row r="692" spans="1:26" ht="15.75" customHeight="1">
      <c r="A692" s="590"/>
      <c r="B692" s="590"/>
      <c r="C692" s="590"/>
      <c r="D692" s="590"/>
      <c r="E692" s="590"/>
      <c r="F692" s="590"/>
      <c r="G692" s="590"/>
      <c r="H692" s="590"/>
      <c r="I692" s="590"/>
      <c r="J692" s="590"/>
      <c r="K692" s="590"/>
      <c r="L692" s="590"/>
      <c r="M692" s="590"/>
      <c r="N692" s="590"/>
      <c r="O692" s="590"/>
      <c r="P692" s="590"/>
      <c r="Q692" s="590"/>
      <c r="R692" s="590"/>
      <c r="S692" s="590"/>
      <c r="T692" s="590"/>
      <c r="U692" s="590"/>
      <c r="V692" s="590"/>
      <c r="W692" s="590"/>
      <c r="X692" s="590"/>
      <c r="Y692" s="590"/>
      <c r="Z692" s="590"/>
    </row>
    <row r="693" spans="1:26" ht="15.75" customHeight="1">
      <c r="A693" s="590"/>
      <c r="B693" s="590"/>
      <c r="C693" s="590"/>
      <c r="D693" s="590"/>
      <c r="E693" s="590"/>
      <c r="F693" s="590"/>
      <c r="G693" s="590"/>
      <c r="H693" s="590"/>
      <c r="I693" s="590"/>
      <c r="J693" s="590"/>
      <c r="K693" s="590"/>
      <c r="L693" s="590"/>
      <c r="M693" s="590"/>
      <c r="N693" s="590"/>
      <c r="O693" s="590"/>
      <c r="P693" s="590"/>
      <c r="Q693" s="590"/>
      <c r="R693" s="590"/>
      <c r="S693" s="590"/>
      <c r="T693" s="590"/>
      <c r="U693" s="590"/>
      <c r="V693" s="590"/>
      <c r="W693" s="590"/>
      <c r="X693" s="590"/>
      <c r="Y693" s="590"/>
      <c r="Z693" s="590"/>
    </row>
    <row r="694" spans="1:26" ht="15.75" customHeight="1">
      <c r="A694" s="590"/>
      <c r="B694" s="590"/>
      <c r="C694" s="590"/>
      <c r="D694" s="590"/>
      <c r="E694" s="590"/>
      <c r="F694" s="590"/>
      <c r="G694" s="590"/>
      <c r="H694" s="590"/>
      <c r="I694" s="590"/>
      <c r="J694" s="590"/>
      <c r="K694" s="590"/>
      <c r="L694" s="590"/>
      <c r="M694" s="590"/>
      <c r="N694" s="590"/>
      <c r="O694" s="590"/>
      <c r="P694" s="590"/>
      <c r="Q694" s="590"/>
      <c r="R694" s="590"/>
      <c r="S694" s="590"/>
      <c r="T694" s="590"/>
      <c r="U694" s="590"/>
      <c r="V694" s="590"/>
      <c r="W694" s="590"/>
      <c r="X694" s="590"/>
      <c r="Y694" s="590"/>
      <c r="Z694" s="590"/>
    </row>
    <row r="695" spans="1:26" ht="15.75" customHeight="1">
      <c r="A695" s="590"/>
      <c r="B695" s="590"/>
      <c r="C695" s="590"/>
      <c r="D695" s="590"/>
      <c r="E695" s="590"/>
      <c r="F695" s="590"/>
      <c r="G695" s="590"/>
      <c r="H695" s="590"/>
      <c r="I695" s="590"/>
      <c r="J695" s="590"/>
      <c r="K695" s="590"/>
      <c r="L695" s="590"/>
      <c r="M695" s="590"/>
      <c r="N695" s="590"/>
      <c r="O695" s="590"/>
      <c r="P695" s="590"/>
      <c r="Q695" s="590"/>
      <c r="R695" s="590"/>
      <c r="S695" s="590"/>
      <c r="T695" s="590"/>
      <c r="U695" s="590"/>
      <c r="V695" s="590"/>
      <c r="W695" s="590"/>
      <c r="X695" s="590"/>
      <c r="Y695" s="590"/>
      <c r="Z695" s="590"/>
    </row>
    <row r="696" spans="1:26" ht="15.75" customHeight="1">
      <c r="A696" s="590"/>
      <c r="B696" s="590"/>
      <c r="C696" s="590"/>
      <c r="D696" s="590"/>
      <c r="E696" s="590"/>
      <c r="F696" s="590"/>
      <c r="G696" s="590"/>
      <c r="H696" s="590"/>
      <c r="I696" s="590"/>
      <c r="J696" s="590"/>
      <c r="K696" s="590"/>
      <c r="L696" s="590"/>
      <c r="M696" s="590"/>
      <c r="N696" s="590"/>
      <c r="O696" s="590"/>
      <c r="P696" s="590"/>
      <c r="Q696" s="590"/>
      <c r="R696" s="590"/>
      <c r="S696" s="590"/>
      <c r="T696" s="590"/>
      <c r="U696" s="590"/>
      <c r="V696" s="590"/>
      <c r="W696" s="590"/>
      <c r="X696" s="590"/>
      <c r="Y696" s="590"/>
      <c r="Z696" s="590"/>
    </row>
    <row r="697" spans="1:26" ht="15.75" customHeight="1">
      <c r="A697" s="590"/>
      <c r="B697" s="590"/>
      <c r="C697" s="590"/>
      <c r="D697" s="590"/>
      <c r="E697" s="590"/>
      <c r="F697" s="590"/>
      <c r="G697" s="590"/>
      <c r="H697" s="590"/>
      <c r="I697" s="590"/>
      <c r="J697" s="590"/>
      <c r="K697" s="590"/>
      <c r="L697" s="590"/>
      <c r="M697" s="590"/>
      <c r="N697" s="590"/>
      <c r="O697" s="590"/>
      <c r="P697" s="590"/>
      <c r="Q697" s="590"/>
      <c r="R697" s="590"/>
      <c r="S697" s="590"/>
      <c r="T697" s="590"/>
      <c r="U697" s="590"/>
      <c r="V697" s="590"/>
      <c r="W697" s="590"/>
      <c r="X697" s="590"/>
      <c r="Y697" s="590"/>
      <c r="Z697" s="590"/>
    </row>
    <row r="698" spans="1:26" ht="15.75" customHeight="1">
      <c r="A698" s="590"/>
      <c r="B698" s="590"/>
      <c r="C698" s="590"/>
      <c r="D698" s="590"/>
      <c r="E698" s="590"/>
      <c r="F698" s="590"/>
      <c r="G698" s="590"/>
      <c r="H698" s="590"/>
      <c r="I698" s="590"/>
      <c r="J698" s="590"/>
      <c r="K698" s="590"/>
      <c r="L698" s="590"/>
      <c r="M698" s="590"/>
      <c r="N698" s="590"/>
      <c r="O698" s="590"/>
      <c r="P698" s="590"/>
      <c r="Q698" s="590"/>
      <c r="R698" s="590"/>
      <c r="S698" s="590"/>
      <c r="T698" s="590"/>
      <c r="U698" s="590"/>
      <c r="V698" s="590"/>
      <c r="W698" s="590"/>
      <c r="X698" s="590"/>
      <c r="Y698" s="590"/>
      <c r="Z698" s="590"/>
    </row>
    <row r="699" spans="1:26" ht="15.75" customHeight="1">
      <c r="A699" s="590"/>
      <c r="B699" s="590"/>
      <c r="C699" s="590"/>
      <c r="D699" s="590"/>
      <c r="E699" s="590"/>
      <c r="F699" s="590"/>
      <c r="G699" s="590"/>
      <c r="H699" s="590"/>
      <c r="I699" s="590"/>
      <c r="J699" s="590"/>
      <c r="K699" s="590"/>
      <c r="L699" s="590"/>
      <c r="M699" s="590"/>
      <c r="N699" s="590"/>
      <c r="O699" s="590"/>
      <c r="P699" s="590"/>
      <c r="Q699" s="590"/>
      <c r="R699" s="590"/>
      <c r="S699" s="590"/>
      <c r="T699" s="590"/>
      <c r="U699" s="590"/>
      <c r="V699" s="590"/>
      <c r="W699" s="590"/>
      <c r="X699" s="590"/>
      <c r="Y699" s="590"/>
      <c r="Z699" s="590"/>
    </row>
    <row r="700" spans="1:26" ht="15.75" customHeight="1">
      <c r="A700" s="590"/>
      <c r="B700" s="590"/>
      <c r="C700" s="590"/>
      <c r="D700" s="590"/>
      <c r="E700" s="590"/>
      <c r="F700" s="590"/>
      <c r="G700" s="590"/>
      <c r="H700" s="590"/>
      <c r="I700" s="590"/>
      <c r="J700" s="590"/>
      <c r="K700" s="590"/>
      <c r="L700" s="590"/>
      <c r="M700" s="590"/>
      <c r="N700" s="590"/>
      <c r="O700" s="590"/>
      <c r="P700" s="590"/>
      <c r="Q700" s="590"/>
      <c r="R700" s="590"/>
      <c r="S700" s="590"/>
      <c r="T700" s="590"/>
      <c r="U700" s="590"/>
      <c r="V700" s="590"/>
      <c r="W700" s="590"/>
      <c r="X700" s="590"/>
      <c r="Y700" s="590"/>
      <c r="Z700" s="590"/>
    </row>
    <row r="701" spans="1:26" ht="15.75" customHeight="1">
      <c r="A701" s="590"/>
      <c r="B701" s="590"/>
      <c r="C701" s="590"/>
      <c r="D701" s="590"/>
      <c r="E701" s="590"/>
      <c r="F701" s="590"/>
      <c r="G701" s="590"/>
      <c r="H701" s="590"/>
      <c r="I701" s="590"/>
      <c r="J701" s="590"/>
      <c r="K701" s="590"/>
      <c r="L701" s="590"/>
      <c r="M701" s="590"/>
      <c r="N701" s="590"/>
      <c r="O701" s="590"/>
      <c r="P701" s="590"/>
      <c r="Q701" s="590"/>
      <c r="R701" s="590"/>
      <c r="S701" s="590"/>
      <c r="T701" s="590"/>
      <c r="U701" s="590"/>
      <c r="V701" s="590"/>
      <c r="W701" s="590"/>
      <c r="X701" s="590"/>
      <c r="Y701" s="590"/>
      <c r="Z701" s="590"/>
    </row>
    <row r="702" spans="1:26" ht="15.75" customHeight="1">
      <c r="A702" s="590"/>
      <c r="B702" s="590"/>
      <c r="C702" s="590"/>
      <c r="D702" s="590"/>
      <c r="E702" s="590"/>
      <c r="F702" s="590"/>
      <c r="G702" s="590"/>
      <c r="H702" s="590"/>
      <c r="I702" s="590"/>
      <c r="J702" s="590"/>
      <c r="K702" s="590"/>
      <c r="L702" s="590"/>
      <c r="M702" s="590"/>
      <c r="N702" s="590"/>
      <c r="O702" s="590"/>
      <c r="P702" s="590"/>
      <c r="Q702" s="590"/>
      <c r="R702" s="590"/>
      <c r="S702" s="590"/>
      <c r="T702" s="590"/>
      <c r="U702" s="590"/>
      <c r="V702" s="590"/>
      <c r="W702" s="590"/>
      <c r="X702" s="590"/>
      <c r="Y702" s="590"/>
      <c r="Z702" s="590"/>
    </row>
    <row r="703" spans="1:26" ht="15.75" customHeight="1">
      <c r="A703" s="590"/>
      <c r="B703" s="590"/>
      <c r="C703" s="590"/>
      <c r="D703" s="590"/>
      <c r="E703" s="590"/>
      <c r="F703" s="590"/>
      <c r="G703" s="590"/>
      <c r="H703" s="590"/>
      <c r="I703" s="590"/>
      <c r="J703" s="590"/>
      <c r="K703" s="590"/>
      <c r="L703" s="590"/>
      <c r="M703" s="590"/>
      <c r="N703" s="590"/>
      <c r="O703" s="590"/>
      <c r="P703" s="590"/>
      <c r="Q703" s="590"/>
      <c r="R703" s="590"/>
      <c r="S703" s="590"/>
      <c r="T703" s="590"/>
      <c r="U703" s="590"/>
      <c r="V703" s="590"/>
      <c r="W703" s="590"/>
      <c r="X703" s="590"/>
      <c r="Y703" s="590"/>
      <c r="Z703" s="590"/>
    </row>
    <row r="704" spans="1:26" ht="15.75" customHeight="1">
      <c r="A704" s="590"/>
      <c r="B704" s="590"/>
      <c r="C704" s="590"/>
      <c r="D704" s="590"/>
      <c r="E704" s="590"/>
      <c r="F704" s="590"/>
      <c r="G704" s="590"/>
      <c r="H704" s="590"/>
      <c r="I704" s="590"/>
      <c r="J704" s="590"/>
      <c r="K704" s="590"/>
      <c r="L704" s="590"/>
      <c r="M704" s="590"/>
      <c r="N704" s="590"/>
      <c r="O704" s="590"/>
      <c r="P704" s="590"/>
      <c r="Q704" s="590"/>
      <c r="R704" s="590"/>
      <c r="S704" s="590"/>
      <c r="T704" s="590"/>
      <c r="U704" s="590"/>
      <c r="V704" s="590"/>
      <c r="W704" s="590"/>
      <c r="X704" s="590"/>
      <c r="Y704" s="590"/>
      <c r="Z704" s="590"/>
    </row>
    <row r="705" spans="1:26" ht="15.75" customHeight="1">
      <c r="A705" s="590"/>
      <c r="B705" s="590"/>
      <c r="C705" s="590"/>
      <c r="D705" s="590"/>
      <c r="E705" s="590"/>
      <c r="F705" s="590"/>
      <c r="G705" s="590"/>
      <c r="H705" s="590"/>
      <c r="I705" s="590"/>
      <c r="J705" s="590"/>
      <c r="K705" s="590"/>
      <c r="L705" s="590"/>
      <c r="M705" s="590"/>
      <c r="N705" s="590"/>
      <c r="O705" s="590"/>
      <c r="P705" s="590"/>
      <c r="Q705" s="590"/>
      <c r="R705" s="590"/>
      <c r="S705" s="590"/>
      <c r="T705" s="590"/>
      <c r="U705" s="590"/>
      <c r="V705" s="590"/>
      <c r="W705" s="590"/>
      <c r="X705" s="590"/>
      <c r="Y705" s="590"/>
      <c r="Z705" s="590"/>
    </row>
    <row r="706" spans="1:26" ht="15.75" customHeight="1">
      <c r="A706" s="590"/>
      <c r="B706" s="590"/>
      <c r="C706" s="590"/>
      <c r="D706" s="590"/>
      <c r="E706" s="590"/>
      <c r="F706" s="590"/>
      <c r="G706" s="590"/>
      <c r="H706" s="590"/>
      <c r="I706" s="590"/>
      <c r="J706" s="590"/>
      <c r="K706" s="590"/>
      <c r="L706" s="590"/>
      <c r="M706" s="590"/>
      <c r="N706" s="590"/>
      <c r="O706" s="590"/>
      <c r="P706" s="590"/>
      <c r="Q706" s="590"/>
      <c r="R706" s="590"/>
      <c r="S706" s="590"/>
      <c r="T706" s="590"/>
      <c r="U706" s="590"/>
      <c r="V706" s="590"/>
      <c r="W706" s="590"/>
      <c r="X706" s="590"/>
      <c r="Y706" s="590"/>
      <c r="Z706" s="590"/>
    </row>
    <row r="707" spans="1:26" ht="15.75" customHeight="1">
      <c r="A707" s="590"/>
      <c r="B707" s="590"/>
      <c r="C707" s="590"/>
      <c r="D707" s="590"/>
      <c r="E707" s="590"/>
      <c r="F707" s="590"/>
      <c r="G707" s="590"/>
      <c r="H707" s="590"/>
      <c r="I707" s="590"/>
      <c r="J707" s="590"/>
      <c r="K707" s="590"/>
      <c r="L707" s="590"/>
      <c r="M707" s="590"/>
      <c r="N707" s="590"/>
      <c r="O707" s="590"/>
      <c r="P707" s="590"/>
      <c r="Q707" s="590"/>
      <c r="R707" s="590"/>
      <c r="S707" s="590"/>
      <c r="T707" s="590"/>
      <c r="U707" s="590"/>
      <c r="V707" s="590"/>
      <c r="W707" s="590"/>
      <c r="X707" s="590"/>
      <c r="Y707" s="590"/>
      <c r="Z707" s="590"/>
    </row>
    <row r="708" spans="1:26" ht="15.75" customHeight="1">
      <c r="A708" s="590"/>
      <c r="B708" s="590"/>
      <c r="C708" s="590"/>
      <c r="D708" s="590"/>
      <c r="E708" s="590"/>
      <c r="F708" s="590"/>
      <c r="G708" s="590"/>
      <c r="H708" s="590"/>
      <c r="I708" s="590"/>
      <c r="J708" s="590"/>
      <c r="K708" s="590"/>
      <c r="L708" s="590"/>
      <c r="M708" s="590"/>
      <c r="N708" s="590"/>
      <c r="O708" s="590"/>
      <c r="P708" s="590"/>
      <c r="Q708" s="590"/>
      <c r="R708" s="590"/>
      <c r="S708" s="590"/>
      <c r="T708" s="590"/>
      <c r="U708" s="590"/>
      <c r="V708" s="590"/>
      <c r="W708" s="590"/>
      <c r="X708" s="590"/>
      <c r="Y708" s="590"/>
      <c r="Z708" s="590"/>
    </row>
    <row r="709" spans="1:26" ht="15.75" customHeight="1">
      <c r="A709" s="590"/>
      <c r="B709" s="590"/>
      <c r="C709" s="590"/>
      <c r="D709" s="590"/>
      <c r="E709" s="590"/>
      <c r="F709" s="590"/>
      <c r="G709" s="590"/>
      <c r="H709" s="590"/>
      <c r="I709" s="590"/>
      <c r="J709" s="590"/>
      <c r="K709" s="590"/>
      <c r="L709" s="590"/>
      <c r="M709" s="590"/>
      <c r="N709" s="590"/>
      <c r="O709" s="590"/>
      <c r="P709" s="590"/>
      <c r="Q709" s="590"/>
      <c r="R709" s="590"/>
      <c r="S709" s="590"/>
      <c r="T709" s="590"/>
      <c r="U709" s="590"/>
      <c r="V709" s="590"/>
      <c r="W709" s="590"/>
      <c r="X709" s="590"/>
      <c r="Y709" s="590"/>
      <c r="Z709" s="590"/>
    </row>
    <row r="710" spans="1:26" ht="15.75" customHeight="1">
      <c r="A710" s="590"/>
      <c r="B710" s="590"/>
      <c r="C710" s="590"/>
      <c r="D710" s="590"/>
      <c r="E710" s="590"/>
      <c r="F710" s="590"/>
      <c r="G710" s="590"/>
      <c r="H710" s="590"/>
      <c r="I710" s="590"/>
      <c r="J710" s="590"/>
      <c r="K710" s="590"/>
      <c r="L710" s="590"/>
      <c r="M710" s="590"/>
      <c r="N710" s="590"/>
      <c r="O710" s="590"/>
      <c r="P710" s="590"/>
      <c r="Q710" s="590"/>
      <c r="R710" s="590"/>
      <c r="S710" s="590"/>
      <c r="T710" s="590"/>
      <c r="U710" s="590"/>
      <c r="V710" s="590"/>
      <c r="W710" s="590"/>
      <c r="X710" s="590"/>
      <c r="Y710" s="590"/>
      <c r="Z710" s="590"/>
    </row>
    <row r="711" spans="1:26" ht="15.75" customHeight="1">
      <c r="A711" s="590"/>
      <c r="B711" s="590"/>
      <c r="C711" s="590"/>
      <c r="D711" s="590"/>
      <c r="E711" s="590"/>
      <c r="F711" s="590"/>
      <c r="G711" s="590"/>
      <c r="H711" s="590"/>
      <c r="I711" s="590"/>
      <c r="J711" s="590"/>
      <c r="K711" s="590"/>
      <c r="L711" s="590"/>
      <c r="M711" s="590"/>
      <c r="N711" s="590"/>
      <c r="O711" s="590"/>
      <c r="P711" s="590"/>
      <c r="Q711" s="590"/>
      <c r="R711" s="590"/>
      <c r="S711" s="590"/>
      <c r="T711" s="590"/>
      <c r="U711" s="590"/>
      <c r="V711" s="590"/>
      <c r="W711" s="590"/>
      <c r="X711" s="590"/>
      <c r="Y711" s="590"/>
      <c r="Z711" s="590"/>
    </row>
    <row r="712" spans="1:26" ht="15.75" customHeight="1">
      <c r="A712" s="590"/>
      <c r="B712" s="590"/>
      <c r="C712" s="590"/>
      <c r="D712" s="590"/>
      <c r="E712" s="590"/>
      <c r="F712" s="590"/>
      <c r="G712" s="590"/>
      <c r="H712" s="590"/>
      <c r="I712" s="590"/>
      <c r="J712" s="590"/>
      <c r="K712" s="590"/>
      <c r="L712" s="590"/>
      <c r="M712" s="590"/>
      <c r="N712" s="590"/>
      <c r="O712" s="590"/>
      <c r="P712" s="590"/>
      <c r="Q712" s="590"/>
      <c r="R712" s="590"/>
      <c r="S712" s="590"/>
      <c r="T712" s="590"/>
      <c r="U712" s="590"/>
      <c r="V712" s="590"/>
      <c r="W712" s="590"/>
      <c r="X712" s="590"/>
      <c r="Y712" s="590"/>
      <c r="Z712" s="590"/>
    </row>
    <row r="713" spans="1:26" ht="15.75" customHeight="1">
      <c r="A713" s="590"/>
      <c r="B713" s="590"/>
      <c r="C713" s="590"/>
      <c r="D713" s="590"/>
      <c r="E713" s="590"/>
      <c r="F713" s="590"/>
      <c r="G713" s="590"/>
      <c r="H713" s="590"/>
      <c r="I713" s="590"/>
      <c r="J713" s="590"/>
      <c r="K713" s="590"/>
      <c r="L713" s="590"/>
      <c r="M713" s="590"/>
      <c r="N713" s="590"/>
      <c r="O713" s="590"/>
      <c r="P713" s="590"/>
      <c r="Q713" s="590"/>
      <c r="R713" s="590"/>
      <c r="S713" s="590"/>
      <c r="T713" s="590"/>
      <c r="U713" s="590"/>
      <c r="V713" s="590"/>
      <c r="W713" s="590"/>
      <c r="X713" s="590"/>
      <c r="Y713" s="590"/>
      <c r="Z713" s="590"/>
    </row>
    <row r="714" spans="1:26" ht="15.75" customHeight="1">
      <c r="A714" s="590"/>
      <c r="B714" s="590"/>
      <c r="C714" s="590"/>
      <c r="D714" s="590"/>
      <c r="E714" s="590"/>
      <c r="F714" s="590"/>
      <c r="G714" s="590"/>
      <c r="H714" s="590"/>
      <c r="I714" s="590"/>
      <c r="J714" s="590"/>
      <c r="K714" s="590"/>
      <c r="L714" s="590"/>
      <c r="M714" s="590"/>
      <c r="N714" s="590"/>
      <c r="O714" s="590"/>
      <c r="P714" s="590"/>
      <c r="Q714" s="590"/>
      <c r="R714" s="590"/>
      <c r="S714" s="590"/>
      <c r="T714" s="590"/>
      <c r="U714" s="590"/>
      <c r="V714" s="590"/>
      <c r="W714" s="590"/>
      <c r="X714" s="590"/>
      <c r="Y714" s="590"/>
      <c r="Z714" s="590"/>
    </row>
    <row r="715" spans="1:26" ht="15.75" customHeight="1">
      <c r="A715" s="590"/>
      <c r="B715" s="590"/>
      <c r="C715" s="590"/>
      <c r="D715" s="590"/>
      <c r="E715" s="590"/>
      <c r="F715" s="590"/>
      <c r="G715" s="590"/>
      <c r="H715" s="590"/>
      <c r="I715" s="590"/>
      <c r="J715" s="590"/>
      <c r="K715" s="590"/>
      <c r="L715" s="590"/>
      <c r="M715" s="590"/>
      <c r="N715" s="590"/>
      <c r="O715" s="590"/>
      <c r="P715" s="590"/>
      <c r="Q715" s="590"/>
      <c r="R715" s="590"/>
      <c r="S715" s="590"/>
      <c r="T715" s="590"/>
      <c r="U715" s="590"/>
      <c r="V715" s="590"/>
      <c r="W715" s="590"/>
      <c r="X715" s="590"/>
      <c r="Y715" s="590"/>
      <c r="Z715" s="590"/>
    </row>
    <row r="716" spans="1:26" ht="15.75" customHeight="1">
      <c r="A716" s="590"/>
      <c r="B716" s="590"/>
      <c r="C716" s="590"/>
      <c r="D716" s="590"/>
      <c r="E716" s="590"/>
      <c r="F716" s="590"/>
      <c r="G716" s="590"/>
      <c r="H716" s="590"/>
      <c r="I716" s="590"/>
      <c r="J716" s="590"/>
      <c r="K716" s="590"/>
      <c r="L716" s="590"/>
      <c r="M716" s="590"/>
      <c r="N716" s="590"/>
      <c r="O716" s="590"/>
      <c r="P716" s="590"/>
      <c r="Q716" s="590"/>
      <c r="R716" s="590"/>
      <c r="S716" s="590"/>
      <c r="T716" s="590"/>
      <c r="U716" s="590"/>
      <c r="V716" s="590"/>
      <c r="W716" s="590"/>
      <c r="X716" s="590"/>
      <c r="Y716" s="590"/>
      <c r="Z716" s="590"/>
    </row>
    <row r="717" spans="1:26" ht="15.75" customHeight="1">
      <c r="A717" s="590"/>
      <c r="B717" s="590"/>
      <c r="C717" s="590"/>
      <c r="D717" s="590"/>
      <c r="E717" s="590"/>
      <c r="F717" s="590"/>
      <c r="G717" s="590"/>
      <c r="H717" s="590"/>
      <c r="I717" s="590"/>
      <c r="J717" s="590"/>
      <c r="K717" s="590"/>
      <c r="L717" s="590"/>
      <c r="M717" s="590"/>
      <c r="N717" s="590"/>
      <c r="O717" s="590"/>
      <c r="P717" s="590"/>
      <c r="Q717" s="590"/>
      <c r="R717" s="590"/>
      <c r="S717" s="590"/>
      <c r="T717" s="590"/>
      <c r="U717" s="590"/>
      <c r="V717" s="590"/>
      <c r="W717" s="590"/>
      <c r="X717" s="590"/>
      <c r="Y717" s="590"/>
      <c r="Z717" s="590"/>
    </row>
    <row r="718" spans="1:26" ht="15.75" customHeight="1">
      <c r="A718" s="590"/>
      <c r="B718" s="590"/>
      <c r="C718" s="590"/>
      <c r="D718" s="590"/>
      <c r="E718" s="590"/>
      <c r="F718" s="590"/>
      <c r="G718" s="590"/>
      <c r="H718" s="590"/>
      <c r="I718" s="590"/>
      <c r="J718" s="590"/>
      <c r="K718" s="590"/>
      <c r="L718" s="590"/>
      <c r="M718" s="590"/>
      <c r="N718" s="590"/>
      <c r="O718" s="590"/>
      <c r="P718" s="590"/>
      <c r="Q718" s="590"/>
      <c r="R718" s="590"/>
      <c r="S718" s="590"/>
      <c r="T718" s="590"/>
      <c r="U718" s="590"/>
      <c r="V718" s="590"/>
      <c r="W718" s="590"/>
      <c r="X718" s="590"/>
      <c r="Y718" s="590"/>
      <c r="Z718" s="590"/>
    </row>
    <row r="719" spans="1:26" ht="15.75" customHeight="1">
      <c r="A719" s="590"/>
      <c r="B719" s="590"/>
      <c r="C719" s="590"/>
      <c r="D719" s="590"/>
      <c r="E719" s="590"/>
      <c r="F719" s="590"/>
      <c r="G719" s="590"/>
      <c r="H719" s="590"/>
      <c r="I719" s="590"/>
      <c r="J719" s="590"/>
      <c r="K719" s="590"/>
      <c r="L719" s="590"/>
      <c r="M719" s="590"/>
      <c r="N719" s="590"/>
      <c r="O719" s="590"/>
      <c r="P719" s="590"/>
      <c r="Q719" s="590"/>
      <c r="R719" s="590"/>
      <c r="S719" s="590"/>
      <c r="T719" s="590"/>
      <c r="U719" s="590"/>
      <c r="V719" s="590"/>
      <c r="W719" s="590"/>
      <c r="X719" s="590"/>
      <c r="Y719" s="590"/>
      <c r="Z719" s="590"/>
    </row>
    <row r="720" spans="1:26" ht="15.75" customHeight="1">
      <c r="A720" s="590"/>
      <c r="B720" s="590"/>
      <c r="C720" s="590"/>
      <c r="D720" s="590"/>
      <c r="E720" s="590"/>
      <c r="F720" s="590"/>
      <c r="G720" s="590"/>
      <c r="H720" s="590"/>
      <c r="I720" s="590"/>
      <c r="J720" s="590"/>
      <c r="K720" s="590"/>
      <c r="L720" s="590"/>
      <c r="M720" s="590"/>
      <c r="N720" s="590"/>
      <c r="O720" s="590"/>
      <c r="P720" s="590"/>
      <c r="Q720" s="590"/>
      <c r="R720" s="590"/>
      <c r="S720" s="590"/>
      <c r="T720" s="590"/>
      <c r="U720" s="590"/>
      <c r="V720" s="590"/>
      <c r="W720" s="590"/>
      <c r="X720" s="590"/>
      <c r="Y720" s="590"/>
      <c r="Z720" s="590"/>
    </row>
    <row r="721" spans="1:26" ht="15.75" customHeight="1">
      <c r="A721" s="590"/>
      <c r="B721" s="590"/>
      <c r="C721" s="590"/>
      <c r="D721" s="590"/>
      <c r="E721" s="590"/>
      <c r="F721" s="590"/>
      <c r="G721" s="590"/>
      <c r="H721" s="590"/>
      <c r="I721" s="590"/>
      <c r="J721" s="590"/>
      <c r="K721" s="590"/>
      <c r="L721" s="590"/>
      <c r="M721" s="590"/>
      <c r="N721" s="590"/>
      <c r="O721" s="590"/>
      <c r="P721" s="590"/>
      <c r="Q721" s="590"/>
      <c r="R721" s="590"/>
      <c r="S721" s="590"/>
      <c r="T721" s="590"/>
      <c r="U721" s="590"/>
      <c r="V721" s="590"/>
      <c r="W721" s="590"/>
      <c r="X721" s="590"/>
      <c r="Y721" s="590"/>
      <c r="Z721" s="590"/>
    </row>
    <row r="722" spans="1:26" ht="15.75" customHeight="1">
      <c r="A722" s="590"/>
      <c r="B722" s="590"/>
      <c r="C722" s="590"/>
      <c r="D722" s="590"/>
      <c r="E722" s="590"/>
      <c r="F722" s="590"/>
      <c r="G722" s="590"/>
      <c r="H722" s="590"/>
      <c r="I722" s="590"/>
      <c r="J722" s="590"/>
      <c r="K722" s="590"/>
      <c r="L722" s="590"/>
      <c r="M722" s="590"/>
      <c r="N722" s="590"/>
      <c r="O722" s="590"/>
      <c r="P722" s="590"/>
      <c r="Q722" s="590"/>
      <c r="R722" s="590"/>
      <c r="S722" s="590"/>
      <c r="T722" s="590"/>
      <c r="U722" s="590"/>
      <c r="V722" s="590"/>
      <c r="W722" s="590"/>
      <c r="X722" s="590"/>
      <c r="Y722" s="590"/>
      <c r="Z722" s="590"/>
    </row>
    <row r="723" spans="1:26" ht="15.75" customHeight="1">
      <c r="A723" s="590"/>
      <c r="B723" s="590"/>
      <c r="C723" s="590"/>
      <c r="D723" s="590"/>
      <c r="E723" s="590"/>
      <c r="F723" s="590"/>
      <c r="G723" s="590"/>
      <c r="H723" s="590"/>
      <c r="I723" s="590"/>
      <c r="J723" s="590"/>
      <c r="K723" s="590"/>
      <c r="L723" s="590"/>
      <c r="M723" s="590"/>
      <c r="N723" s="590"/>
      <c r="O723" s="590"/>
      <c r="P723" s="590"/>
      <c r="Q723" s="590"/>
      <c r="R723" s="590"/>
      <c r="S723" s="590"/>
      <c r="T723" s="590"/>
      <c r="U723" s="590"/>
      <c r="V723" s="590"/>
      <c r="W723" s="590"/>
      <c r="X723" s="590"/>
      <c r="Y723" s="590"/>
      <c r="Z723" s="590"/>
    </row>
    <row r="724" spans="1:26" ht="15.75" customHeight="1">
      <c r="A724" s="590"/>
      <c r="B724" s="590"/>
      <c r="C724" s="590"/>
      <c r="D724" s="590"/>
      <c r="E724" s="590"/>
      <c r="F724" s="590"/>
      <c r="G724" s="590"/>
      <c r="H724" s="590"/>
      <c r="I724" s="590"/>
      <c r="J724" s="590"/>
      <c r="K724" s="590"/>
      <c r="L724" s="590"/>
      <c r="M724" s="590"/>
      <c r="N724" s="590"/>
      <c r="O724" s="590"/>
      <c r="P724" s="590"/>
      <c r="Q724" s="590"/>
      <c r="R724" s="590"/>
      <c r="S724" s="590"/>
      <c r="T724" s="590"/>
      <c r="U724" s="590"/>
      <c r="V724" s="590"/>
      <c r="W724" s="590"/>
      <c r="X724" s="590"/>
      <c r="Y724" s="590"/>
      <c r="Z724" s="590"/>
    </row>
    <row r="725" spans="1:26" ht="15.75" customHeight="1">
      <c r="A725" s="590"/>
      <c r="B725" s="590"/>
      <c r="C725" s="590"/>
      <c r="D725" s="590"/>
      <c r="E725" s="590"/>
      <c r="F725" s="590"/>
      <c r="G725" s="590"/>
      <c r="H725" s="590"/>
      <c r="I725" s="590"/>
      <c r="J725" s="590"/>
      <c r="K725" s="590"/>
      <c r="L725" s="590"/>
      <c r="M725" s="590"/>
      <c r="N725" s="590"/>
      <c r="O725" s="590"/>
      <c r="P725" s="590"/>
      <c r="Q725" s="590"/>
      <c r="R725" s="590"/>
      <c r="S725" s="590"/>
      <c r="T725" s="590"/>
      <c r="U725" s="590"/>
      <c r="V725" s="590"/>
      <c r="W725" s="590"/>
      <c r="X725" s="590"/>
      <c r="Y725" s="590"/>
      <c r="Z725" s="590"/>
    </row>
    <row r="726" spans="1:26" ht="15.75" customHeight="1">
      <c r="A726" s="590"/>
      <c r="B726" s="590"/>
      <c r="C726" s="590"/>
      <c r="D726" s="590"/>
      <c r="E726" s="590"/>
      <c r="F726" s="590"/>
      <c r="G726" s="590"/>
      <c r="H726" s="590"/>
      <c r="I726" s="590"/>
      <c r="J726" s="590"/>
      <c r="K726" s="590"/>
      <c r="L726" s="590"/>
      <c r="M726" s="590"/>
      <c r="N726" s="590"/>
      <c r="O726" s="590"/>
      <c r="P726" s="590"/>
      <c r="Q726" s="590"/>
      <c r="R726" s="590"/>
      <c r="S726" s="590"/>
      <c r="T726" s="590"/>
      <c r="U726" s="590"/>
      <c r="V726" s="590"/>
      <c r="W726" s="590"/>
      <c r="X726" s="590"/>
      <c r="Y726" s="590"/>
      <c r="Z726" s="590"/>
    </row>
    <row r="727" spans="1:26" ht="15.75" customHeight="1">
      <c r="A727" s="590"/>
      <c r="B727" s="590"/>
      <c r="C727" s="590"/>
      <c r="D727" s="590"/>
      <c r="E727" s="590"/>
      <c r="F727" s="590"/>
      <c r="G727" s="590"/>
      <c r="H727" s="590"/>
      <c r="I727" s="590"/>
      <c r="J727" s="590"/>
      <c r="K727" s="590"/>
      <c r="L727" s="590"/>
      <c r="M727" s="590"/>
      <c r="N727" s="590"/>
      <c r="O727" s="590"/>
      <c r="P727" s="590"/>
      <c r="Q727" s="590"/>
      <c r="R727" s="590"/>
      <c r="S727" s="590"/>
      <c r="T727" s="590"/>
      <c r="U727" s="590"/>
      <c r="V727" s="590"/>
      <c r="W727" s="590"/>
      <c r="X727" s="590"/>
      <c r="Y727" s="590"/>
      <c r="Z727" s="590"/>
    </row>
    <row r="728" spans="1:26" ht="15.75" customHeight="1">
      <c r="A728" s="590"/>
      <c r="B728" s="590"/>
      <c r="C728" s="590"/>
      <c r="D728" s="590"/>
      <c r="E728" s="590"/>
      <c r="F728" s="590"/>
      <c r="G728" s="590"/>
      <c r="H728" s="590"/>
      <c r="I728" s="590"/>
      <c r="J728" s="590"/>
      <c r="K728" s="590"/>
      <c r="L728" s="590"/>
      <c r="M728" s="590"/>
      <c r="N728" s="590"/>
      <c r="O728" s="590"/>
      <c r="P728" s="590"/>
      <c r="Q728" s="590"/>
      <c r="R728" s="590"/>
      <c r="S728" s="590"/>
      <c r="T728" s="590"/>
      <c r="U728" s="590"/>
      <c r="V728" s="590"/>
      <c r="W728" s="590"/>
      <c r="X728" s="590"/>
      <c r="Y728" s="590"/>
      <c r="Z728" s="590"/>
    </row>
    <row r="729" spans="1:26" ht="15.75" customHeight="1">
      <c r="A729" s="590"/>
      <c r="B729" s="590"/>
      <c r="C729" s="590"/>
      <c r="D729" s="590"/>
      <c r="E729" s="590"/>
      <c r="F729" s="590"/>
      <c r="G729" s="590"/>
      <c r="H729" s="590"/>
      <c r="I729" s="590"/>
      <c r="J729" s="590"/>
      <c r="K729" s="590"/>
      <c r="L729" s="590"/>
      <c r="M729" s="590"/>
      <c r="N729" s="590"/>
      <c r="O729" s="590"/>
      <c r="P729" s="590"/>
      <c r="Q729" s="590"/>
      <c r="R729" s="590"/>
      <c r="S729" s="590"/>
      <c r="T729" s="590"/>
      <c r="U729" s="590"/>
      <c r="V729" s="590"/>
      <c r="W729" s="590"/>
      <c r="X729" s="590"/>
      <c r="Y729" s="590"/>
      <c r="Z729" s="590"/>
    </row>
    <row r="730" spans="1:26" ht="15.75" customHeight="1">
      <c r="A730" s="590"/>
      <c r="B730" s="590"/>
      <c r="C730" s="590"/>
      <c r="D730" s="590"/>
      <c r="E730" s="590"/>
      <c r="F730" s="590"/>
      <c r="G730" s="590"/>
      <c r="H730" s="590"/>
      <c r="I730" s="590"/>
      <c r="J730" s="590"/>
      <c r="K730" s="590"/>
      <c r="L730" s="590"/>
      <c r="M730" s="590"/>
      <c r="N730" s="590"/>
      <c r="O730" s="590"/>
      <c r="P730" s="590"/>
      <c r="Q730" s="590"/>
      <c r="R730" s="590"/>
      <c r="S730" s="590"/>
      <c r="T730" s="590"/>
      <c r="U730" s="590"/>
      <c r="V730" s="590"/>
      <c r="W730" s="590"/>
      <c r="X730" s="590"/>
      <c r="Y730" s="590"/>
      <c r="Z730" s="590"/>
    </row>
    <row r="731" spans="1:26" ht="15.75" customHeight="1">
      <c r="A731" s="590"/>
      <c r="B731" s="590"/>
      <c r="C731" s="590"/>
      <c r="D731" s="590"/>
      <c r="E731" s="590"/>
      <c r="F731" s="590"/>
      <c r="G731" s="590"/>
      <c r="H731" s="590"/>
      <c r="I731" s="590"/>
      <c r="J731" s="590"/>
      <c r="K731" s="590"/>
      <c r="L731" s="590"/>
      <c r="M731" s="590"/>
      <c r="N731" s="590"/>
      <c r="O731" s="590"/>
      <c r="P731" s="590"/>
      <c r="Q731" s="590"/>
      <c r="R731" s="590"/>
      <c r="S731" s="590"/>
      <c r="T731" s="590"/>
      <c r="U731" s="590"/>
      <c r="V731" s="590"/>
      <c r="W731" s="590"/>
      <c r="X731" s="590"/>
      <c r="Y731" s="590"/>
      <c r="Z731" s="590"/>
    </row>
    <row r="732" spans="1:26" ht="15.75" customHeight="1">
      <c r="A732" s="590"/>
      <c r="B732" s="590"/>
      <c r="C732" s="590"/>
      <c r="D732" s="590"/>
      <c r="E732" s="590"/>
      <c r="F732" s="590"/>
      <c r="G732" s="590"/>
      <c r="H732" s="590"/>
      <c r="I732" s="590"/>
      <c r="J732" s="590"/>
      <c r="K732" s="590"/>
      <c r="L732" s="590"/>
      <c r="M732" s="590"/>
      <c r="N732" s="590"/>
      <c r="O732" s="590"/>
      <c r="P732" s="590"/>
      <c r="Q732" s="590"/>
      <c r="R732" s="590"/>
      <c r="S732" s="590"/>
      <c r="T732" s="590"/>
      <c r="U732" s="590"/>
      <c r="V732" s="590"/>
      <c r="W732" s="590"/>
      <c r="X732" s="590"/>
      <c r="Y732" s="590"/>
      <c r="Z732" s="590"/>
    </row>
    <row r="733" spans="1:26" ht="15.75" customHeight="1">
      <c r="A733" s="590"/>
      <c r="B733" s="590"/>
      <c r="C733" s="590"/>
      <c r="D733" s="590"/>
      <c r="E733" s="590"/>
      <c r="F733" s="590"/>
      <c r="G733" s="590"/>
      <c r="H733" s="590"/>
      <c r="I733" s="590"/>
      <c r="J733" s="590"/>
      <c r="K733" s="590"/>
      <c r="L733" s="590"/>
      <c r="M733" s="590"/>
      <c r="N733" s="590"/>
      <c r="O733" s="590"/>
      <c r="P733" s="590"/>
      <c r="Q733" s="590"/>
      <c r="R733" s="590"/>
      <c r="S733" s="590"/>
      <c r="T733" s="590"/>
      <c r="U733" s="590"/>
      <c r="V733" s="590"/>
      <c r="W733" s="590"/>
      <c r="X733" s="590"/>
      <c r="Y733" s="590"/>
      <c r="Z733" s="590"/>
    </row>
    <row r="734" spans="1:26" ht="15.75" customHeight="1">
      <c r="A734" s="590"/>
      <c r="B734" s="590"/>
      <c r="C734" s="590"/>
      <c r="D734" s="590"/>
      <c r="E734" s="590"/>
      <c r="F734" s="590"/>
      <c r="G734" s="590"/>
      <c r="H734" s="590"/>
      <c r="I734" s="590"/>
      <c r="J734" s="590"/>
      <c r="K734" s="590"/>
      <c r="L734" s="590"/>
      <c r="M734" s="590"/>
      <c r="N734" s="590"/>
      <c r="O734" s="590"/>
      <c r="P734" s="590"/>
      <c r="Q734" s="590"/>
      <c r="R734" s="590"/>
      <c r="S734" s="590"/>
      <c r="T734" s="590"/>
      <c r="U734" s="590"/>
      <c r="V734" s="590"/>
      <c r="W734" s="590"/>
      <c r="X734" s="590"/>
      <c r="Y734" s="590"/>
      <c r="Z734" s="590"/>
    </row>
    <row r="735" spans="1:26" ht="15.75" customHeight="1">
      <c r="A735" s="590"/>
      <c r="B735" s="590"/>
      <c r="C735" s="590"/>
      <c r="D735" s="590"/>
      <c r="E735" s="590"/>
      <c r="F735" s="590"/>
      <c r="G735" s="590"/>
      <c r="H735" s="590"/>
      <c r="I735" s="590"/>
      <c r="J735" s="590"/>
      <c r="K735" s="590"/>
      <c r="L735" s="590"/>
      <c r="M735" s="590"/>
      <c r="N735" s="590"/>
      <c r="O735" s="590"/>
      <c r="P735" s="590"/>
      <c r="Q735" s="590"/>
      <c r="R735" s="590"/>
      <c r="S735" s="590"/>
      <c r="T735" s="590"/>
      <c r="U735" s="590"/>
      <c r="V735" s="590"/>
      <c r="W735" s="590"/>
      <c r="X735" s="590"/>
      <c r="Y735" s="590"/>
      <c r="Z735" s="590"/>
    </row>
    <row r="736" spans="1:26" ht="15.75" customHeight="1">
      <c r="A736" s="590"/>
      <c r="B736" s="590"/>
      <c r="C736" s="590"/>
      <c r="D736" s="590"/>
      <c r="E736" s="590"/>
      <c r="F736" s="590"/>
      <c r="G736" s="590"/>
      <c r="H736" s="590"/>
      <c r="I736" s="590"/>
      <c r="J736" s="590"/>
      <c r="K736" s="590"/>
      <c r="L736" s="590"/>
      <c r="M736" s="590"/>
      <c r="N736" s="590"/>
      <c r="O736" s="590"/>
      <c r="P736" s="590"/>
      <c r="Q736" s="590"/>
      <c r="R736" s="590"/>
      <c r="S736" s="590"/>
      <c r="T736" s="590"/>
      <c r="U736" s="590"/>
      <c r="V736" s="590"/>
      <c r="W736" s="590"/>
      <c r="X736" s="590"/>
      <c r="Y736" s="590"/>
      <c r="Z736" s="590"/>
    </row>
    <row r="737" spans="1:26" ht="15.75" customHeight="1">
      <c r="A737" s="590"/>
      <c r="B737" s="590"/>
      <c r="C737" s="590"/>
      <c r="D737" s="590"/>
      <c r="E737" s="590"/>
      <c r="F737" s="590"/>
      <c r="G737" s="590"/>
      <c r="H737" s="590"/>
      <c r="I737" s="590"/>
      <c r="J737" s="590"/>
      <c r="K737" s="590"/>
      <c r="L737" s="590"/>
      <c r="M737" s="590"/>
      <c r="N737" s="590"/>
      <c r="O737" s="590"/>
      <c r="P737" s="590"/>
      <c r="Q737" s="590"/>
      <c r="R737" s="590"/>
      <c r="S737" s="590"/>
      <c r="T737" s="590"/>
      <c r="U737" s="590"/>
      <c r="V737" s="590"/>
      <c r="W737" s="590"/>
      <c r="X737" s="590"/>
      <c r="Y737" s="590"/>
      <c r="Z737" s="590"/>
    </row>
    <row r="738" spans="1:26" ht="15.75" customHeight="1">
      <c r="A738" s="590"/>
      <c r="B738" s="590"/>
      <c r="C738" s="590"/>
      <c r="D738" s="590"/>
      <c r="E738" s="590"/>
      <c r="F738" s="590"/>
      <c r="G738" s="590"/>
      <c r="H738" s="590"/>
      <c r="I738" s="590"/>
      <c r="J738" s="590"/>
      <c r="K738" s="590"/>
      <c r="L738" s="590"/>
      <c r="M738" s="590"/>
      <c r="N738" s="590"/>
      <c r="O738" s="590"/>
      <c r="P738" s="590"/>
      <c r="Q738" s="590"/>
      <c r="R738" s="590"/>
      <c r="S738" s="590"/>
      <c r="T738" s="590"/>
      <c r="U738" s="590"/>
      <c r="V738" s="590"/>
      <c r="W738" s="590"/>
      <c r="X738" s="590"/>
      <c r="Y738" s="590"/>
      <c r="Z738" s="590"/>
    </row>
    <row r="739" spans="1:26" ht="15.75" customHeight="1">
      <c r="A739" s="590"/>
      <c r="B739" s="590"/>
      <c r="C739" s="590"/>
      <c r="D739" s="590"/>
      <c r="E739" s="590"/>
      <c r="F739" s="590"/>
      <c r="G739" s="590"/>
      <c r="H739" s="590"/>
      <c r="I739" s="590"/>
      <c r="J739" s="590"/>
      <c r="K739" s="590"/>
      <c r="L739" s="590"/>
      <c r="M739" s="590"/>
      <c r="N739" s="590"/>
      <c r="O739" s="590"/>
      <c r="P739" s="590"/>
      <c r="Q739" s="590"/>
      <c r="R739" s="590"/>
      <c r="S739" s="590"/>
      <c r="T739" s="590"/>
      <c r="U739" s="590"/>
      <c r="V739" s="590"/>
      <c r="W739" s="590"/>
      <c r="X739" s="590"/>
      <c r="Y739" s="590"/>
      <c r="Z739" s="590"/>
    </row>
    <row r="740" spans="1:26" ht="15.75" customHeight="1">
      <c r="A740" s="590"/>
      <c r="B740" s="590"/>
      <c r="C740" s="590"/>
      <c r="D740" s="590"/>
      <c r="E740" s="590"/>
      <c r="F740" s="590"/>
      <c r="G740" s="590"/>
      <c r="H740" s="590"/>
      <c r="I740" s="590"/>
      <c r="J740" s="590"/>
      <c r="K740" s="590"/>
      <c r="L740" s="590"/>
      <c r="M740" s="590"/>
      <c r="N740" s="590"/>
      <c r="O740" s="590"/>
      <c r="P740" s="590"/>
      <c r="Q740" s="590"/>
      <c r="R740" s="590"/>
      <c r="S740" s="590"/>
      <c r="T740" s="590"/>
      <c r="U740" s="590"/>
      <c r="V740" s="590"/>
      <c r="W740" s="590"/>
      <c r="X740" s="590"/>
      <c r="Y740" s="590"/>
      <c r="Z740" s="590"/>
    </row>
    <row r="741" spans="1:26" ht="15.75" customHeight="1">
      <c r="A741" s="590"/>
      <c r="B741" s="590"/>
      <c r="C741" s="590"/>
      <c r="D741" s="590"/>
      <c r="E741" s="590"/>
      <c r="F741" s="590"/>
      <c r="G741" s="590"/>
      <c r="H741" s="590"/>
      <c r="I741" s="590"/>
      <c r="J741" s="590"/>
      <c r="K741" s="590"/>
      <c r="L741" s="590"/>
      <c r="M741" s="590"/>
      <c r="N741" s="590"/>
      <c r="O741" s="590"/>
      <c r="P741" s="590"/>
      <c r="Q741" s="590"/>
      <c r="R741" s="590"/>
      <c r="S741" s="590"/>
      <c r="T741" s="590"/>
      <c r="U741" s="590"/>
      <c r="V741" s="590"/>
      <c r="W741" s="590"/>
      <c r="X741" s="590"/>
      <c r="Y741" s="590"/>
      <c r="Z741" s="590"/>
    </row>
    <row r="742" spans="1:26" ht="15.75" customHeight="1">
      <c r="A742" s="590"/>
      <c r="B742" s="590"/>
      <c r="C742" s="590"/>
      <c r="D742" s="590"/>
      <c r="E742" s="590"/>
      <c r="F742" s="590"/>
      <c r="G742" s="590"/>
      <c r="H742" s="590"/>
      <c r="I742" s="590"/>
      <c r="J742" s="590"/>
      <c r="K742" s="590"/>
      <c r="L742" s="590"/>
      <c r="M742" s="590"/>
      <c r="N742" s="590"/>
      <c r="O742" s="590"/>
      <c r="P742" s="590"/>
      <c r="Q742" s="590"/>
      <c r="R742" s="590"/>
      <c r="S742" s="590"/>
      <c r="T742" s="590"/>
      <c r="U742" s="590"/>
      <c r="V742" s="590"/>
      <c r="W742" s="590"/>
      <c r="X742" s="590"/>
      <c r="Y742" s="590"/>
      <c r="Z742" s="590"/>
    </row>
    <row r="743" spans="1:26" ht="15.75" customHeight="1">
      <c r="A743" s="590"/>
      <c r="B743" s="590"/>
      <c r="C743" s="590"/>
      <c r="D743" s="590"/>
      <c r="E743" s="590"/>
      <c r="F743" s="590"/>
      <c r="G743" s="590"/>
      <c r="H743" s="590"/>
      <c r="I743" s="590"/>
      <c r="J743" s="590"/>
      <c r="K743" s="590"/>
      <c r="L743" s="590"/>
      <c r="M743" s="590"/>
      <c r="N743" s="590"/>
      <c r="O743" s="590"/>
      <c r="P743" s="590"/>
      <c r="Q743" s="590"/>
      <c r="R743" s="590"/>
      <c r="S743" s="590"/>
      <c r="T743" s="590"/>
      <c r="U743" s="590"/>
      <c r="V743" s="590"/>
      <c r="W743" s="590"/>
      <c r="X743" s="590"/>
      <c r="Y743" s="590"/>
      <c r="Z743" s="590"/>
    </row>
    <row r="744" spans="1:26" ht="15.75" customHeight="1">
      <c r="A744" s="590"/>
      <c r="B744" s="590"/>
      <c r="C744" s="590"/>
      <c r="D744" s="590"/>
      <c r="E744" s="590"/>
      <c r="F744" s="590"/>
      <c r="G744" s="590"/>
      <c r="H744" s="590"/>
      <c r="I744" s="590"/>
      <c r="J744" s="590"/>
      <c r="K744" s="590"/>
      <c r="L744" s="590"/>
      <c r="M744" s="590"/>
      <c r="N744" s="590"/>
      <c r="O744" s="590"/>
      <c r="P744" s="590"/>
      <c r="Q744" s="590"/>
      <c r="R744" s="590"/>
      <c r="S744" s="590"/>
      <c r="T744" s="590"/>
      <c r="U744" s="590"/>
      <c r="V744" s="590"/>
      <c r="W744" s="590"/>
      <c r="X744" s="590"/>
      <c r="Y744" s="590"/>
      <c r="Z744" s="590"/>
    </row>
    <row r="745" spans="1:26" ht="15.75" customHeight="1">
      <c r="A745" s="590"/>
      <c r="B745" s="590"/>
      <c r="C745" s="590"/>
      <c r="D745" s="590"/>
      <c r="E745" s="590"/>
      <c r="F745" s="590"/>
      <c r="G745" s="590"/>
      <c r="H745" s="590"/>
      <c r="I745" s="590"/>
      <c r="J745" s="590"/>
      <c r="K745" s="590"/>
      <c r="L745" s="590"/>
      <c r="M745" s="590"/>
      <c r="N745" s="590"/>
      <c r="O745" s="590"/>
      <c r="P745" s="590"/>
      <c r="Q745" s="590"/>
      <c r="R745" s="590"/>
      <c r="S745" s="590"/>
      <c r="T745" s="590"/>
      <c r="U745" s="590"/>
      <c r="V745" s="590"/>
      <c r="W745" s="590"/>
      <c r="X745" s="590"/>
      <c r="Y745" s="590"/>
      <c r="Z745" s="590"/>
    </row>
    <row r="746" spans="1:26" ht="15.75" customHeight="1">
      <c r="A746" s="590"/>
      <c r="B746" s="590"/>
      <c r="C746" s="590"/>
      <c r="D746" s="590"/>
      <c r="E746" s="590"/>
      <c r="F746" s="590"/>
      <c r="G746" s="590"/>
      <c r="H746" s="590"/>
      <c r="I746" s="590"/>
      <c r="J746" s="590"/>
      <c r="K746" s="590"/>
      <c r="L746" s="590"/>
      <c r="M746" s="590"/>
      <c r="N746" s="590"/>
      <c r="O746" s="590"/>
      <c r="P746" s="590"/>
      <c r="Q746" s="590"/>
      <c r="R746" s="590"/>
      <c r="S746" s="590"/>
      <c r="T746" s="590"/>
      <c r="U746" s="590"/>
      <c r="V746" s="590"/>
      <c r="W746" s="590"/>
      <c r="X746" s="590"/>
      <c r="Y746" s="590"/>
      <c r="Z746" s="590"/>
    </row>
    <row r="747" spans="1:26" ht="15.75" customHeight="1">
      <c r="A747" s="590"/>
      <c r="B747" s="590"/>
      <c r="C747" s="590"/>
      <c r="D747" s="590"/>
      <c r="E747" s="590"/>
      <c r="F747" s="590"/>
      <c r="G747" s="590"/>
      <c r="H747" s="590"/>
      <c r="I747" s="590"/>
      <c r="J747" s="590"/>
      <c r="K747" s="590"/>
      <c r="L747" s="590"/>
      <c r="M747" s="590"/>
      <c r="N747" s="590"/>
      <c r="O747" s="590"/>
      <c r="P747" s="590"/>
      <c r="Q747" s="590"/>
      <c r="R747" s="590"/>
      <c r="S747" s="590"/>
      <c r="T747" s="590"/>
      <c r="U747" s="590"/>
      <c r="V747" s="590"/>
      <c r="W747" s="590"/>
      <c r="X747" s="590"/>
      <c r="Y747" s="590"/>
      <c r="Z747" s="590"/>
    </row>
    <row r="748" spans="1:26" ht="15.75" customHeight="1">
      <c r="A748" s="590"/>
      <c r="B748" s="590"/>
      <c r="C748" s="590"/>
      <c r="D748" s="590"/>
      <c r="E748" s="590"/>
      <c r="F748" s="590"/>
      <c r="G748" s="590"/>
      <c r="H748" s="590"/>
      <c r="I748" s="590"/>
      <c r="J748" s="590"/>
      <c r="K748" s="590"/>
      <c r="L748" s="590"/>
      <c r="M748" s="590"/>
      <c r="N748" s="590"/>
      <c r="O748" s="590"/>
      <c r="P748" s="590"/>
      <c r="Q748" s="590"/>
      <c r="R748" s="590"/>
      <c r="S748" s="590"/>
      <c r="T748" s="590"/>
      <c r="U748" s="590"/>
      <c r="V748" s="590"/>
      <c r="W748" s="590"/>
      <c r="X748" s="590"/>
      <c r="Y748" s="590"/>
      <c r="Z748" s="590"/>
    </row>
    <row r="749" spans="1:26" ht="15.75" customHeight="1">
      <c r="A749" s="590"/>
      <c r="B749" s="590"/>
      <c r="C749" s="590"/>
      <c r="D749" s="590"/>
      <c r="E749" s="590"/>
      <c r="F749" s="590"/>
      <c r="G749" s="590"/>
      <c r="H749" s="590"/>
      <c r="I749" s="590"/>
      <c r="J749" s="590"/>
      <c r="K749" s="590"/>
      <c r="L749" s="590"/>
      <c r="M749" s="590"/>
      <c r="N749" s="590"/>
      <c r="O749" s="590"/>
      <c r="P749" s="590"/>
      <c r="Q749" s="590"/>
      <c r="R749" s="590"/>
      <c r="S749" s="590"/>
      <c r="T749" s="590"/>
      <c r="U749" s="590"/>
      <c r="V749" s="590"/>
      <c r="W749" s="590"/>
      <c r="X749" s="590"/>
      <c r="Y749" s="590"/>
      <c r="Z749" s="590"/>
    </row>
    <row r="750" spans="1:26" ht="15.75" customHeight="1">
      <c r="A750" s="590"/>
      <c r="B750" s="590"/>
      <c r="C750" s="590"/>
      <c r="D750" s="590"/>
      <c r="E750" s="590"/>
      <c r="F750" s="590"/>
      <c r="G750" s="590"/>
      <c r="H750" s="590"/>
      <c r="I750" s="590"/>
      <c r="J750" s="590"/>
      <c r="K750" s="590"/>
      <c r="L750" s="590"/>
      <c r="M750" s="590"/>
      <c r="N750" s="590"/>
      <c r="O750" s="590"/>
      <c r="P750" s="590"/>
      <c r="Q750" s="590"/>
      <c r="R750" s="590"/>
      <c r="S750" s="590"/>
      <c r="T750" s="590"/>
      <c r="U750" s="590"/>
      <c r="V750" s="590"/>
      <c r="W750" s="590"/>
      <c r="X750" s="590"/>
      <c r="Y750" s="590"/>
      <c r="Z750" s="590"/>
    </row>
    <row r="751" spans="1:26" ht="15.75" customHeight="1">
      <c r="A751" s="590"/>
      <c r="B751" s="590"/>
      <c r="C751" s="590"/>
      <c r="D751" s="590"/>
      <c r="E751" s="590"/>
      <c r="F751" s="590"/>
      <c r="G751" s="590"/>
      <c r="H751" s="590"/>
      <c r="I751" s="590"/>
      <c r="J751" s="590"/>
      <c r="K751" s="590"/>
      <c r="L751" s="590"/>
      <c r="M751" s="590"/>
      <c r="N751" s="590"/>
      <c r="O751" s="590"/>
      <c r="P751" s="590"/>
      <c r="Q751" s="590"/>
      <c r="R751" s="590"/>
      <c r="S751" s="590"/>
      <c r="T751" s="590"/>
      <c r="U751" s="590"/>
      <c r="V751" s="590"/>
      <c r="W751" s="590"/>
      <c r="X751" s="590"/>
      <c r="Y751" s="590"/>
      <c r="Z751" s="590"/>
    </row>
    <row r="752" spans="1:26" ht="15.75" customHeight="1">
      <c r="A752" s="590"/>
      <c r="B752" s="590"/>
      <c r="C752" s="590"/>
      <c r="D752" s="590"/>
      <c r="E752" s="590"/>
      <c r="F752" s="590"/>
      <c r="G752" s="590"/>
      <c r="H752" s="590"/>
      <c r="I752" s="590"/>
      <c r="J752" s="590"/>
      <c r="K752" s="590"/>
      <c r="L752" s="590"/>
      <c r="M752" s="590"/>
      <c r="N752" s="590"/>
      <c r="O752" s="590"/>
      <c r="P752" s="590"/>
      <c r="Q752" s="590"/>
      <c r="R752" s="590"/>
      <c r="S752" s="590"/>
      <c r="T752" s="590"/>
      <c r="U752" s="590"/>
      <c r="V752" s="590"/>
      <c r="W752" s="590"/>
      <c r="X752" s="590"/>
      <c r="Y752" s="590"/>
      <c r="Z752" s="590"/>
    </row>
    <row r="753" spans="1:26" ht="15.75" customHeight="1">
      <c r="A753" s="590"/>
      <c r="B753" s="590"/>
      <c r="C753" s="590"/>
      <c r="D753" s="590"/>
      <c r="E753" s="590"/>
      <c r="F753" s="590"/>
      <c r="G753" s="590"/>
      <c r="H753" s="590"/>
      <c r="I753" s="590"/>
      <c r="J753" s="590"/>
      <c r="K753" s="590"/>
      <c r="L753" s="590"/>
      <c r="M753" s="590"/>
      <c r="N753" s="590"/>
      <c r="O753" s="590"/>
      <c r="P753" s="590"/>
      <c r="Q753" s="590"/>
      <c r="R753" s="590"/>
      <c r="S753" s="590"/>
      <c r="T753" s="590"/>
      <c r="U753" s="590"/>
      <c r="V753" s="590"/>
      <c r="W753" s="590"/>
      <c r="X753" s="590"/>
      <c r="Y753" s="590"/>
      <c r="Z753" s="590"/>
    </row>
    <row r="754" spans="1:26" ht="15.75" customHeight="1">
      <c r="A754" s="590"/>
      <c r="B754" s="590"/>
      <c r="C754" s="590"/>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row>
    <row r="755" spans="1:26" ht="15.75" customHeight="1">
      <c r="A755" s="590"/>
      <c r="B755" s="590"/>
      <c r="C755" s="590"/>
      <c r="D755" s="590"/>
      <c r="E755" s="590"/>
      <c r="F755" s="590"/>
      <c r="G755" s="590"/>
      <c r="H755" s="590"/>
      <c r="I755" s="590"/>
      <c r="J755" s="590"/>
      <c r="K755" s="590"/>
      <c r="L755" s="590"/>
      <c r="M755" s="590"/>
      <c r="N755" s="590"/>
      <c r="O755" s="590"/>
      <c r="P755" s="590"/>
      <c r="Q755" s="590"/>
      <c r="R755" s="590"/>
      <c r="S755" s="590"/>
      <c r="T755" s="590"/>
      <c r="U755" s="590"/>
      <c r="V755" s="590"/>
      <c r="W755" s="590"/>
      <c r="X755" s="590"/>
      <c r="Y755" s="590"/>
      <c r="Z755" s="590"/>
    </row>
    <row r="756" spans="1:26" ht="15.75" customHeight="1">
      <c r="A756" s="590"/>
      <c r="B756" s="590"/>
      <c r="C756" s="590"/>
      <c r="D756" s="590"/>
      <c r="E756" s="590"/>
      <c r="F756" s="590"/>
      <c r="G756" s="590"/>
      <c r="H756" s="590"/>
      <c r="I756" s="590"/>
      <c r="J756" s="590"/>
      <c r="K756" s="590"/>
      <c r="L756" s="590"/>
      <c r="M756" s="590"/>
      <c r="N756" s="590"/>
      <c r="O756" s="590"/>
      <c r="P756" s="590"/>
      <c r="Q756" s="590"/>
      <c r="R756" s="590"/>
      <c r="S756" s="590"/>
      <c r="T756" s="590"/>
      <c r="U756" s="590"/>
      <c r="V756" s="590"/>
      <c r="W756" s="590"/>
      <c r="X756" s="590"/>
      <c r="Y756" s="590"/>
      <c r="Z756" s="590"/>
    </row>
    <row r="757" spans="1:26" ht="15.75" customHeight="1">
      <c r="A757" s="590"/>
      <c r="B757" s="590"/>
      <c r="C757" s="590"/>
      <c r="D757" s="590"/>
      <c r="E757" s="590"/>
      <c r="F757" s="590"/>
      <c r="G757" s="590"/>
      <c r="H757" s="590"/>
      <c r="I757" s="590"/>
      <c r="J757" s="590"/>
      <c r="K757" s="590"/>
      <c r="L757" s="590"/>
      <c r="M757" s="590"/>
      <c r="N757" s="590"/>
      <c r="O757" s="590"/>
      <c r="P757" s="590"/>
      <c r="Q757" s="590"/>
      <c r="R757" s="590"/>
      <c r="S757" s="590"/>
      <c r="T757" s="590"/>
      <c r="U757" s="590"/>
      <c r="V757" s="590"/>
      <c r="W757" s="590"/>
      <c r="X757" s="590"/>
      <c r="Y757" s="590"/>
      <c r="Z757" s="590"/>
    </row>
    <row r="758" spans="1:26" ht="15.75" customHeight="1">
      <c r="A758" s="590"/>
      <c r="B758" s="590"/>
      <c r="C758" s="590"/>
      <c r="D758" s="590"/>
      <c r="E758" s="590"/>
      <c r="F758" s="590"/>
      <c r="G758" s="590"/>
      <c r="H758" s="590"/>
      <c r="I758" s="590"/>
      <c r="J758" s="590"/>
      <c r="K758" s="590"/>
      <c r="L758" s="590"/>
      <c r="M758" s="590"/>
      <c r="N758" s="590"/>
      <c r="O758" s="590"/>
      <c r="P758" s="590"/>
      <c r="Q758" s="590"/>
      <c r="R758" s="590"/>
      <c r="S758" s="590"/>
      <c r="T758" s="590"/>
      <c r="U758" s="590"/>
      <c r="V758" s="590"/>
      <c r="W758" s="590"/>
      <c r="X758" s="590"/>
      <c r="Y758" s="590"/>
      <c r="Z758" s="590"/>
    </row>
    <row r="759" spans="1:26" ht="15.75" customHeight="1">
      <c r="A759" s="590"/>
      <c r="B759" s="590"/>
      <c r="C759" s="590"/>
      <c r="D759" s="590"/>
      <c r="E759" s="590"/>
      <c r="F759" s="590"/>
      <c r="G759" s="590"/>
      <c r="H759" s="590"/>
      <c r="I759" s="590"/>
      <c r="J759" s="590"/>
      <c r="K759" s="590"/>
      <c r="L759" s="590"/>
      <c r="M759" s="590"/>
      <c r="N759" s="590"/>
      <c r="O759" s="590"/>
      <c r="P759" s="590"/>
      <c r="Q759" s="590"/>
      <c r="R759" s="590"/>
      <c r="S759" s="590"/>
      <c r="T759" s="590"/>
      <c r="U759" s="590"/>
      <c r="V759" s="590"/>
      <c r="W759" s="590"/>
      <c r="X759" s="590"/>
      <c r="Y759" s="590"/>
      <c r="Z759" s="590"/>
    </row>
    <row r="760" spans="1:26" ht="15.75" customHeight="1">
      <c r="A760" s="590"/>
      <c r="B760" s="590"/>
      <c r="C760" s="590"/>
      <c r="D760" s="590"/>
      <c r="E760" s="590"/>
      <c r="F760" s="590"/>
      <c r="G760" s="590"/>
      <c r="H760" s="590"/>
      <c r="I760" s="590"/>
      <c r="J760" s="590"/>
      <c r="K760" s="590"/>
      <c r="L760" s="590"/>
      <c r="M760" s="590"/>
      <c r="N760" s="590"/>
      <c r="O760" s="590"/>
      <c r="P760" s="590"/>
      <c r="Q760" s="590"/>
      <c r="R760" s="590"/>
      <c r="S760" s="590"/>
      <c r="T760" s="590"/>
      <c r="U760" s="590"/>
      <c r="V760" s="590"/>
      <c r="W760" s="590"/>
      <c r="X760" s="590"/>
      <c r="Y760" s="590"/>
      <c r="Z760" s="590"/>
    </row>
    <row r="761" spans="1:26" ht="15.75" customHeight="1">
      <c r="A761" s="590"/>
      <c r="B761" s="590"/>
      <c r="C761" s="590"/>
      <c r="D761" s="590"/>
      <c r="E761" s="590"/>
      <c r="F761" s="590"/>
      <c r="G761" s="590"/>
      <c r="H761" s="590"/>
      <c r="I761" s="590"/>
      <c r="J761" s="590"/>
      <c r="K761" s="590"/>
      <c r="L761" s="590"/>
      <c r="M761" s="590"/>
      <c r="N761" s="590"/>
      <c r="O761" s="590"/>
      <c r="P761" s="590"/>
      <c r="Q761" s="590"/>
      <c r="R761" s="590"/>
      <c r="S761" s="590"/>
      <c r="T761" s="590"/>
      <c r="U761" s="590"/>
      <c r="V761" s="590"/>
      <c r="W761" s="590"/>
      <c r="X761" s="590"/>
      <c r="Y761" s="590"/>
      <c r="Z761" s="590"/>
    </row>
    <row r="762" spans="1:26" ht="15.75" customHeight="1">
      <c r="A762" s="590"/>
      <c r="B762" s="590"/>
      <c r="C762" s="590"/>
      <c r="D762" s="590"/>
      <c r="E762" s="590"/>
      <c r="F762" s="590"/>
      <c r="G762" s="590"/>
      <c r="H762" s="590"/>
      <c r="I762" s="590"/>
      <c r="J762" s="590"/>
      <c r="K762" s="590"/>
      <c r="L762" s="590"/>
      <c r="M762" s="590"/>
      <c r="N762" s="590"/>
      <c r="O762" s="590"/>
      <c r="P762" s="590"/>
      <c r="Q762" s="590"/>
      <c r="R762" s="590"/>
      <c r="S762" s="590"/>
      <c r="T762" s="590"/>
      <c r="U762" s="590"/>
      <c r="V762" s="590"/>
      <c r="W762" s="590"/>
      <c r="X762" s="590"/>
      <c r="Y762" s="590"/>
      <c r="Z762" s="590"/>
    </row>
    <row r="763" spans="1:26" ht="15.75" customHeight="1">
      <c r="A763" s="590"/>
      <c r="B763" s="590"/>
      <c r="C763" s="590"/>
      <c r="D763" s="590"/>
      <c r="E763" s="590"/>
      <c r="F763" s="590"/>
      <c r="G763" s="590"/>
      <c r="H763" s="590"/>
      <c r="I763" s="590"/>
      <c r="J763" s="590"/>
      <c r="K763" s="590"/>
      <c r="L763" s="590"/>
      <c r="M763" s="590"/>
      <c r="N763" s="590"/>
      <c r="O763" s="590"/>
      <c r="P763" s="590"/>
      <c r="Q763" s="590"/>
      <c r="R763" s="590"/>
      <c r="S763" s="590"/>
      <c r="T763" s="590"/>
      <c r="U763" s="590"/>
      <c r="V763" s="590"/>
      <c r="W763" s="590"/>
      <c r="X763" s="590"/>
      <c r="Y763" s="590"/>
      <c r="Z763" s="590"/>
    </row>
    <row r="764" spans="1:26" ht="15.75" customHeight="1">
      <c r="A764" s="590"/>
      <c r="B764" s="590"/>
      <c r="C764" s="590"/>
      <c r="D764" s="590"/>
      <c r="E764" s="590"/>
      <c r="F764" s="590"/>
      <c r="G764" s="590"/>
      <c r="H764" s="590"/>
      <c r="I764" s="590"/>
      <c r="J764" s="590"/>
      <c r="K764" s="590"/>
      <c r="L764" s="590"/>
      <c r="M764" s="590"/>
      <c r="N764" s="590"/>
      <c r="O764" s="590"/>
      <c r="P764" s="590"/>
      <c r="Q764" s="590"/>
      <c r="R764" s="590"/>
      <c r="S764" s="590"/>
      <c r="T764" s="590"/>
      <c r="U764" s="590"/>
      <c r="V764" s="590"/>
      <c r="W764" s="590"/>
      <c r="X764" s="590"/>
      <c r="Y764" s="590"/>
      <c r="Z764" s="590"/>
    </row>
    <row r="765" spans="1:26" ht="15.75" customHeight="1">
      <c r="A765" s="590"/>
      <c r="B765" s="590"/>
      <c r="C765" s="590"/>
      <c r="D765" s="590"/>
      <c r="E765" s="590"/>
      <c r="F765" s="590"/>
      <c r="G765" s="590"/>
      <c r="H765" s="590"/>
      <c r="I765" s="590"/>
      <c r="J765" s="590"/>
      <c r="K765" s="590"/>
      <c r="L765" s="590"/>
      <c r="M765" s="590"/>
      <c r="N765" s="590"/>
      <c r="O765" s="590"/>
      <c r="P765" s="590"/>
      <c r="Q765" s="590"/>
      <c r="R765" s="590"/>
      <c r="S765" s="590"/>
      <c r="T765" s="590"/>
      <c r="U765" s="590"/>
      <c r="V765" s="590"/>
      <c r="W765" s="590"/>
      <c r="X765" s="590"/>
      <c r="Y765" s="590"/>
      <c r="Z765" s="590"/>
    </row>
    <row r="766" spans="1:26" ht="15.75" customHeight="1">
      <c r="A766" s="590"/>
      <c r="B766" s="590"/>
      <c r="C766" s="590"/>
      <c r="D766" s="590"/>
      <c r="E766" s="590"/>
      <c r="F766" s="590"/>
      <c r="G766" s="590"/>
      <c r="H766" s="590"/>
      <c r="I766" s="590"/>
      <c r="J766" s="590"/>
      <c r="K766" s="590"/>
      <c r="L766" s="590"/>
      <c r="M766" s="590"/>
      <c r="N766" s="590"/>
      <c r="O766" s="590"/>
      <c r="P766" s="590"/>
      <c r="Q766" s="590"/>
      <c r="R766" s="590"/>
      <c r="S766" s="590"/>
      <c r="T766" s="590"/>
      <c r="U766" s="590"/>
      <c r="V766" s="590"/>
      <c r="W766" s="590"/>
      <c r="X766" s="590"/>
      <c r="Y766" s="590"/>
      <c r="Z766" s="590"/>
    </row>
    <row r="767" spans="1:26" ht="15.75" customHeight="1">
      <c r="A767" s="590"/>
      <c r="B767" s="590"/>
      <c r="C767" s="590"/>
      <c r="D767" s="590"/>
      <c r="E767" s="590"/>
      <c r="F767" s="590"/>
      <c r="G767" s="590"/>
      <c r="H767" s="590"/>
      <c r="I767" s="590"/>
      <c r="J767" s="590"/>
      <c r="K767" s="590"/>
      <c r="L767" s="590"/>
      <c r="M767" s="590"/>
      <c r="N767" s="590"/>
      <c r="O767" s="590"/>
      <c r="P767" s="590"/>
      <c r="Q767" s="590"/>
      <c r="R767" s="590"/>
      <c r="S767" s="590"/>
      <c r="T767" s="590"/>
      <c r="U767" s="590"/>
      <c r="V767" s="590"/>
      <c r="W767" s="590"/>
      <c r="X767" s="590"/>
      <c r="Y767" s="590"/>
      <c r="Z767" s="590"/>
    </row>
    <row r="768" spans="1:26" ht="15.75" customHeight="1">
      <c r="A768" s="590"/>
      <c r="B768" s="590"/>
      <c r="C768" s="590"/>
      <c r="D768" s="590"/>
      <c r="E768" s="590"/>
      <c r="F768" s="590"/>
      <c r="G768" s="590"/>
      <c r="H768" s="590"/>
      <c r="I768" s="590"/>
      <c r="J768" s="590"/>
      <c r="K768" s="590"/>
      <c r="L768" s="590"/>
      <c r="M768" s="590"/>
      <c r="N768" s="590"/>
      <c r="O768" s="590"/>
      <c r="P768" s="590"/>
      <c r="Q768" s="590"/>
      <c r="R768" s="590"/>
      <c r="S768" s="590"/>
      <c r="T768" s="590"/>
      <c r="U768" s="590"/>
      <c r="V768" s="590"/>
      <c r="W768" s="590"/>
      <c r="X768" s="590"/>
      <c r="Y768" s="590"/>
      <c r="Z768" s="590"/>
    </row>
    <row r="769" spans="1:26" ht="15.75" customHeight="1">
      <c r="A769" s="590"/>
      <c r="B769" s="590"/>
      <c r="C769" s="590"/>
      <c r="D769" s="590"/>
      <c r="E769" s="590"/>
      <c r="F769" s="590"/>
      <c r="G769" s="590"/>
      <c r="H769" s="590"/>
      <c r="I769" s="590"/>
      <c r="J769" s="590"/>
      <c r="K769" s="590"/>
      <c r="L769" s="590"/>
      <c r="M769" s="590"/>
      <c r="N769" s="590"/>
      <c r="O769" s="590"/>
      <c r="P769" s="590"/>
      <c r="Q769" s="590"/>
      <c r="R769" s="590"/>
      <c r="S769" s="590"/>
      <c r="T769" s="590"/>
      <c r="U769" s="590"/>
      <c r="V769" s="590"/>
      <c r="W769" s="590"/>
      <c r="X769" s="590"/>
      <c r="Y769" s="590"/>
      <c r="Z769" s="590"/>
    </row>
    <row r="770" spans="1:26" ht="15.75" customHeight="1">
      <c r="A770" s="590"/>
      <c r="B770" s="590"/>
      <c r="C770" s="590"/>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row>
    <row r="771" spans="1:26" ht="15.75" customHeight="1">
      <c r="A771" s="590"/>
      <c r="B771" s="590"/>
      <c r="C771" s="590"/>
      <c r="D771" s="590"/>
      <c r="E771" s="590"/>
      <c r="F771" s="590"/>
      <c r="G771" s="590"/>
      <c r="H771" s="590"/>
      <c r="I771" s="590"/>
      <c r="J771" s="590"/>
      <c r="K771" s="590"/>
      <c r="L771" s="590"/>
      <c r="M771" s="590"/>
      <c r="N771" s="590"/>
      <c r="O771" s="590"/>
      <c r="P771" s="590"/>
      <c r="Q771" s="590"/>
      <c r="R771" s="590"/>
      <c r="S771" s="590"/>
      <c r="T771" s="590"/>
      <c r="U771" s="590"/>
      <c r="V771" s="590"/>
      <c r="W771" s="590"/>
      <c r="X771" s="590"/>
      <c r="Y771" s="590"/>
      <c r="Z771" s="590"/>
    </row>
    <row r="772" spans="1:26" ht="15.75" customHeight="1">
      <c r="A772" s="590"/>
      <c r="B772" s="590"/>
      <c r="C772" s="590"/>
      <c r="D772" s="590"/>
      <c r="E772" s="590"/>
      <c r="F772" s="590"/>
      <c r="G772" s="590"/>
      <c r="H772" s="590"/>
      <c r="I772" s="590"/>
      <c r="J772" s="590"/>
      <c r="K772" s="590"/>
      <c r="L772" s="590"/>
      <c r="M772" s="590"/>
      <c r="N772" s="590"/>
      <c r="O772" s="590"/>
      <c r="P772" s="590"/>
      <c r="Q772" s="590"/>
      <c r="R772" s="590"/>
      <c r="S772" s="590"/>
      <c r="T772" s="590"/>
      <c r="U772" s="590"/>
      <c r="V772" s="590"/>
      <c r="W772" s="590"/>
      <c r="X772" s="590"/>
      <c r="Y772" s="590"/>
      <c r="Z772" s="590"/>
    </row>
    <row r="773" spans="1:26" ht="15.75" customHeight="1">
      <c r="A773" s="590"/>
      <c r="B773" s="590"/>
      <c r="C773" s="590"/>
      <c r="D773" s="590"/>
      <c r="E773" s="590"/>
      <c r="F773" s="590"/>
      <c r="G773" s="590"/>
      <c r="H773" s="590"/>
      <c r="I773" s="590"/>
      <c r="J773" s="590"/>
      <c r="K773" s="590"/>
      <c r="L773" s="590"/>
      <c r="M773" s="590"/>
      <c r="N773" s="590"/>
      <c r="O773" s="590"/>
      <c r="P773" s="590"/>
      <c r="Q773" s="590"/>
      <c r="R773" s="590"/>
      <c r="S773" s="590"/>
      <c r="T773" s="590"/>
      <c r="U773" s="590"/>
      <c r="V773" s="590"/>
      <c r="W773" s="590"/>
      <c r="X773" s="590"/>
      <c r="Y773" s="590"/>
      <c r="Z773" s="590"/>
    </row>
    <row r="774" spans="1:26" ht="15.75" customHeight="1">
      <c r="A774" s="590"/>
      <c r="B774" s="590"/>
      <c r="C774" s="590"/>
      <c r="D774" s="590"/>
      <c r="E774" s="590"/>
      <c r="F774" s="590"/>
      <c r="G774" s="590"/>
      <c r="H774" s="590"/>
      <c r="I774" s="590"/>
      <c r="J774" s="590"/>
      <c r="K774" s="590"/>
      <c r="L774" s="590"/>
      <c r="M774" s="590"/>
      <c r="N774" s="590"/>
      <c r="O774" s="590"/>
      <c r="P774" s="590"/>
      <c r="Q774" s="590"/>
      <c r="R774" s="590"/>
      <c r="S774" s="590"/>
      <c r="T774" s="590"/>
      <c r="U774" s="590"/>
      <c r="V774" s="590"/>
      <c r="W774" s="590"/>
      <c r="X774" s="590"/>
      <c r="Y774" s="590"/>
      <c r="Z774" s="590"/>
    </row>
    <row r="775" spans="1:26" ht="15.75" customHeight="1">
      <c r="A775" s="590"/>
      <c r="B775" s="590"/>
      <c r="C775" s="590"/>
      <c r="D775" s="590"/>
      <c r="E775" s="590"/>
      <c r="F775" s="590"/>
      <c r="G775" s="590"/>
      <c r="H775" s="590"/>
      <c r="I775" s="590"/>
      <c r="J775" s="590"/>
      <c r="K775" s="590"/>
      <c r="L775" s="590"/>
      <c r="M775" s="590"/>
      <c r="N775" s="590"/>
      <c r="O775" s="590"/>
      <c r="P775" s="590"/>
      <c r="Q775" s="590"/>
      <c r="R775" s="590"/>
      <c r="S775" s="590"/>
      <c r="T775" s="590"/>
      <c r="U775" s="590"/>
      <c r="V775" s="590"/>
      <c r="W775" s="590"/>
      <c r="X775" s="590"/>
      <c r="Y775" s="590"/>
      <c r="Z775" s="590"/>
    </row>
    <row r="776" spans="1:26" ht="15.75" customHeight="1">
      <c r="A776" s="590"/>
      <c r="B776" s="590"/>
      <c r="C776" s="590"/>
      <c r="D776" s="590"/>
      <c r="E776" s="590"/>
      <c r="F776" s="590"/>
      <c r="G776" s="590"/>
      <c r="H776" s="590"/>
      <c r="I776" s="590"/>
      <c r="J776" s="590"/>
      <c r="K776" s="590"/>
      <c r="L776" s="590"/>
      <c r="M776" s="590"/>
      <c r="N776" s="590"/>
      <c r="O776" s="590"/>
      <c r="P776" s="590"/>
      <c r="Q776" s="590"/>
      <c r="R776" s="590"/>
      <c r="S776" s="590"/>
      <c r="T776" s="590"/>
      <c r="U776" s="590"/>
      <c r="V776" s="590"/>
      <c r="W776" s="590"/>
      <c r="X776" s="590"/>
      <c r="Y776" s="590"/>
      <c r="Z776" s="590"/>
    </row>
    <row r="777" spans="1:26" ht="15.75" customHeight="1">
      <c r="A777" s="590"/>
      <c r="B777" s="590"/>
      <c r="C777" s="590"/>
      <c r="D777" s="590"/>
      <c r="E777" s="590"/>
      <c r="F777" s="590"/>
      <c r="G777" s="590"/>
      <c r="H777" s="590"/>
      <c r="I777" s="590"/>
      <c r="J777" s="590"/>
      <c r="K777" s="590"/>
      <c r="L777" s="590"/>
      <c r="M777" s="590"/>
      <c r="N777" s="590"/>
      <c r="O777" s="590"/>
      <c r="P777" s="590"/>
      <c r="Q777" s="590"/>
      <c r="R777" s="590"/>
      <c r="S777" s="590"/>
      <c r="T777" s="590"/>
      <c r="U777" s="590"/>
      <c r="V777" s="590"/>
      <c r="W777" s="590"/>
      <c r="X777" s="590"/>
      <c r="Y777" s="590"/>
      <c r="Z777" s="590"/>
    </row>
    <row r="778" spans="1:26" ht="15.75" customHeight="1">
      <c r="A778" s="590"/>
      <c r="B778" s="590"/>
      <c r="C778" s="590"/>
      <c r="D778" s="590"/>
      <c r="E778" s="590"/>
      <c r="F778" s="590"/>
      <c r="G778" s="590"/>
      <c r="H778" s="590"/>
      <c r="I778" s="590"/>
      <c r="J778" s="590"/>
      <c r="K778" s="590"/>
      <c r="L778" s="590"/>
      <c r="M778" s="590"/>
      <c r="N778" s="590"/>
      <c r="O778" s="590"/>
      <c r="P778" s="590"/>
      <c r="Q778" s="590"/>
      <c r="R778" s="590"/>
      <c r="S778" s="590"/>
      <c r="T778" s="590"/>
      <c r="U778" s="590"/>
      <c r="V778" s="590"/>
      <c r="W778" s="590"/>
      <c r="X778" s="590"/>
      <c r="Y778" s="590"/>
      <c r="Z778" s="590"/>
    </row>
    <row r="779" spans="1:26" ht="15.75" customHeight="1">
      <c r="A779" s="590"/>
      <c r="B779" s="590"/>
      <c r="C779" s="590"/>
      <c r="D779" s="590"/>
      <c r="E779" s="590"/>
      <c r="F779" s="590"/>
      <c r="G779" s="590"/>
      <c r="H779" s="590"/>
      <c r="I779" s="590"/>
      <c r="J779" s="590"/>
      <c r="K779" s="590"/>
      <c r="L779" s="590"/>
      <c r="M779" s="590"/>
      <c r="N779" s="590"/>
      <c r="O779" s="590"/>
      <c r="P779" s="590"/>
      <c r="Q779" s="590"/>
      <c r="R779" s="590"/>
      <c r="S779" s="590"/>
      <c r="T779" s="590"/>
      <c r="U779" s="590"/>
      <c r="V779" s="590"/>
      <c r="W779" s="590"/>
      <c r="X779" s="590"/>
      <c r="Y779" s="590"/>
      <c r="Z779" s="590"/>
    </row>
    <row r="780" spans="1:26" ht="15.75" customHeight="1">
      <c r="A780" s="590"/>
      <c r="B780" s="590"/>
      <c r="C780" s="590"/>
      <c r="D780" s="590"/>
      <c r="E780" s="590"/>
      <c r="F780" s="590"/>
      <c r="G780" s="590"/>
      <c r="H780" s="590"/>
      <c r="I780" s="590"/>
      <c r="J780" s="590"/>
      <c r="K780" s="590"/>
      <c r="L780" s="590"/>
      <c r="M780" s="590"/>
      <c r="N780" s="590"/>
      <c r="O780" s="590"/>
      <c r="P780" s="590"/>
      <c r="Q780" s="590"/>
      <c r="R780" s="590"/>
      <c r="S780" s="590"/>
      <c r="T780" s="590"/>
      <c r="U780" s="590"/>
      <c r="V780" s="590"/>
      <c r="W780" s="590"/>
      <c r="X780" s="590"/>
      <c r="Y780" s="590"/>
      <c r="Z780" s="590"/>
    </row>
    <row r="781" spans="1:26" ht="15.75" customHeight="1">
      <c r="A781" s="590"/>
      <c r="B781" s="590"/>
      <c r="C781" s="590"/>
      <c r="D781" s="590"/>
      <c r="E781" s="590"/>
      <c r="F781" s="590"/>
      <c r="G781" s="590"/>
      <c r="H781" s="590"/>
      <c r="I781" s="590"/>
      <c r="J781" s="590"/>
      <c r="K781" s="590"/>
      <c r="L781" s="590"/>
      <c r="M781" s="590"/>
      <c r="N781" s="590"/>
      <c r="O781" s="590"/>
      <c r="P781" s="590"/>
      <c r="Q781" s="590"/>
      <c r="R781" s="590"/>
      <c r="S781" s="590"/>
      <c r="T781" s="590"/>
      <c r="U781" s="590"/>
      <c r="V781" s="590"/>
      <c r="W781" s="590"/>
      <c r="X781" s="590"/>
      <c r="Y781" s="590"/>
      <c r="Z781" s="590"/>
    </row>
    <row r="782" spans="1:26" ht="15.75" customHeight="1">
      <c r="A782" s="590"/>
      <c r="B782" s="590"/>
      <c r="C782" s="590"/>
      <c r="D782" s="590"/>
      <c r="E782" s="590"/>
      <c r="F782" s="590"/>
      <c r="G782" s="590"/>
      <c r="H782" s="590"/>
      <c r="I782" s="590"/>
      <c r="J782" s="590"/>
      <c r="K782" s="590"/>
      <c r="L782" s="590"/>
      <c r="M782" s="590"/>
      <c r="N782" s="590"/>
      <c r="O782" s="590"/>
      <c r="P782" s="590"/>
      <c r="Q782" s="590"/>
      <c r="R782" s="590"/>
      <c r="S782" s="590"/>
      <c r="T782" s="590"/>
      <c r="U782" s="590"/>
      <c r="V782" s="590"/>
      <c r="W782" s="590"/>
      <c r="X782" s="590"/>
      <c r="Y782" s="590"/>
      <c r="Z782" s="590"/>
    </row>
    <row r="783" spans="1:26" ht="15.75" customHeight="1">
      <c r="A783" s="590"/>
      <c r="B783" s="590"/>
      <c r="C783" s="590"/>
      <c r="D783" s="590"/>
      <c r="E783" s="590"/>
      <c r="F783" s="590"/>
      <c r="G783" s="590"/>
      <c r="H783" s="590"/>
      <c r="I783" s="590"/>
      <c r="J783" s="590"/>
      <c r="K783" s="590"/>
      <c r="L783" s="590"/>
      <c r="M783" s="590"/>
      <c r="N783" s="590"/>
      <c r="O783" s="590"/>
      <c r="P783" s="590"/>
      <c r="Q783" s="590"/>
      <c r="R783" s="590"/>
      <c r="S783" s="590"/>
      <c r="T783" s="590"/>
      <c r="U783" s="590"/>
      <c r="V783" s="590"/>
      <c r="W783" s="590"/>
      <c r="X783" s="590"/>
      <c r="Y783" s="590"/>
      <c r="Z783" s="590"/>
    </row>
    <row r="784" spans="1:26" ht="15.75" customHeight="1">
      <c r="A784" s="590"/>
      <c r="B784" s="590"/>
      <c r="C784" s="590"/>
      <c r="D784" s="590"/>
      <c r="E784" s="590"/>
      <c r="F784" s="590"/>
      <c r="G784" s="590"/>
      <c r="H784" s="590"/>
      <c r="I784" s="590"/>
      <c r="J784" s="590"/>
      <c r="K784" s="590"/>
      <c r="L784" s="590"/>
      <c r="M784" s="590"/>
      <c r="N784" s="590"/>
      <c r="O784" s="590"/>
      <c r="P784" s="590"/>
      <c r="Q784" s="590"/>
      <c r="R784" s="590"/>
      <c r="S784" s="590"/>
      <c r="T784" s="590"/>
      <c r="U784" s="590"/>
      <c r="V784" s="590"/>
      <c r="W784" s="590"/>
      <c r="X784" s="590"/>
      <c r="Y784" s="590"/>
      <c r="Z784" s="590"/>
    </row>
    <row r="785" spans="1:26" ht="15.75" customHeight="1">
      <c r="A785" s="590"/>
      <c r="B785" s="590"/>
      <c r="C785" s="590"/>
      <c r="D785" s="590"/>
      <c r="E785" s="590"/>
      <c r="F785" s="590"/>
      <c r="G785" s="590"/>
      <c r="H785" s="590"/>
      <c r="I785" s="590"/>
      <c r="J785" s="590"/>
      <c r="K785" s="590"/>
      <c r="L785" s="590"/>
      <c r="M785" s="590"/>
      <c r="N785" s="590"/>
      <c r="O785" s="590"/>
      <c r="P785" s="590"/>
      <c r="Q785" s="590"/>
      <c r="R785" s="590"/>
      <c r="S785" s="590"/>
      <c r="T785" s="590"/>
      <c r="U785" s="590"/>
      <c r="V785" s="590"/>
      <c r="W785" s="590"/>
      <c r="X785" s="590"/>
      <c r="Y785" s="590"/>
      <c r="Z785" s="590"/>
    </row>
    <row r="786" spans="1:26" ht="15.75" customHeight="1">
      <c r="A786" s="590"/>
      <c r="B786" s="590"/>
      <c r="C786" s="590"/>
      <c r="D786" s="590"/>
      <c r="E786" s="590"/>
      <c r="F786" s="590"/>
      <c r="G786" s="590"/>
      <c r="H786" s="590"/>
      <c r="I786" s="590"/>
      <c r="J786" s="590"/>
      <c r="K786" s="590"/>
      <c r="L786" s="590"/>
      <c r="M786" s="590"/>
      <c r="N786" s="590"/>
      <c r="O786" s="590"/>
      <c r="P786" s="590"/>
      <c r="Q786" s="590"/>
      <c r="R786" s="590"/>
      <c r="S786" s="590"/>
      <c r="T786" s="590"/>
      <c r="U786" s="590"/>
      <c r="V786" s="590"/>
      <c r="W786" s="590"/>
      <c r="X786" s="590"/>
      <c r="Y786" s="590"/>
      <c r="Z786" s="590"/>
    </row>
    <row r="787" spans="1:26" ht="15.75" customHeight="1">
      <c r="A787" s="590"/>
      <c r="B787" s="590"/>
      <c r="C787" s="590"/>
      <c r="D787" s="590"/>
      <c r="E787" s="590"/>
      <c r="F787" s="590"/>
      <c r="G787" s="590"/>
      <c r="H787" s="590"/>
      <c r="I787" s="590"/>
      <c r="J787" s="590"/>
      <c r="K787" s="590"/>
      <c r="L787" s="590"/>
      <c r="M787" s="590"/>
      <c r="N787" s="590"/>
      <c r="O787" s="590"/>
      <c r="P787" s="590"/>
      <c r="Q787" s="590"/>
      <c r="R787" s="590"/>
      <c r="S787" s="590"/>
      <c r="T787" s="590"/>
      <c r="U787" s="590"/>
      <c r="V787" s="590"/>
      <c r="W787" s="590"/>
      <c r="X787" s="590"/>
      <c r="Y787" s="590"/>
      <c r="Z787" s="590"/>
    </row>
    <row r="788" spans="1:26" ht="15.75" customHeight="1">
      <c r="A788" s="590"/>
      <c r="B788" s="590"/>
      <c r="C788" s="590"/>
      <c r="D788" s="590"/>
      <c r="E788" s="590"/>
      <c r="F788" s="590"/>
      <c r="G788" s="590"/>
      <c r="H788" s="590"/>
      <c r="I788" s="590"/>
      <c r="J788" s="590"/>
      <c r="K788" s="590"/>
      <c r="L788" s="590"/>
      <c r="M788" s="590"/>
      <c r="N788" s="590"/>
      <c r="O788" s="590"/>
      <c r="P788" s="590"/>
      <c r="Q788" s="590"/>
      <c r="R788" s="590"/>
      <c r="S788" s="590"/>
      <c r="T788" s="590"/>
      <c r="U788" s="590"/>
      <c r="V788" s="590"/>
      <c r="W788" s="590"/>
      <c r="X788" s="590"/>
      <c r="Y788" s="590"/>
      <c r="Z788" s="590"/>
    </row>
    <row r="789" spans="1:26" ht="15.75" customHeight="1">
      <c r="A789" s="590"/>
      <c r="B789" s="590"/>
      <c r="C789" s="590"/>
      <c r="D789" s="590"/>
      <c r="E789" s="590"/>
      <c r="F789" s="590"/>
      <c r="G789" s="590"/>
      <c r="H789" s="590"/>
      <c r="I789" s="590"/>
      <c r="J789" s="590"/>
      <c r="K789" s="590"/>
      <c r="L789" s="590"/>
      <c r="M789" s="590"/>
      <c r="N789" s="590"/>
      <c r="O789" s="590"/>
      <c r="P789" s="590"/>
      <c r="Q789" s="590"/>
      <c r="R789" s="590"/>
      <c r="S789" s="590"/>
      <c r="T789" s="590"/>
      <c r="U789" s="590"/>
      <c r="V789" s="590"/>
      <c r="W789" s="590"/>
      <c r="X789" s="590"/>
      <c r="Y789" s="590"/>
      <c r="Z789" s="590"/>
    </row>
    <row r="790" spans="1:26" ht="15.75" customHeight="1">
      <c r="A790" s="590"/>
      <c r="B790" s="590"/>
      <c r="C790" s="590"/>
      <c r="D790" s="590"/>
      <c r="E790" s="590"/>
      <c r="F790" s="590"/>
      <c r="G790" s="590"/>
      <c r="H790" s="590"/>
      <c r="I790" s="590"/>
      <c r="J790" s="590"/>
      <c r="K790" s="590"/>
      <c r="L790" s="590"/>
      <c r="M790" s="590"/>
      <c r="N790" s="590"/>
      <c r="O790" s="590"/>
      <c r="P790" s="590"/>
      <c r="Q790" s="590"/>
      <c r="R790" s="590"/>
      <c r="S790" s="590"/>
      <c r="T790" s="590"/>
      <c r="U790" s="590"/>
      <c r="V790" s="590"/>
      <c r="W790" s="590"/>
      <c r="X790" s="590"/>
      <c r="Y790" s="590"/>
      <c r="Z790" s="590"/>
    </row>
    <row r="791" spans="1:26" ht="15.75" customHeight="1">
      <c r="A791" s="590"/>
      <c r="B791" s="590"/>
      <c r="C791" s="590"/>
      <c r="D791" s="590"/>
      <c r="E791" s="590"/>
      <c r="F791" s="590"/>
      <c r="G791" s="590"/>
      <c r="H791" s="590"/>
      <c r="I791" s="590"/>
      <c r="J791" s="590"/>
      <c r="K791" s="590"/>
      <c r="L791" s="590"/>
      <c r="M791" s="590"/>
      <c r="N791" s="590"/>
      <c r="O791" s="590"/>
      <c r="P791" s="590"/>
      <c r="Q791" s="590"/>
      <c r="R791" s="590"/>
      <c r="S791" s="590"/>
      <c r="T791" s="590"/>
      <c r="U791" s="590"/>
      <c r="V791" s="590"/>
      <c r="W791" s="590"/>
      <c r="X791" s="590"/>
      <c r="Y791" s="590"/>
      <c r="Z791" s="590"/>
    </row>
    <row r="792" spans="1:26" ht="15.75" customHeight="1">
      <c r="A792" s="590"/>
      <c r="B792" s="590"/>
      <c r="C792" s="590"/>
      <c r="D792" s="590"/>
      <c r="E792" s="590"/>
      <c r="F792" s="590"/>
      <c r="G792" s="590"/>
      <c r="H792" s="590"/>
      <c r="I792" s="590"/>
      <c r="J792" s="590"/>
      <c r="K792" s="590"/>
      <c r="L792" s="590"/>
      <c r="M792" s="590"/>
      <c r="N792" s="590"/>
      <c r="O792" s="590"/>
      <c r="P792" s="590"/>
      <c r="Q792" s="590"/>
      <c r="R792" s="590"/>
      <c r="S792" s="590"/>
      <c r="T792" s="590"/>
      <c r="U792" s="590"/>
      <c r="V792" s="590"/>
      <c r="W792" s="590"/>
      <c r="X792" s="590"/>
      <c r="Y792" s="590"/>
      <c r="Z792" s="590"/>
    </row>
    <row r="793" spans="1:26" ht="15.75" customHeight="1">
      <c r="A793" s="590"/>
      <c r="B793" s="590"/>
      <c r="C793" s="590"/>
      <c r="D793" s="590"/>
      <c r="E793" s="590"/>
      <c r="F793" s="590"/>
      <c r="G793" s="590"/>
      <c r="H793" s="590"/>
      <c r="I793" s="590"/>
      <c r="J793" s="590"/>
      <c r="K793" s="590"/>
      <c r="L793" s="590"/>
      <c r="M793" s="590"/>
      <c r="N793" s="590"/>
      <c r="O793" s="590"/>
      <c r="P793" s="590"/>
      <c r="Q793" s="590"/>
      <c r="R793" s="590"/>
      <c r="S793" s="590"/>
      <c r="T793" s="590"/>
      <c r="U793" s="590"/>
      <c r="V793" s="590"/>
      <c r="W793" s="590"/>
      <c r="X793" s="590"/>
      <c r="Y793" s="590"/>
      <c r="Z793" s="590"/>
    </row>
    <row r="794" spans="1:26" ht="15.75" customHeight="1">
      <c r="A794" s="590"/>
      <c r="B794" s="590"/>
      <c r="C794" s="590"/>
      <c r="D794" s="590"/>
      <c r="E794" s="590"/>
      <c r="F794" s="590"/>
      <c r="G794" s="590"/>
      <c r="H794" s="590"/>
      <c r="I794" s="590"/>
      <c r="J794" s="590"/>
      <c r="K794" s="590"/>
      <c r="L794" s="590"/>
      <c r="M794" s="590"/>
      <c r="N794" s="590"/>
      <c r="O794" s="590"/>
      <c r="P794" s="590"/>
      <c r="Q794" s="590"/>
      <c r="R794" s="590"/>
      <c r="S794" s="590"/>
      <c r="T794" s="590"/>
      <c r="U794" s="590"/>
      <c r="V794" s="590"/>
      <c r="W794" s="590"/>
      <c r="X794" s="590"/>
      <c r="Y794" s="590"/>
      <c r="Z794" s="590"/>
    </row>
    <row r="795" spans="1:26" ht="15.75" customHeight="1">
      <c r="A795" s="590"/>
      <c r="B795" s="590"/>
      <c r="C795" s="590"/>
      <c r="D795" s="590"/>
      <c r="E795" s="590"/>
      <c r="F795" s="590"/>
      <c r="G795" s="590"/>
      <c r="H795" s="590"/>
      <c r="I795" s="590"/>
      <c r="J795" s="590"/>
      <c r="K795" s="590"/>
      <c r="L795" s="590"/>
      <c r="M795" s="590"/>
      <c r="N795" s="590"/>
      <c r="O795" s="590"/>
      <c r="P795" s="590"/>
      <c r="Q795" s="590"/>
      <c r="R795" s="590"/>
      <c r="S795" s="590"/>
      <c r="T795" s="590"/>
      <c r="U795" s="590"/>
      <c r="V795" s="590"/>
      <c r="W795" s="590"/>
      <c r="X795" s="590"/>
      <c r="Y795" s="590"/>
      <c r="Z795" s="590"/>
    </row>
    <row r="796" spans="1:26" ht="15.75" customHeight="1">
      <c r="A796" s="590"/>
      <c r="B796" s="590"/>
      <c r="C796" s="590"/>
      <c r="D796" s="590"/>
      <c r="E796" s="590"/>
      <c r="F796" s="590"/>
      <c r="G796" s="590"/>
      <c r="H796" s="590"/>
      <c r="I796" s="590"/>
      <c r="J796" s="590"/>
      <c r="K796" s="590"/>
      <c r="L796" s="590"/>
      <c r="M796" s="590"/>
      <c r="N796" s="590"/>
      <c r="O796" s="590"/>
      <c r="P796" s="590"/>
      <c r="Q796" s="590"/>
      <c r="R796" s="590"/>
      <c r="S796" s="590"/>
      <c r="T796" s="590"/>
      <c r="U796" s="590"/>
      <c r="V796" s="590"/>
      <c r="W796" s="590"/>
      <c r="X796" s="590"/>
      <c r="Y796" s="590"/>
      <c r="Z796" s="590"/>
    </row>
    <row r="797" spans="1:26" ht="15.75" customHeight="1">
      <c r="A797" s="590"/>
      <c r="B797" s="590"/>
      <c r="C797" s="590"/>
      <c r="D797" s="590"/>
      <c r="E797" s="590"/>
      <c r="F797" s="590"/>
      <c r="G797" s="590"/>
      <c r="H797" s="590"/>
      <c r="I797" s="590"/>
      <c r="J797" s="590"/>
      <c r="K797" s="590"/>
      <c r="L797" s="590"/>
      <c r="M797" s="590"/>
      <c r="N797" s="590"/>
      <c r="O797" s="590"/>
      <c r="P797" s="590"/>
      <c r="Q797" s="590"/>
      <c r="R797" s="590"/>
      <c r="S797" s="590"/>
      <c r="T797" s="590"/>
      <c r="U797" s="590"/>
      <c r="V797" s="590"/>
      <c r="W797" s="590"/>
      <c r="X797" s="590"/>
      <c r="Y797" s="590"/>
      <c r="Z797" s="590"/>
    </row>
    <row r="798" spans="1:26" ht="15.75" customHeight="1">
      <c r="A798" s="590"/>
      <c r="B798" s="590"/>
      <c r="C798" s="590"/>
      <c r="D798" s="590"/>
      <c r="E798" s="590"/>
      <c r="F798" s="590"/>
      <c r="G798" s="590"/>
      <c r="H798" s="590"/>
      <c r="I798" s="590"/>
      <c r="J798" s="590"/>
      <c r="K798" s="590"/>
      <c r="L798" s="590"/>
      <c r="M798" s="590"/>
      <c r="N798" s="590"/>
      <c r="O798" s="590"/>
      <c r="P798" s="590"/>
      <c r="Q798" s="590"/>
      <c r="R798" s="590"/>
      <c r="S798" s="590"/>
      <c r="T798" s="590"/>
      <c r="U798" s="590"/>
      <c r="V798" s="590"/>
      <c r="W798" s="590"/>
      <c r="X798" s="590"/>
      <c r="Y798" s="590"/>
      <c r="Z798" s="590"/>
    </row>
    <row r="799" spans="1:26" ht="15.75" customHeight="1">
      <c r="A799" s="590"/>
      <c r="B799" s="590"/>
      <c r="C799" s="590"/>
      <c r="D799" s="590"/>
      <c r="E799" s="590"/>
      <c r="F799" s="590"/>
      <c r="G799" s="590"/>
      <c r="H799" s="590"/>
      <c r="I799" s="590"/>
      <c r="J799" s="590"/>
      <c r="K799" s="590"/>
      <c r="L799" s="590"/>
      <c r="M799" s="590"/>
      <c r="N799" s="590"/>
      <c r="O799" s="590"/>
      <c r="P799" s="590"/>
      <c r="Q799" s="590"/>
      <c r="R799" s="590"/>
      <c r="S799" s="590"/>
      <c r="T799" s="590"/>
      <c r="U799" s="590"/>
      <c r="V799" s="590"/>
      <c r="W799" s="590"/>
      <c r="X799" s="590"/>
      <c r="Y799" s="590"/>
      <c r="Z799" s="590"/>
    </row>
    <row r="800" spans="1:26" ht="15.75" customHeight="1">
      <c r="A800" s="590"/>
      <c r="B800" s="590"/>
      <c r="C800" s="590"/>
      <c r="D800" s="590"/>
      <c r="E800" s="590"/>
      <c r="F800" s="590"/>
      <c r="G800" s="590"/>
      <c r="H800" s="590"/>
      <c r="I800" s="590"/>
      <c r="J800" s="590"/>
      <c r="K800" s="590"/>
      <c r="L800" s="590"/>
      <c r="M800" s="590"/>
      <c r="N800" s="590"/>
      <c r="O800" s="590"/>
      <c r="P800" s="590"/>
      <c r="Q800" s="590"/>
      <c r="R800" s="590"/>
      <c r="S800" s="590"/>
      <c r="T800" s="590"/>
      <c r="U800" s="590"/>
      <c r="V800" s="590"/>
      <c r="W800" s="590"/>
      <c r="X800" s="590"/>
      <c r="Y800" s="590"/>
      <c r="Z800" s="590"/>
    </row>
    <row r="801" spans="1:26" ht="15.75" customHeight="1">
      <c r="A801" s="590"/>
      <c r="B801" s="590"/>
      <c r="C801" s="590"/>
      <c r="D801" s="590"/>
      <c r="E801" s="590"/>
      <c r="F801" s="590"/>
      <c r="G801" s="590"/>
      <c r="H801" s="590"/>
      <c r="I801" s="590"/>
      <c r="J801" s="590"/>
      <c r="K801" s="590"/>
      <c r="L801" s="590"/>
      <c r="M801" s="590"/>
      <c r="N801" s="590"/>
      <c r="O801" s="590"/>
      <c r="P801" s="590"/>
      <c r="Q801" s="590"/>
      <c r="R801" s="590"/>
      <c r="S801" s="590"/>
      <c r="T801" s="590"/>
      <c r="U801" s="590"/>
      <c r="V801" s="590"/>
      <c r="W801" s="590"/>
      <c r="X801" s="590"/>
      <c r="Y801" s="590"/>
      <c r="Z801" s="590"/>
    </row>
    <row r="802" spans="1:26" ht="15.75" customHeight="1">
      <c r="A802" s="590"/>
      <c r="B802" s="590"/>
      <c r="C802" s="590"/>
      <c r="D802" s="590"/>
      <c r="E802" s="590"/>
      <c r="F802" s="590"/>
      <c r="G802" s="590"/>
      <c r="H802" s="590"/>
      <c r="I802" s="590"/>
      <c r="J802" s="590"/>
      <c r="K802" s="590"/>
      <c r="L802" s="590"/>
      <c r="M802" s="590"/>
      <c r="N802" s="590"/>
      <c r="O802" s="590"/>
      <c r="P802" s="590"/>
      <c r="Q802" s="590"/>
      <c r="R802" s="590"/>
      <c r="S802" s="590"/>
      <c r="T802" s="590"/>
      <c r="U802" s="590"/>
      <c r="V802" s="590"/>
      <c r="W802" s="590"/>
      <c r="X802" s="590"/>
      <c r="Y802" s="590"/>
      <c r="Z802" s="590"/>
    </row>
    <row r="803" spans="1:26" ht="15.75" customHeight="1">
      <c r="A803" s="590"/>
      <c r="B803" s="590"/>
      <c r="C803" s="590"/>
      <c r="D803" s="590"/>
      <c r="E803" s="590"/>
      <c r="F803" s="590"/>
      <c r="G803" s="590"/>
      <c r="H803" s="590"/>
      <c r="I803" s="590"/>
      <c r="J803" s="590"/>
      <c r="K803" s="590"/>
      <c r="L803" s="590"/>
      <c r="M803" s="590"/>
      <c r="N803" s="590"/>
      <c r="O803" s="590"/>
      <c r="P803" s="590"/>
      <c r="Q803" s="590"/>
      <c r="R803" s="590"/>
      <c r="S803" s="590"/>
      <c r="T803" s="590"/>
      <c r="U803" s="590"/>
      <c r="V803" s="590"/>
      <c r="W803" s="590"/>
      <c r="X803" s="590"/>
      <c r="Y803" s="590"/>
      <c r="Z803" s="590"/>
    </row>
    <row r="804" spans="1:26" ht="15.75" customHeight="1">
      <c r="A804" s="590"/>
      <c r="B804" s="590"/>
      <c r="C804" s="590"/>
      <c r="D804" s="590"/>
      <c r="E804" s="590"/>
      <c r="F804" s="590"/>
      <c r="G804" s="590"/>
      <c r="H804" s="590"/>
      <c r="I804" s="590"/>
      <c r="J804" s="590"/>
      <c r="K804" s="590"/>
      <c r="L804" s="590"/>
      <c r="M804" s="590"/>
      <c r="N804" s="590"/>
      <c r="O804" s="590"/>
      <c r="P804" s="590"/>
      <c r="Q804" s="590"/>
      <c r="R804" s="590"/>
      <c r="S804" s="590"/>
      <c r="T804" s="590"/>
      <c r="U804" s="590"/>
      <c r="V804" s="590"/>
      <c r="W804" s="590"/>
      <c r="X804" s="590"/>
      <c r="Y804" s="590"/>
      <c r="Z804" s="590"/>
    </row>
    <row r="805" spans="1:26" ht="15.75" customHeight="1">
      <c r="A805" s="590"/>
      <c r="B805" s="590"/>
      <c r="C805" s="590"/>
      <c r="D805" s="590"/>
      <c r="E805" s="590"/>
      <c r="F805" s="590"/>
      <c r="G805" s="590"/>
      <c r="H805" s="590"/>
      <c r="I805" s="590"/>
      <c r="J805" s="590"/>
      <c r="K805" s="590"/>
      <c r="L805" s="590"/>
      <c r="M805" s="590"/>
      <c r="N805" s="590"/>
      <c r="O805" s="590"/>
      <c r="P805" s="590"/>
      <c r="Q805" s="590"/>
      <c r="R805" s="590"/>
      <c r="S805" s="590"/>
      <c r="T805" s="590"/>
      <c r="U805" s="590"/>
      <c r="V805" s="590"/>
      <c r="W805" s="590"/>
      <c r="X805" s="590"/>
      <c r="Y805" s="590"/>
      <c r="Z805" s="590"/>
    </row>
    <row r="806" spans="1:26" ht="15.75" customHeight="1">
      <c r="A806" s="590"/>
      <c r="B806" s="590"/>
      <c r="C806" s="590"/>
      <c r="D806" s="590"/>
      <c r="E806" s="590"/>
      <c r="F806" s="590"/>
      <c r="G806" s="590"/>
      <c r="H806" s="590"/>
      <c r="I806" s="590"/>
      <c r="J806" s="590"/>
      <c r="K806" s="590"/>
      <c r="L806" s="590"/>
      <c r="M806" s="590"/>
      <c r="N806" s="590"/>
      <c r="O806" s="590"/>
      <c r="P806" s="590"/>
      <c r="Q806" s="590"/>
      <c r="R806" s="590"/>
      <c r="S806" s="590"/>
      <c r="T806" s="590"/>
      <c r="U806" s="590"/>
      <c r="V806" s="590"/>
      <c r="W806" s="590"/>
      <c r="X806" s="590"/>
      <c r="Y806" s="590"/>
      <c r="Z806" s="590"/>
    </row>
    <row r="807" spans="1:26" ht="15.75" customHeight="1">
      <c r="A807" s="590"/>
      <c r="B807" s="590"/>
      <c r="C807" s="590"/>
      <c r="D807" s="590"/>
      <c r="E807" s="590"/>
      <c r="F807" s="590"/>
      <c r="G807" s="590"/>
      <c r="H807" s="590"/>
      <c r="I807" s="590"/>
      <c r="J807" s="590"/>
      <c r="K807" s="590"/>
      <c r="L807" s="590"/>
      <c r="M807" s="590"/>
      <c r="N807" s="590"/>
      <c r="O807" s="590"/>
      <c r="P807" s="590"/>
      <c r="Q807" s="590"/>
      <c r="R807" s="590"/>
      <c r="S807" s="590"/>
      <c r="T807" s="590"/>
      <c r="U807" s="590"/>
      <c r="V807" s="590"/>
      <c r="W807" s="590"/>
      <c r="X807" s="590"/>
      <c r="Y807" s="590"/>
      <c r="Z807" s="590"/>
    </row>
    <row r="808" spans="1:26" ht="15.75" customHeight="1">
      <c r="A808" s="590"/>
      <c r="B808" s="590"/>
      <c r="C808" s="590"/>
      <c r="D808" s="590"/>
      <c r="E808" s="590"/>
      <c r="F808" s="590"/>
      <c r="G808" s="590"/>
      <c r="H808" s="590"/>
      <c r="I808" s="590"/>
      <c r="J808" s="590"/>
      <c r="K808" s="590"/>
      <c r="L808" s="590"/>
      <c r="M808" s="590"/>
      <c r="N808" s="590"/>
      <c r="O808" s="590"/>
      <c r="P808" s="590"/>
      <c r="Q808" s="590"/>
      <c r="R808" s="590"/>
      <c r="S808" s="590"/>
      <c r="T808" s="590"/>
      <c r="U808" s="590"/>
      <c r="V808" s="590"/>
      <c r="W808" s="590"/>
      <c r="X808" s="590"/>
      <c r="Y808" s="590"/>
      <c r="Z808" s="590"/>
    </row>
    <row r="809" spans="1:26" ht="15.75" customHeight="1">
      <c r="A809" s="590"/>
      <c r="B809" s="590"/>
      <c r="C809" s="590"/>
      <c r="D809" s="590"/>
      <c r="E809" s="590"/>
      <c r="F809" s="590"/>
      <c r="G809" s="590"/>
      <c r="H809" s="590"/>
      <c r="I809" s="590"/>
      <c r="J809" s="590"/>
      <c r="K809" s="590"/>
      <c r="L809" s="590"/>
      <c r="M809" s="590"/>
      <c r="N809" s="590"/>
      <c r="O809" s="590"/>
      <c r="P809" s="590"/>
      <c r="Q809" s="590"/>
      <c r="R809" s="590"/>
      <c r="S809" s="590"/>
      <c r="T809" s="590"/>
      <c r="U809" s="590"/>
      <c r="V809" s="590"/>
      <c r="W809" s="590"/>
      <c r="X809" s="590"/>
      <c r="Y809" s="590"/>
      <c r="Z809" s="590"/>
    </row>
    <row r="810" spans="1:26" ht="15.75" customHeight="1">
      <c r="A810" s="590"/>
      <c r="B810" s="590"/>
      <c r="C810" s="590"/>
      <c r="D810" s="590"/>
      <c r="E810" s="590"/>
      <c r="F810" s="590"/>
      <c r="G810" s="590"/>
      <c r="H810" s="590"/>
      <c r="I810" s="590"/>
      <c r="J810" s="590"/>
      <c r="K810" s="590"/>
      <c r="L810" s="590"/>
      <c r="M810" s="590"/>
      <c r="N810" s="590"/>
      <c r="O810" s="590"/>
      <c r="P810" s="590"/>
      <c r="Q810" s="590"/>
      <c r="R810" s="590"/>
      <c r="S810" s="590"/>
      <c r="T810" s="590"/>
      <c r="U810" s="590"/>
      <c r="V810" s="590"/>
      <c r="W810" s="590"/>
      <c r="X810" s="590"/>
      <c r="Y810" s="590"/>
      <c r="Z810" s="590"/>
    </row>
    <row r="811" spans="1:26" ht="15.75" customHeight="1">
      <c r="A811" s="590"/>
      <c r="B811" s="590"/>
      <c r="C811" s="590"/>
      <c r="D811" s="590"/>
      <c r="E811" s="590"/>
      <c r="F811" s="590"/>
      <c r="G811" s="590"/>
      <c r="H811" s="590"/>
      <c r="I811" s="590"/>
      <c r="J811" s="590"/>
      <c r="K811" s="590"/>
      <c r="L811" s="590"/>
      <c r="M811" s="590"/>
      <c r="N811" s="590"/>
      <c r="O811" s="590"/>
      <c r="P811" s="590"/>
      <c r="Q811" s="590"/>
      <c r="R811" s="590"/>
      <c r="S811" s="590"/>
      <c r="T811" s="590"/>
      <c r="U811" s="590"/>
      <c r="V811" s="590"/>
      <c r="W811" s="590"/>
      <c r="X811" s="590"/>
      <c r="Y811" s="590"/>
      <c r="Z811" s="590"/>
    </row>
    <row r="812" spans="1:26" ht="15.75" customHeight="1">
      <c r="A812" s="590"/>
      <c r="B812" s="590"/>
      <c r="C812" s="590"/>
      <c r="D812" s="590"/>
      <c r="E812" s="590"/>
      <c r="F812" s="590"/>
      <c r="G812" s="590"/>
      <c r="H812" s="590"/>
      <c r="I812" s="590"/>
      <c r="J812" s="590"/>
      <c r="K812" s="590"/>
      <c r="L812" s="590"/>
      <c r="M812" s="590"/>
      <c r="N812" s="590"/>
      <c r="O812" s="590"/>
      <c r="P812" s="590"/>
      <c r="Q812" s="590"/>
      <c r="R812" s="590"/>
      <c r="S812" s="590"/>
      <c r="T812" s="590"/>
      <c r="U812" s="590"/>
      <c r="V812" s="590"/>
      <c r="W812" s="590"/>
      <c r="X812" s="590"/>
      <c r="Y812" s="590"/>
      <c r="Z812" s="590"/>
    </row>
    <row r="813" spans="1:26" ht="15.75" customHeight="1">
      <c r="A813" s="590"/>
      <c r="B813" s="590"/>
      <c r="C813" s="590"/>
      <c r="D813" s="590"/>
      <c r="E813" s="590"/>
      <c r="F813" s="590"/>
      <c r="G813" s="590"/>
      <c r="H813" s="590"/>
      <c r="I813" s="590"/>
      <c r="J813" s="590"/>
      <c r="K813" s="590"/>
      <c r="L813" s="590"/>
      <c r="M813" s="590"/>
      <c r="N813" s="590"/>
      <c r="O813" s="590"/>
      <c r="P813" s="590"/>
      <c r="Q813" s="590"/>
      <c r="R813" s="590"/>
      <c r="S813" s="590"/>
      <c r="T813" s="590"/>
      <c r="U813" s="590"/>
      <c r="V813" s="590"/>
      <c r="W813" s="590"/>
      <c r="X813" s="590"/>
      <c r="Y813" s="590"/>
      <c r="Z813" s="590"/>
    </row>
    <row r="814" spans="1:26" ht="15.75" customHeight="1">
      <c r="A814" s="590"/>
      <c r="B814" s="590"/>
      <c r="C814" s="590"/>
      <c r="D814" s="590"/>
      <c r="E814" s="590"/>
      <c r="F814" s="590"/>
      <c r="G814" s="590"/>
      <c r="H814" s="590"/>
      <c r="I814" s="590"/>
      <c r="J814" s="590"/>
      <c r="K814" s="590"/>
      <c r="L814" s="590"/>
      <c r="M814" s="590"/>
      <c r="N814" s="590"/>
      <c r="O814" s="590"/>
      <c r="P814" s="590"/>
      <c r="Q814" s="590"/>
      <c r="R814" s="590"/>
      <c r="S814" s="590"/>
      <c r="T814" s="590"/>
      <c r="U814" s="590"/>
      <c r="V814" s="590"/>
      <c r="W814" s="590"/>
      <c r="X814" s="590"/>
      <c r="Y814" s="590"/>
      <c r="Z814" s="590"/>
    </row>
    <row r="815" spans="1:26" ht="15.75" customHeight="1">
      <c r="A815" s="590"/>
      <c r="B815" s="590"/>
      <c r="C815" s="590"/>
      <c r="D815" s="590"/>
      <c r="E815" s="590"/>
      <c r="F815" s="590"/>
      <c r="G815" s="590"/>
      <c r="H815" s="590"/>
      <c r="I815" s="590"/>
      <c r="J815" s="590"/>
      <c r="K815" s="590"/>
      <c r="L815" s="590"/>
      <c r="M815" s="590"/>
      <c r="N815" s="590"/>
      <c r="O815" s="590"/>
      <c r="P815" s="590"/>
      <c r="Q815" s="590"/>
      <c r="R815" s="590"/>
      <c r="S815" s="590"/>
      <c r="T815" s="590"/>
      <c r="U815" s="590"/>
      <c r="V815" s="590"/>
      <c r="W815" s="590"/>
      <c r="X815" s="590"/>
      <c r="Y815" s="590"/>
      <c r="Z815" s="590"/>
    </row>
    <row r="816" spans="1:26" ht="15.75" customHeight="1">
      <c r="A816" s="590"/>
      <c r="B816" s="590"/>
      <c r="C816" s="590"/>
      <c r="D816" s="590"/>
      <c r="E816" s="590"/>
      <c r="F816" s="590"/>
      <c r="G816" s="590"/>
      <c r="H816" s="590"/>
      <c r="I816" s="590"/>
      <c r="J816" s="590"/>
      <c r="K816" s="590"/>
      <c r="L816" s="590"/>
      <c r="M816" s="590"/>
      <c r="N816" s="590"/>
      <c r="O816" s="590"/>
      <c r="P816" s="590"/>
      <c r="Q816" s="590"/>
      <c r="R816" s="590"/>
      <c r="S816" s="590"/>
      <c r="T816" s="590"/>
      <c r="U816" s="590"/>
      <c r="V816" s="590"/>
      <c r="W816" s="590"/>
      <c r="X816" s="590"/>
      <c r="Y816" s="590"/>
      <c r="Z816" s="590"/>
    </row>
    <row r="817" spans="1:26" ht="15.75" customHeight="1">
      <c r="A817" s="590"/>
      <c r="B817" s="590"/>
      <c r="C817" s="590"/>
      <c r="D817" s="590"/>
      <c r="E817" s="590"/>
      <c r="F817" s="590"/>
      <c r="G817" s="590"/>
      <c r="H817" s="590"/>
      <c r="I817" s="590"/>
      <c r="J817" s="590"/>
      <c r="K817" s="590"/>
      <c r="L817" s="590"/>
      <c r="M817" s="590"/>
      <c r="N817" s="590"/>
      <c r="O817" s="590"/>
      <c r="P817" s="590"/>
      <c r="Q817" s="590"/>
      <c r="R817" s="590"/>
      <c r="S817" s="590"/>
      <c r="T817" s="590"/>
      <c r="U817" s="590"/>
      <c r="V817" s="590"/>
      <c r="W817" s="590"/>
      <c r="X817" s="590"/>
      <c r="Y817" s="590"/>
      <c r="Z817" s="590"/>
    </row>
    <row r="818" spans="1:26" ht="15.75" customHeight="1">
      <c r="A818" s="590"/>
      <c r="B818" s="590"/>
      <c r="C818" s="590"/>
      <c r="D818" s="590"/>
      <c r="E818" s="590"/>
      <c r="F818" s="590"/>
      <c r="G818" s="590"/>
      <c r="H818" s="590"/>
      <c r="I818" s="590"/>
      <c r="J818" s="590"/>
      <c r="K818" s="590"/>
      <c r="L818" s="590"/>
      <c r="M818" s="590"/>
      <c r="N818" s="590"/>
      <c r="O818" s="590"/>
      <c r="P818" s="590"/>
      <c r="Q818" s="590"/>
      <c r="R818" s="590"/>
      <c r="S818" s="590"/>
      <c r="T818" s="590"/>
      <c r="U818" s="590"/>
      <c r="V818" s="590"/>
      <c r="W818" s="590"/>
      <c r="X818" s="590"/>
      <c r="Y818" s="590"/>
      <c r="Z818" s="590"/>
    </row>
    <row r="819" spans="1:26" ht="15.75" customHeight="1">
      <c r="A819" s="590"/>
      <c r="B819" s="590"/>
      <c r="C819" s="590"/>
      <c r="D819" s="590"/>
      <c r="E819" s="590"/>
      <c r="F819" s="590"/>
      <c r="G819" s="590"/>
      <c r="H819" s="590"/>
      <c r="I819" s="590"/>
      <c r="J819" s="590"/>
      <c r="K819" s="590"/>
      <c r="L819" s="590"/>
      <c r="M819" s="590"/>
      <c r="N819" s="590"/>
      <c r="O819" s="590"/>
      <c r="P819" s="590"/>
      <c r="Q819" s="590"/>
      <c r="R819" s="590"/>
      <c r="S819" s="590"/>
      <c r="T819" s="590"/>
      <c r="U819" s="590"/>
      <c r="V819" s="590"/>
      <c r="W819" s="590"/>
      <c r="X819" s="590"/>
      <c r="Y819" s="590"/>
      <c r="Z819" s="590"/>
    </row>
    <row r="820" spans="1:26" ht="15.75" customHeight="1">
      <c r="A820" s="590"/>
      <c r="B820" s="590"/>
      <c r="C820" s="590"/>
      <c r="D820" s="590"/>
      <c r="E820" s="590"/>
      <c r="F820" s="590"/>
      <c r="G820" s="590"/>
      <c r="H820" s="590"/>
      <c r="I820" s="590"/>
      <c r="J820" s="590"/>
      <c r="K820" s="590"/>
      <c r="L820" s="590"/>
      <c r="M820" s="590"/>
      <c r="N820" s="590"/>
      <c r="O820" s="590"/>
      <c r="P820" s="590"/>
      <c r="Q820" s="590"/>
      <c r="R820" s="590"/>
      <c r="S820" s="590"/>
      <c r="T820" s="590"/>
      <c r="U820" s="590"/>
      <c r="V820" s="590"/>
      <c r="W820" s="590"/>
      <c r="X820" s="590"/>
      <c r="Y820" s="590"/>
      <c r="Z820" s="590"/>
    </row>
    <row r="821" spans="1:26" ht="15.75" customHeight="1">
      <c r="A821" s="590"/>
      <c r="B821" s="590"/>
      <c r="C821" s="590"/>
      <c r="D821" s="590"/>
      <c r="E821" s="590"/>
      <c r="F821" s="590"/>
      <c r="G821" s="590"/>
      <c r="H821" s="590"/>
      <c r="I821" s="590"/>
      <c r="J821" s="590"/>
      <c r="K821" s="590"/>
      <c r="L821" s="590"/>
      <c r="M821" s="590"/>
      <c r="N821" s="590"/>
      <c r="O821" s="590"/>
      <c r="P821" s="590"/>
      <c r="Q821" s="590"/>
      <c r="R821" s="590"/>
      <c r="S821" s="590"/>
      <c r="T821" s="590"/>
      <c r="U821" s="590"/>
      <c r="V821" s="590"/>
      <c r="W821" s="590"/>
      <c r="X821" s="590"/>
      <c r="Y821" s="590"/>
      <c r="Z821" s="590"/>
    </row>
    <row r="822" spans="1:26" ht="15.75" customHeight="1">
      <c r="A822" s="590"/>
      <c r="B822" s="590"/>
      <c r="C822" s="590"/>
      <c r="D822" s="590"/>
      <c r="E822" s="590"/>
      <c r="F822" s="590"/>
      <c r="G822" s="590"/>
      <c r="H822" s="590"/>
      <c r="I822" s="590"/>
      <c r="J822" s="590"/>
      <c r="K822" s="590"/>
      <c r="L822" s="590"/>
      <c r="M822" s="590"/>
      <c r="N822" s="590"/>
      <c r="O822" s="590"/>
      <c r="P822" s="590"/>
      <c r="Q822" s="590"/>
      <c r="R822" s="590"/>
      <c r="S822" s="590"/>
      <c r="T822" s="590"/>
      <c r="U822" s="590"/>
      <c r="V822" s="590"/>
      <c r="W822" s="590"/>
      <c r="X822" s="590"/>
      <c r="Y822" s="590"/>
      <c r="Z822" s="590"/>
    </row>
    <row r="823" spans="1:26" ht="15.75" customHeight="1">
      <c r="A823" s="590"/>
      <c r="B823" s="590"/>
      <c r="C823" s="590"/>
      <c r="D823" s="590"/>
      <c r="E823" s="590"/>
      <c r="F823" s="590"/>
      <c r="G823" s="590"/>
      <c r="H823" s="590"/>
      <c r="I823" s="590"/>
      <c r="J823" s="590"/>
      <c r="K823" s="590"/>
      <c r="L823" s="590"/>
      <c r="M823" s="590"/>
      <c r="N823" s="590"/>
      <c r="O823" s="590"/>
      <c r="P823" s="590"/>
      <c r="Q823" s="590"/>
      <c r="R823" s="590"/>
      <c r="S823" s="590"/>
      <c r="T823" s="590"/>
      <c r="U823" s="590"/>
      <c r="V823" s="590"/>
      <c r="W823" s="590"/>
      <c r="X823" s="590"/>
      <c r="Y823" s="590"/>
      <c r="Z823" s="590"/>
    </row>
    <row r="824" spans="1:26" ht="15.75" customHeight="1">
      <c r="A824" s="590"/>
      <c r="B824" s="590"/>
      <c r="C824" s="590"/>
      <c r="D824" s="590"/>
      <c r="E824" s="590"/>
      <c r="F824" s="590"/>
      <c r="G824" s="590"/>
      <c r="H824" s="590"/>
      <c r="I824" s="590"/>
      <c r="J824" s="590"/>
      <c r="K824" s="590"/>
      <c r="L824" s="590"/>
      <c r="M824" s="590"/>
      <c r="N824" s="590"/>
      <c r="O824" s="590"/>
      <c r="P824" s="590"/>
      <c r="Q824" s="590"/>
      <c r="R824" s="590"/>
      <c r="S824" s="590"/>
      <c r="T824" s="590"/>
      <c r="U824" s="590"/>
      <c r="V824" s="590"/>
      <c r="W824" s="590"/>
      <c r="X824" s="590"/>
      <c r="Y824" s="590"/>
      <c r="Z824" s="590"/>
    </row>
    <row r="825" spans="1:26" ht="15.75" customHeight="1">
      <c r="A825" s="590"/>
      <c r="B825" s="590"/>
      <c r="C825" s="590"/>
      <c r="D825" s="590"/>
      <c r="E825" s="590"/>
      <c r="F825" s="590"/>
      <c r="G825" s="590"/>
      <c r="H825" s="590"/>
      <c r="I825" s="590"/>
      <c r="J825" s="590"/>
      <c r="K825" s="590"/>
      <c r="L825" s="590"/>
      <c r="M825" s="590"/>
      <c r="N825" s="590"/>
      <c r="O825" s="590"/>
      <c r="P825" s="590"/>
      <c r="Q825" s="590"/>
      <c r="R825" s="590"/>
      <c r="S825" s="590"/>
      <c r="T825" s="590"/>
      <c r="U825" s="590"/>
      <c r="V825" s="590"/>
      <c r="W825" s="590"/>
      <c r="X825" s="590"/>
      <c r="Y825" s="590"/>
      <c r="Z825" s="590"/>
    </row>
    <row r="826" spans="1:26" ht="15.75" customHeight="1">
      <c r="A826" s="590"/>
      <c r="B826" s="590"/>
      <c r="C826" s="590"/>
      <c r="D826" s="590"/>
      <c r="E826" s="590"/>
      <c r="F826" s="590"/>
      <c r="G826" s="590"/>
      <c r="H826" s="590"/>
      <c r="I826" s="590"/>
      <c r="J826" s="590"/>
      <c r="K826" s="590"/>
      <c r="L826" s="590"/>
      <c r="M826" s="590"/>
      <c r="N826" s="590"/>
      <c r="O826" s="590"/>
      <c r="P826" s="590"/>
      <c r="Q826" s="590"/>
      <c r="R826" s="590"/>
      <c r="S826" s="590"/>
      <c r="T826" s="590"/>
      <c r="U826" s="590"/>
      <c r="V826" s="590"/>
      <c r="W826" s="590"/>
      <c r="X826" s="590"/>
      <c r="Y826" s="590"/>
      <c r="Z826" s="590"/>
    </row>
    <row r="827" spans="1:26" ht="15.75" customHeight="1">
      <c r="A827" s="590"/>
      <c r="B827" s="590"/>
      <c r="C827" s="590"/>
      <c r="D827" s="590"/>
      <c r="E827" s="590"/>
      <c r="F827" s="590"/>
      <c r="G827" s="590"/>
      <c r="H827" s="590"/>
      <c r="I827" s="590"/>
      <c r="J827" s="590"/>
      <c r="K827" s="590"/>
      <c r="L827" s="590"/>
      <c r="M827" s="590"/>
      <c r="N827" s="590"/>
      <c r="O827" s="590"/>
      <c r="P827" s="590"/>
      <c r="Q827" s="590"/>
      <c r="R827" s="590"/>
      <c r="S827" s="590"/>
      <c r="T827" s="590"/>
      <c r="U827" s="590"/>
      <c r="V827" s="590"/>
      <c r="W827" s="590"/>
      <c r="X827" s="590"/>
      <c r="Y827" s="590"/>
      <c r="Z827" s="590"/>
    </row>
    <row r="828" spans="1:26" ht="15.75" customHeight="1">
      <c r="A828" s="590"/>
      <c r="B828" s="590"/>
      <c r="C828" s="590"/>
      <c r="D828" s="590"/>
      <c r="E828" s="590"/>
      <c r="F828" s="590"/>
      <c r="G828" s="590"/>
      <c r="H828" s="590"/>
      <c r="I828" s="590"/>
      <c r="J828" s="590"/>
      <c r="K828" s="590"/>
      <c r="L828" s="590"/>
      <c r="M828" s="590"/>
      <c r="N828" s="590"/>
      <c r="O828" s="590"/>
      <c r="P828" s="590"/>
      <c r="Q828" s="590"/>
      <c r="R828" s="590"/>
      <c r="S828" s="590"/>
      <c r="T828" s="590"/>
      <c r="U828" s="590"/>
      <c r="V828" s="590"/>
      <c r="W828" s="590"/>
      <c r="X828" s="590"/>
      <c r="Y828" s="590"/>
      <c r="Z828" s="590"/>
    </row>
    <row r="829" spans="1:26" ht="15.75" customHeight="1">
      <c r="A829" s="590"/>
      <c r="B829" s="590"/>
      <c r="C829" s="590"/>
      <c r="D829" s="590"/>
      <c r="E829" s="590"/>
      <c r="F829" s="590"/>
      <c r="G829" s="590"/>
      <c r="H829" s="590"/>
      <c r="I829" s="590"/>
      <c r="J829" s="590"/>
      <c r="K829" s="590"/>
      <c r="L829" s="590"/>
      <c r="M829" s="590"/>
      <c r="N829" s="590"/>
      <c r="O829" s="590"/>
      <c r="P829" s="590"/>
      <c r="Q829" s="590"/>
      <c r="R829" s="590"/>
      <c r="S829" s="590"/>
      <c r="T829" s="590"/>
      <c r="U829" s="590"/>
      <c r="V829" s="590"/>
      <c r="W829" s="590"/>
      <c r="X829" s="590"/>
      <c r="Y829" s="590"/>
      <c r="Z829" s="590"/>
    </row>
    <row r="830" spans="1:26" ht="15.75" customHeight="1">
      <c r="A830" s="590"/>
      <c r="B830" s="590"/>
      <c r="C830" s="590"/>
      <c r="D830" s="590"/>
      <c r="E830" s="590"/>
      <c r="F830" s="590"/>
      <c r="G830" s="590"/>
      <c r="H830" s="590"/>
      <c r="I830" s="590"/>
      <c r="J830" s="590"/>
      <c r="K830" s="590"/>
      <c r="L830" s="590"/>
      <c r="M830" s="590"/>
      <c r="N830" s="590"/>
      <c r="O830" s="590"/>
      <c r="P830" s="590"/>
      <c r="Q830" s="590"/>
      <c r="R830" s="590"/>
      <c r="S830" s="590"/>
      <c r="T830" s="590"/>
      <c r="U830" s="590"/>
      <c r="V830" s="590"/>
      <c r="W830" s="590"/>
      <c r="X830" s="590"/>
      <c r="Y830" s="590"/>
      <c r="Z830" s="590"/>
    </row>
    <row r="831" spans="1:26" ht="15.75" customHeight="1">
      <c r="A831" s="590"/>
      <c r="B831" s="590"/>
      <c r="C831" s="590"/>
      <c r="D831" s="590"/>
      <c r="E831" s="590"/>
      <c r="F831" s="590"/>
      <c r="G831" s="590"/>
      <c r="H831" s="590"/>
      <c r="I831" s="590"/>
      <c r="J831" s="590"/>
      <c r="K831" s="590"/>
      <c r="L831" s="590"/>
      <c r="M831" s="590"/>
      <c r="N831" s="590"/>
      <c r="O831" s="590"/>
      <c r="P831" s="590"/>
      <c r="Q831" s="590"/>
      <c r="R831" s="590"/>
      <c r="S831" s="590"/>
      <c r="T831" s="590"/>
      <c r="U831" s="590"/>
      <c r="V831" s="590"/>
      <c r="W831" s="590"/>
      <c r="X831" s="590"/>
      <c r="Y831" s="590"/>
      <c r="Z831" s="590"/>
    </row>
    <row r="832" spans="1:26" ht="15.75" customHeight="1">
      <c r="A832" s="590"/>
      <c r="B832" s="590"/>
      <c r="C832" s="590"/>
      <c r="D832" s="590"/>
      <c r="E832" s="590"/>
      <c r="F832" s="590"/>
      <c r="G832" s="590"/>
      <c r="H832" s="590"/>
      <c r="I832" s="590"/>
      <c r="J832" s="590"/>
      <c r="K832" s="590"/>
      <c r="L832" s="590"/>
      <c r="M832" s="590"/>
      <c r="N832" s="590"/>
      <c r="O832" s="590"/>
      <c r="P832" s="590"/>
      <c r="Q832" s="590"/>
      <c r="R832" s="590"/>
      <c r="S832" s="590"/>
      <c r="T832" s="590"/>
      <c r="U832" s="590"/>
      <c r="V832" s="590"/>
      <c r="W832" s="590"/>
      <c r="X832" s="590"/>
      <c r="Y832" s="590"/>
      <c r="Z832" s="590"/>
    </row>
    <row r="833" spans="1:26" ht="15.75" customHeight="1">
      <c r="A833" s="590"/>
      <c r="B833" s="590"/>
      <c r="C833" s="590"/>
      <c r="D833" s="590"/>
      <c r="E833" s="590"/>
      <c r="F833" s="590"/>
      <c r="G833" s="590"/>
      <c r="H833" s="590"/>
      <c r="I833" s="590"/>
      <c r="J833" s="590"/>
      <c r="K833" s="590"/>
      <c r="L833" s="590"/>
      <c r="M833" s="590"/>
      <c r="N833" s="590"/>
      <c r="O833" s="590"/>
      <c r="P833" s="590"/>
      <c r="Q833" s="590"/>
      <c r="R833" s="590"/>
      <c r="S833" s="590"/>
      <c r="T833" s="590"/>
      <c r="U833" s="590"/>
      <c r="V833" s="590"/>
      <c r="W833" s="590"/>
      <c r="X833" s="590"/>
      <c r="Y833" s="590"/>
      <c r="Z833" s="590"/>
    </row>
    <row r="834" spans="1:26" ht="15.75" customHeight="1">
      <c r="A834" s="590"/>
      <c r="B834" s="590"/>
      <c r="C834" s="590"/>
      <c r="D834" s="590"/>
      <c r="E834" s="590"/>
      <c r="F834" s="590"/>
      <c r="G834" s="590"/>
      <c r="H834" s="590"/>
      <c r="I834" s="590"/>
      <c r="J834" s="590"/>
      <c r="K834" s="590"/>
      <c r="L834" s="590"/>
      <c r="M834" s="590"/>
      <c r="N834" s="590"/>
      <c r="O834" s="590"/>
      <c r="P834" s="590"/>
      <c r="Q834" s="590"/>
      <c r="R834" s="590"/>
      <c r="S834" s="590"/>
      <c r="T834" s="590"/>
      <c r="U834" s="590"/>
      <c r="V834" s="590"/>
      <c r="W834" s="590"/>
      <c r="X834" s="590"/>
      <c r="Y834" s="590"/>
      <c r="Z834" s="590"/>
    </row>
    <row r="835" spans="1:26" ht="15.75" customHeight="1">
      <c r="A835" s="590"/>
      <c r="B835" s="590"/>
      <c r="C835" s="590"/>
      <c r="D835" s="590"/>
      <c r="E835" s="590"/>
      <c r="F835" s="590"/>
      <c r="G835" s="590"/>
      <c r="H835" s="590"/>
      <c r="I835" s="590"/>
      <c r="J835" s="590"/>
      <c r="K835" s="590"/>
      <c r="L835" s="590"/>
      <c r="M835" s="590"/>
      <c r="N835" s="590"/>
      <c r="O835" s="590"/>
      <c r="P835" s="590"/>
      <c r="Q835" s="590"/>
      <c r="R835" s="590"/>
      <c r="S835" s="590"/>
      <c r="T835" s="590"/>
      <c r="U835" s="590"/>
      <c r="V835" s="590"/>
      <c r="W835" s="590"/>
      <c r="X835" s="590"/>
      <c r="Y835" s="590"/>
      <c r="Z835" s="590"/>
    </row>
    <row r="836" spans="1:26" ht="15.75" customHeight="1">
      <c r="A836" s="590"/>
      <c r="B836" s="590"/>
      <c r="C836" s="590"/>
      <c r="D836" s="590"/>
      <c r="E836" s="590"/>
      <c r="F836" s="590"/>
      <c r="G836" s="590"/>
      <c r="H836" s="590"/>
      <c r="I836" s="590"/>
      <c r="J836" s="590"/>
      <c r="K836" s="590"/>
      <c r="L836" s="590"/>
      <c r="M836" s="590"/>
      <c r="N836" s="590"/>
      <c r="O836" s="590"/>
      <c r="P836" s="590"/>
      <c r="Q836" s="590"/>
      <c r="R836" s="590"/>
      <c r="S836" s="590"/>
      <c r="T836" s="590"/>
      <c r="U836" s="590"/>
      <c r="V836" s="590"/>
      <c r="W836" s="590"/>
      <c r="X836" s="590"/>
      <c r="Y836" s="590"/>
      <c r="Z836" s="590"/>
    </row>
    <row r="837" spans="1:26" ht="15.75" customHeight="1">
      <c r="A837" s="590"/>
      <c r="B837" s="590"/>
      <c r="C837" s="590"/>
      <c r="D837" s="590"/>
      <c r="E837" s="590"/>
      <c r="F837" s="590"/>
      <c r="G837" s="590"/>
      <c r="H837" s="590"/>
      <c r="I837" s="590"/>
      <c r="J837" s="590"/>
      <c r="K837" s="590"/>
      <c r="L837" s="590"/>
      <c r="M837" s="590"/>
      <c r="N837" s="590"/>
      <c r="O837" s="590"/>
      <c r="P837" s="590"/>
      <c r="Q837" s="590"/>
      <c r="R837" s="590"/>
      <c r="S837" s="590"/>
      <c r="T837" s="590"/>
      <c r="U837" s="590"/>
      <c r="V837" s="590"/>
      <c r="W837" s="590"/>
      <c r="X837" s="590"/>
      <c r="Y837" s="590"/>
      <c r="Z837" s="590"/>
    </row>
    <row r="838" spans="1:26" ht="15.75" customHeight="1">
      <c r="A838" s="590"/>
      <c r="B838" s="590"/>
      <c r="C838" s="590"/>
      <c r="D838" s="590"/>
      <c r="E838" s="590"/>
      <c r="F838" s="590"/>
      <c r="G838" s="590"/>
      <c r="H838" s="590"/>
      <c r="I838" s="590"/>
      <c r="J838" s="590"/>
      <c r="K838" s="590"/>
      <c r="L838" s="590"/>
      <c r="M838" s="590"/>
      <c r="N838" s="590"/>
      <c r="O838" s="590"/>
      <c r="P838" s="590"/>
      <c r="Q838" s="590"/>
      <c r="R838" s="590"/>
      <c r="S838" s="590"/>
      <c r="T838" s="590"/>
      <c r="U838" s="590"/>
      <c r="V838" s="590"/>
      <c r="W838" s="590"/>
      <c r="X838" s="590"/>
      <c r="Y838" s="590"/>
      <c r="Z838" s="590"/>
    </row>
    <row r="839" spans="1:26" ht="15.75" customHeight="1">
      <c r="A839" s="590"/>
      <c r="B839" s="590"/>
      <c r="C839" s="590"/>
      <c r="D839" s="590"/>
      <c r="E839" s="590"/>
      <c r="F839" s="590"/>
      <c r="G839" s="590"/>
      <c r="H839" s="590"/>
      <c r="I839" s="590"/>
      <c r="J839" s="590"/>
      <c r="K839" s="590"/>
      <c r="L839" s="590"/>
      <c r="M839" s="590"/>
      <c r="N839" s="590"/>
      <c r="O839" s="590"/>
      <c r="P839" s="590"/>
      <c r="Q839" s="590"/>
      <c r="R839" s="590"/>
      <c r="S839" s="590"/>
      <c r="T839" s="590"/>
      <c r="U839" s="590"/>
      <c r="V839" s="590"/>
      <c r="W839" s="590"/>
      <c r="X839" s="590"/>
      <c r="Y839" s="590"/>
      <c r="Z839" s="590"/>
    </row>
    <row r="840" spans="1:26" ht="15.75" customHeight="1">
      <c r="A840" s="590"/>
      <c r="B840" s="590"/>
      <c r="C840" s="590"/>
      <c r="D840" s="590"/>
      <c r="E840" s="590"/>
      <c r="F840" s="590"/>
      <c r="G840" s="590"/>
      <c r="H840" s="590"/>
      <c r="I840" s="590"/>
      <c r="J840" s="590"/>
      <c r="K840" s="590"/>
      <c r="L840" s="590"/>
      <c r="M840" s="590"/>
      <c r="N840" s="590"/>
      <c r="O840" s="590"/>
      <c r="P840" s="590"/>
      <c r="Q840" s="590"/>
      <c r="R840" s="590"/>
      <c r="S840" s="590"/>
      <c r="T840" s="590"/>
      <c r="U840" s="590"/>
      <c r="V840" s="590"/>
      <c r="W840" s="590"/>
      <c r="X840" s="590"/>
      <c r="Y840" s="590"/>
      <c r="Z840" s="590"/>
    </row>
    <row r="841" spans="1:26" ht="15.75" customHeight="1">
      <c r="A841" s="590"/>
      <c r="B841" s="590"/>
      <c r="C841" s="590"/>
      <c r="D841" s="590"/>
      <c r="E841" s="590"/>
      <c r="F841" s="590"/>
      <c r="G841" s="590"/>
      <c r="H841" s="590"/>
      <c r="I841" s="590"/>
      <c r="J841" s="590"/>
      <c r="K841" s="590"/>
      <c r="L841" s="590"/>
      <c r="M841" s="590"/>
      <c r="N841" s="590"/>
      <c r="O841" s="590"/>
      <c r="P841" s="590"/>
      <c r="Q841" s="590"/>
      <c r="R841" s="590"/>
      <c r="S841" s="590"/>
      <c r="T841" s="590"/>
      <c r="U841" s="590"/>
      <c r="V841" s="590"/>
      <c r="W841" s="590"/>
      <c r="X841" s="590"/>
      <c r="Y841" s="590"/>
      <c r="Z841" s="590"/>
    </row>
    <row r="842" spans="1:26" ht="15.75" customHeight="1">
      <c r="A842" s="590"/>
      <c r="B842" s="590"/>
      <c r="C842" s="590"/>
      <c r="D842" s="590"/>
      <c r="E842" s="590"/>
      <c r="F842" s="590"/>
      <c r="G842" s="590"/>
      <c r="H842" s="590"/>
      <c r="I842" s="590"/>
      <c r="J842" s="590"/>
      <c r="K842" s="590"/>
      <c r="L842" s="590"/>
      <c r="M842" s="590"/>
      <c r="N842" s="590"/>
      <c r="O842" s="590"/>
      <c r="P842" s="590"/>
      <c r="Q842" s="590"/>
      <c r="R842" s="590"/>
      <c r="S842" s="590"/>
      <c r="T842" s="590"/>
      <c r="U842" s="590"/>
      <c r="V842" s="590"/>
      <c r="W842" s="590"/>
      <c r="X842" s="590"/>
      <c r="Y842" s="590"/>
      <c r="Z842" s="590"/>
    </row>
    <row r="843" spans="1:26" ht="15.75" customHeight="1">
      <c r="A843" s="590"/>
      <c r="B843" s="590"/>
      <c r="C843" s="590"/>
      <c r="D843" s="590"/>
      <c r="E843" s="590"/>
      <c r="F843" s="590"/>
      <c r="G843" s="590"/>
      <c r="H843" s="590"/>
      <c r="I843" s="590"/>
      <c r="J843" s="590"/>
      <c r="K843" s="590"/>
      <c r="L843" s="590"/>
      <c r="M843" s="590"/>
      <c r="N843" s="590"/>
      <c r="O843" s="590"/>
      <c r="P843" s="590"/>
      <c r="Q843" s="590"/>
      <c r="R843" s="590"/>
      <c r="S843" s="590"/>
      <c r="T843" s="590"/>
      <c r="U843" s="590"/>
      <c r="V843" s="590"/>
      <c r="W843" s="590"/>
      <c r="X843" s="590"/>
      <c r="Y843" s="590"/>
      <c r="Z843" s="590"/>
    </row>
    <row r="844" spans="1:26" ht="15.75" customHeight="1">
      <c r="A844" s="590"/>
      <c r="B844" s="590"/>
      <c r="C844" s="590"/>
      <c r="D844" s="590"/>
      <c r="E844" s="590"/>
      <c r="F844" s="590"/>
      <c r="G844" s="590"/>
      <c r="H844" s="590"/>
      <c r="I844" s="590"/>
      <c r="J844" s="590"/>
      <c r="K844" s="590"/>
      <c r="L844" s="590"/>
      <c r="M844" s="590"/>
      <c r="N844" s="590"/>
      <c r="O844" s="590"/>
      <c r="P844" s="590"/>
      <c r="Q844" s="590"/>
      <c r="R844" s="590"/>
      <c r="S844" s="590"/>
      <c r="T844" s="590"/>
      <c r="U844" s="590"/>
      <c r="V844" s="590"/>
      <c r="W844" s="590"/>
      <c r="X844" s="590"/>
      <c r="Y844" s="590"/>
      <c r="Z844" s="590"/>
    </row>
    <row r="845" spans="1:26" ht="15.75" customHeight="1">
      <c r="A845" s="590"/>
      <c r="B845" s="590"/>
      <c r="C845" s="590"/>
      <c r="D845" s="590"/>
      <c r="E845" s="590"/>
      <c r="F845" s="590"/>
      <c r="G845" s="590"/>
      <c r="H845" s="590"/>
      <c r="I845" s="590"/>
      <c r="J845" s="590"/>
      <c r="K845" s="590"/>
      <c r="L845" s="590"/>
      <c r="M845" s="590"/>
      <c r="N845" s="590"/>
      <c r="O845" s="590"/>
      <c r="P845" s="590"/>
      <c r="Q845" s="590"/>
      <c r="R845" s="590"/>
      <c r="S845" s="590"/>
      <c r="T845" s="590"/>
      <c r="U845" s="590"/>
      <c r="V845" s="590"/>
      <c r="W845" s="590"/>
      <c r="X845" s="590"/>
      <c r="Y845" s="590"/>
      <c r="Z845" s="590"/>
    </row>
    <row r="846" spans="1:26" ht="15.75" customHeight="1">
      <c r="A846" s="590"/>
      <c r="B846" s="590"/>
      <c r="C846" s="590"/>
      <c r="D846" s="590"/>
      <c r="E846" s="590"/>
      <c r="F846" s="590"/>
      <c r="G846" s="590"/>
      <c r="H846" s="590"/>
      <c r="I846" s="590"/>
      <c r="J846" s="590"/>
      <c r="K846" s="590"/>
      <c r="L846" s="590"/>
      <c r="M846" s="590"/>
      <c r="N846" s="590"/>
      <c r="O846" s="590"/>
      <c r="P846" s="590"/>
      <c r="Q846" s="590"/>
      <c r="R846" s="590"/>
      <c r="S846" s="590"/>
      <c r="T846" s="590"/>
      <c r="U846" s="590"/>
      <c r="V846" s="590"/>
      <c r="W846" s="590"/>
      <c r="X846" s="590"/>
      <c r="Y846" s="590"/>
      <c r="Z846" s="590"/>
    </row>
    <row r="847" spans="1:26" ht="15.75" customHeight="1">
      <c r="A847" s="590"/>
      <c r="B847" s="590"/>
      <c r="C847" s="590"/>
      <c r="D847" s="590"/>
      <c r="E847" s="590"/>
      <c r="F847" s="590"/>
      <c r="G847" s="590"/>
      <c r="H847" s="590"/>
      <c r="I847" s="590"/>
      <c r="J847" s="590"/>
      <c r="K847" s="590"/>
      <c r="L847" s="590"/>
      <c r="M847" s="590"/>
      <c r="N847" s="590"/>
      <c r="O847" s="590"/>
      <c r="P847" s="590"/>
      <c r="Q847" s="590"/>
      <c r="R847" s="590"/>
      <c r="S847" s="590"/>
      <c r="T847" s="590"/>
      <c r="U847" s="590"/>
      <c r="V847" s="590"/>
      <c r="W847" s="590"/>
      <c r="X847" s="590"/>
      <c r="Y847" s="590"/>
      <c r="Z847" s="590"/>
    </row>
    <row r="848" spans="1:26" ht="15.75" customHeight="1">
      <c r="A848" s="590"/>
      <c r="B848" s="590"/>
      <c r="C848" s="590"/>
      <c r="D848" s="590"/>
      <c r="E848" s="590"/>
      <c r="F848" s="590"/>
      <c r="G848" s="590"/>
      <c r="H848" s="590"/>
      <c r="I848" s="590"/>
      <c r="J848" s="590"/>
      <c r="K848" s="590"/>
      <c r="L848" s="590"/>
      <c r="M848" s="590"/>
      <c r="N848" s="590"/>
      <c r="O848" s="590"/>
      <c r="P848" s="590"/>
      <c r="Q848" s="590"/>
      <c r="R848" s="590"/>
      <c r="S848" s="590"/>
      <c r="T848" s="590"/>
      <c r="U848" s="590"/>
      <c r="V848" s="590"/>
      <c r="W848" s="590"/>
      <c r="X848" s="590"/>
      <c r="Y848" s="590"/>
      <c r="Z848" s="590"/>
    </row>
    <row r="849" spans="1:26" ht="15.75" customHeight="1">
      <c r="A849" s="590"/>
      <c r="B849" s="590"/>
      <c r="C849" s="590"/>
      <c r="D849" s="590"/>
      <c r="E849" s="590"/>
      <c r="F849" s="590"/>
      <c r="G849" s="590"/>
      <c r="H849" s="590"/>
      <c r="I849" s="590"/>
      <c r="J849" s="590"/>
      <c r="K849" s="590"/>
      <c r="L849" s="590"/>
      <c r="M849" s="590"/>
      <c r="N849" s="590"/>
      <c r="O849" s="590"/>
      <c r="P849" s="590"/>
      <c r="Q849" s="590"/>
      <c r="R849" s="590"/>
      <c r="S849" s="590"/>
      <c r="T849" s="590"/>
      <c r="U849" s="590"/>
      <c r="V849" s="590"/>
      <c r="W849" s="590"/>
      <c r="X849" s="590"/>
      <c r="Y849" s="590"/>
      <c r="Z849" s="590"/>
    </row>
    <row r="850" spans="1:26" ht="15.75" customHeight="1">
      <c r="A850" s="590"/>
      <c r="B850" s="590"/>
      <c r="C850" s="590"/>
      <c r="D850" s="590"/>
      <c r="E850" s="590"/>
      <c r="F850" s="590"/>
      <c r="G850" s="590"/>
      <c r="H850" s="590"/>
      <c r="I850" s="590"/>
      <c r="J850" s="590"/>
      <c r="K850" s="590"/>
      <c r="L850" s="590"/>
      <c r="M850" s="590"/>
      <c r="N850" s="590"/>
      <c r="O850" s="590"/>
      <c r="P850" s="590"/>
      <c r="Q850" s="590"/>
      <c r="R850" s="590"/>
      <c r="S850" s="590"/>
      <c r="T850" s="590"/>
      <c r="U850" s="590"/>
      <c r="V850" s="590"/>
      <c r="W850" s="590"/>
      <c r="X850" s="590"/>
      <c r="Y850" s="590"/>
      <c r="Z850" s="590"/>
    </row>
    <row r="851" spans="1:26" ht="15.75" customHeight="1">
      <c r="A851" s="590"/>
      <c r="B851" s="590"/>
      <c r="C851" s="590"/>
      <c r="D851" s="590"/>
      <c r="E851" s="590"/>
      <c r="F851" s="590"/>
      <c r="G851" s="590"/>
      <c r="H851" s="590"/>
      <c r="I851" s="590"/>
      <c r="J851" s="590"/>
      <c r="K851" s="590"/>
      <c r="L851" s="590"/>
      <c r="M851" s="590"/>
      <c r="N851" s="590"/>
      <c r="O851" s="590"/>
      <c r="P851" s="590"/>
      <c r="Q851" s="590"/>
      <c r="R851" s="590"/>
      <c r="S851" s="590"/>
      <c r="T851" s="590"/>
      <c r="U851" s="590"/>
      <c r="V851" s="590"/>
      <c r="W851" s="590"/>
      <c r="X851" s="590"/>
      <c r="Y851" s="590"/>
      <c r="Z851" s="590"/>
    </row>
    <row r="852" spans="1:26" ht="15.75" customHeight="1">
      <c r="A852" s="590"/>
      <c r="B852" s="590"/>
      <c r="C852" s="590"/>
      <c r="D852" s="590"/>
      <c r="E852" s="590"/>
      <c r="F852" s="590"/>
      <c r="G852" s="590"/>
      <c r="H852" s="590"/>
      <c r="I852" s="590"/>
      <c r="J852" s="590"/>
      <c r="K852" s="590"/>
      <c r="L852" s="590"/>
      <c r="M852" s="590"/>
      <c r="N852" s="590"/>
      <c r="O852" s="590"/>
      <c r="P852" s="590"/>
      <c r="Q852" s="590"/>
      <c r="R852" s="590"/>
      <c r="S852" s="590"/>
      <c r="T852" s="590"/>
      <c r="U852" s="590"/>
      <c r="V852" s="590"/>
      <c r="W852" s="590"/>
      <c r="X852" s="590"/>
      <c r="Y852" s="590"/>
      <c r="Z852" s="590"/>
    </row>
    <row r="853" spans="1:26" ht="15.75" customHeight="1">
      <c r="A853" s="590"/>
      <c r="B853" s="590"/>
      <c r="C853" s="590"/>
      <c r="D853" s="590"/>
      <c r="E853" s="590"/>
      <c r="F853" s="590"/>
      <c r="G853" s="590"/>
      <c r="H853" s="590"/>
      <c r="I853" s="590"/>
      <c r="J853" s="590"/>
      <c r="K853" s="590"/>
      <c r="L853" s="590"/>
      <c r="M853" s="590"/>
      <c r="N853" s="590"/>
      <c r="O853" s="590"/>
      <c r="P853" s="590"/>
      <c r="Q853" s="590"/>
      <c r="R853" s="590"/>
      <c r="S853" s="590"/>
      <c r="T853" s="590"/>
      <c r="U853" s="590"/>
      <c r="V853" s="590"/>
      <c r="W853" s="590"/>
      <c r="X853" s="590"/>
      <c r="Y853" s="590"/>
      <c r="Z853" s="590"/>
    </row>
    <row r="854" spans="1:26" ht="15.75" customHeight="1">
      <c r="A854" s="590"/>
      <c r="B854" s="590"/>
      <c r="C854" s="590"/>
      <c r="D854" s="590"/>
      <c r="E854" s="590"/>
      <c r="F854" s="590"/>
      <c r="G854" s="590"/>
      <c r="H854" s="590"/>
      <c r="I854" s="590"/>
      <c r="J854" s="590"/>
      <c r="K854" s="590"/>
      <c r="L854" s="590"/>
      <c r="M854" s="590"/>
      <c r="N854" s="590"/>
      <c r="O854" s="590"/>
      <c r="P854" s="590"/>
      <c r="Q854" s="590"/>
      <c r="R854" s="590"/>
      <c r="S854" s="590"/>
      <c r="T854" s="590"/>
      <c r="U854" s="590"/>
      <c r="V854" s="590"/>
      <c r="W854" s="590"/>
      <c r="X854" s="590"/>
      <c r="Y854" s="590"/>
      <c r="Z854" s="590"/>
    </row>
    <row r="855" spans="1:26" ht="15.75" customHeight="1">
      <c r="A855" s="590"/>
      <c r="B855" s="590"/>
      <c r="C855" s="590"/>
      <c r="D855" s="590"/>
      <c r="E855" s="590"/>
      <c r="F855" s="590"/>
      <c r="G855" s="590"/>
      <c r="H855" s="590"/>
      <c r="I855" s="590"/>
      <c r="J855" s="590"/>
      <c r="K855" s="590"/>
      <c r="L855" s="590"/>
      <c r="M855" s="590"/>
      <c r="N855" s="590"/>
      <c r="O855" s="590"/>
      <c r="P855" s="590"/>
      <c r="Q855" s="590"/>
      <c r="R855" s="590"/>
      <c r="S855" s="590"/>
      <c r="T855" s="590"/>
      <c r="U855" s="590"/>
      <c r="V855" s="590"/>
      <c r="W855" s="590"/>
      <c r="X855" s="590"/>
      <c r="Y855" s="590"/>
      <c r="Z855" s="590"/>
    </row>
    <row r="856" spans="1:26" ht="15.75" customHeight="1">
      <c r="A856" s="590"/>
      <c r="B856" s="590"/>
      <c r="C856" s="590"/>
      <c r="D856" s="590"/>
      <c r="E856" s="590"/>
      <c r="F856" s="590"/>
      <c r="G856" s="590"/>
      <c r="H856" s="590"/>
      <c r="I856" s="590"/>
      <c r="J856" s="590"/>
      <c r="K856" s="590"/>
      <c r="L856" s="590"/>
      <c r="M856" s="590"/>
      <c r="N856" s="590"/>
      <c r="O856" s="590"/>
      <c r="P856" s="590"/>
      <c r="Q856" s="590"/>
      <c r="R856" s="590"/>
      <c r="S856" s="590"/>
      <c r="T856" s="590"/>
      <c r="U856" s="590"/>
      <c r="V856" s="590"/>
      <c r="W856" s="590"/>
      <c r="X856" s="590"/>
      <c r="Y856" s="590"/>
      <c r="Z856" s="590"/>
    </row>
    <row r="857" spans="1:26" ht="15.75" customHeight="1">
      <c r="A857" s="590"/>
      <c r="B857" s="590"/>
      <c r="C857" s="590"/>
      <c r="D857" s="590"/>
      <c r="E857" s="590"/>
      <c r="F857" s="590"/>
      <c r="G857" s="590"/>
      <c r="H857" s="590"/>
      <c r="I857" s="590"/>
      <c r="J857" s="590"/>
      <c r="K857" s="590"/>
      <c r="L857" s="590"/>
      <c r="M857" s="590"/>
      <c r="N857" s="590"/>
      <c r="O857" s="590"/>
      <c r="P857" s="590"/>
      <c r="Q857" s="590"/>
      <c r="R857" s="590"/>
      <c r="S857" s="590"/>
      <c r="T857" s="590"/>
      <c r="U857" s="590"/>
      <c r="V857" s="590"/>
      <c r="W857" s="590"/>
      <c r="X857" s="590"/>
      <c r="Y857" s="590"/>
      <c r="Z857" s="590"/>
    </row>
    <row r="858" spans="1:26" ht="15.75" customHeight="1">
      <c r="A858" s="590"/>
      <c r="B858" s="590"/>
      <c r="C858" s="590"/>
      <c r="D858" s="590"/>
      <c r="E858" s="590"/>
      <c r="F858" s="590"/>
      <c r="G858" s="590"/>
      <c r="H858" s="590"/>
      <c r="I858" s="590"/>
      <c r="J858" s="590"/>
      <c r="K858" s="590"/>
      <c r="L858" s="590"/>
      <c r="M858" s="590"/>
      <c r="N858" s="590"/>
      <c r="O858" s="590"/>
      <c r="P858" s="590"/>
      <c r="Q858" s="590"/>
      <c r="R858" s="590"/>
      <c r="S858" s="590"/>
      <c r="T858" s="590"/>
      <c r="U858" s="590"/>
      <c r="V858" s="590"/>
      <c r="W858" s="590"/>
      <c r="X858" s="590"/>
      <c r="Y858" s="590"/>
      <c r="Z858" s="590"/>
    </row>
    <row r="859" spans="1:26" ht="15.75" customHeight="1">
      <c r="A859" s="590"/>
      <c r="B859" s="590"/>
      <c r="C859" s="590"/>
      <c r="D859" s="590"/>
      <c r="E859" s="590"/>
      <c r="F859" s="590"/>
      <c r="G859" s="590"/>
      <c r="H859" s="590"/>
      <c r="I859" s="590"/>
      <c r="J859" s="590"/>
      <c r="K859" s="590"/>
      <c r="L859" s="590"/>
      <c r="M859" s="590"/>
      <c r="N859" s="590"/>
      <c r="O859" s="590"/>
      <c r="P859" s="590"/>
      <c r="Q859" s="590"/>
      <c r="R859" s="590"/>
      <c r="S859" s="590"/>
      <c r="T859" s="590"/>
      <c r="U859" s="590"/>
      <c r="V859" s="590"/>
      <c r="W859" s="590"/>
      <c r="X859" s="590"/>
      <c r="Y859" s="590"/>
      <c r="Z859" s="590"/>
    </row>
    <row r="860" spans="1:26" ht="15.75" customHeight="1">
      <c r="A860" s="590"/>
      <c r="B860" s="590"/>
      <c r="C860" s="590"/>
      <c r="D860" s="590"/>
      <c r="E860" s="590"/>
      <c r="F860" s="590"/>
      <c r="G860" s="590"/>
      <c r="H860" s="590"/>
      <c r="I860" s="590"/>
      <c r="J860" s="590"/>
      <c r="K860" s="590"/>
      <c r="L860" s="590"/>
      <c r="M860" s="590"/>
      <c r="N860" s="590"/>
      <c r="O860" s="590"/>
      <c r="P860" s="590"/>
      <c r="Q860" s="590"/>
      <c r="R860" s="590"/>
      <c r="S860" s="590"/>
      <c r="T860" s="590"/>
      <c r="U860" s="590"/>
      <c r="V860" s="590"/>
      <c r="W860" s="590"/>
      <c r="X860" s="590"/>
      <c r="Y860" s="590"/>
      <c r="Z860" s="590"/>
    </row>
    <row r="861" spans="1:26" ht="15.75" customHeight="1">
      <c r="A861" s="590"/>
      <c r="B861" s="590"/>
      <c r="C861" s="590"/>
      <c r="D861" s="590"/>
      <c r="E861" s="590"/>
      <c r="F861" s="590"/>
      <c r="G861" s="590"/>
      <c r="H861" s="590"/>
      <c r="I861" s="590"/>
      <c r="J861" s="590"/>
      <c r="K861" s="590"/>
      <c r="L861" s="590"/>
      <c r="M861" s="590"/>
      <c r="N861" s="590"/>
      <c r="O861" s="590"/>
      <c r="P861" s="590"/>
      <c r="Q861" s="590"/>
      <c r="R861" s="590"/>
      <c r="S861" s="590"/>
      <c r="T861" s="590"/>
      <c r="U861" s="590"/>
      <c r="V861" s="590"/>
      <c r="W861" s="590"/>
      <c r="X861" s="590"/>
      <c r="Y861" s="590"/>
      <c r="Z861" s="590"/>
    </row>
    <row r="862" spans="1:26" ht="15.75" customHeight="1">
      <c r="A862" s="590"/>
      <c r="B862" s="590"/>
      <c r="C862" s="590"/>
      <c r="D862" s="590"/>
      <c r="E862" s="590"/>
      <c r="F862" s="590"/>
      <c r="G862" s="590"/>
      <c r="H862" s="590"/>
      <c r="I862" s="590"/>
      <c r="J862" s="590"/>
      <c r="K862" s="590"/>
      <c r="L862" s="590"/>
      <c r="M862" s="590"/>
      <c r="N862" s="590"/>
      <c r="O862" s="590"/>
      <c r="P862" s="590"/>
      <c r="Q862" s="590"/>
      <c r="R862" s="590"/>
      <c r="S862" s="590"/>
      <c r="T862" s="590"/>
      <c r="U862" s="590"/>
      <c r="V862" s="590"/>
      <c r="W862" s="590"/>
      <c r="X862" s="590"/>
      <c r="Y862" s="590"/>
      <c r="Z862" s="590"/>
    </row>
    <row r="863" spans="1:26" ht="15.75" customHeight="1">
      <c r="A863" s="590"/>
      <c r="B863" s="590"/>
      <c r="C863" s="590"/>
      <c r="D863" s="590"/>
      <c r="E863" s="590"/>
      <c r="F863" s="590"/>
      <c r="G863" s="590"/>
      <c r="H863" s="590"/>
      <c r="I863" s="590"/>
      <c r="J863" s="590"/>
      <c r="K863" s="590"/>
      <c r="L863" s="590"/>
      <c r="M863" s="590"/>
      <c r="N863" s="590"/>
      <c r="O863" s="590"/>
      <c r="P863" s="590"/>
      <c r="Q863" s="590"/>
      <c r="R863" s="590"/>
      <c r="S863" s="590"/>
      <c r="T863" s="590"/>
      <c r="U863" s="590"/>
      <c r="V863" s="590"/>
      <c r="W863" s="590"/>
      <c r="X863" s="590"/>
      <c r="Y863" s="590"/>
      <c r="Z863" s="590"/>
    </row>
    <row r="864" spans="1:26" ht="15.75" customHeight="1">
      <c r="A864" s="590"/>
      <c r="B864" s="590"/>
      <c r="C864" s="590"/>
      <c r="D864" s="590"/>
      <c r="E864" s="590"/>
      <c r="F864" s="590"/>
      <c r="G864" s="590"/>
      <c r="H864" s="590"/>
      <c r="I864" s="590"/>
      <c r="J864" s="590"/>
      <c r="K864" s="590"/>
      <c r="L864" s="590"/>
      <c r="M864" s="590"/>
      <c r="N864" s="590"/>
      <c r="O864" s="590"/>
      <c r="P864" s="590"/>
      <c r="Q864" s="590"/>
      <c r="R864" s="590"/>
      <c r="S864" s="590"/>
      <c r="T864" s="590"/>
      <c r="U864" s="590"/>
      <c r="V864" s="590"/>
      <c r="W864" s="590"/>
      <c r="X864" s="590"/>
      <c r="Y864" s="590"/>
      <c r="Z864" s="590"/>
    </row>
    <row r="865" spans="1:26" ht="15.75" customHeight="1">
      <c r="A865" s="590"/>
      <c r="B865" s="590"/>
      <c r="C865" s="590"/>
      <c r="D865" s="590"/>
      <c r="E865" s="590"/>
      <c r="F865" s="590"/>
      <c r="G865" s="590"/>
      <c r="H865" s="590"/>
      <c r="I865" s="590"/>
      <c r="J865" s="590"/>
      <c r="K865" s="590"/>
      <c r="L865" s="590"/>
      <c r="M865" s="590"/>
      <c r="N865" s="590"/>
      <c r="O865" s="590"/>
      <c r="P865" s="590"/>
      <c r="Q865" s="590"/>
      <c r="R865" s="590"/>
      <c r="S865" s="590"/>
      <c r="T865" s="590"/>
      <c r="U865" s="590"/>
      <c r="V865" s="590"/>
      <c r="W865" s="590"/>
      <c r="X865" s="590"/>
      <c r="Y865" s="590"/>
      <c r="Z865" s="590"/>
    </row>
    <row r="866" spans="1:26" ht="15.75" customHeight="1">
      <c r="A866" s="590"/>
      <c r="B866" s="590"/>
      <c r="C866" s="590"/>
      <c r="D866" s="590"/>
      <c r="E866" s="590"/>
      <c r="F866" s="590"/>
      <c r="G866" s="590"/>
      <c r="H866" s="590"/>
      <c r="I866" s="590"/>
      <c r="J866" s="590"/>
      <c r="K866" s="590"/>
      <c r="L866" s="590"/>
      <c r="M866" s="590"/>
      <c r="N866" s="590"/>
      <c r="O866" s="590"/>
      <c r="P866" s="590"/>
      <c r="Q866" s="590"/>
      <c r="R866" s="590"/>
      <c r="S866" s="590"/>
      <c r="T866" s="590"/>
      <c r="U866" s="590"/>
      <c r="V866" s="590"/>
      <c r="W866" s="590"/>
      <c r="X866" s="590"/>
      <c r="Y866" s="590"/>
      <c r="Z866" s="590"/>
    </row>
    <row r="867" spans="1:26" ht="15.75" customHeight="1">
      <c r="A867" s="590"/>
      <c r="B867" s="590"/>
      <c r="C867" s="590"/>
      <c r="D867" s="590"/>
      <c r="E867" s="590"/>
      <c r="F867" s="590"/>
      <c r="G867" s="590"/>
      <c r="H867" s="590"/>
      <c r="I867" s="590"/>
      <c r="J867" s="590"/>
      <c r="K867" s="590"/>
      <c r="L867" s="590"/>
      <c r="M867" s="590"/>
      <c r="N867" s="590"/>
      <c r="O867" s="590"/>
      <c r="P867" s="590"/>
      <c r="Q867" s="590"/>
      <c r="R867" s="590"/>
      <c r="S867" s="590"/>
      <c r="T867" s="590"/>
      <c r="U867" s="590"/>
      <c r="V867" s="590"/>
      <c r="W867" s="590"/>
      <c r="X867" s="590"/>
      <c r="Y867" s="590"/>
      <c r="Z867" s="590"/>
    </row>
    <row r="868" spans="1:26" ht="15.75" customHeight="1">
      <c r="A868" s="590"/>
      <c r="B868" s="590"/>
      <c r="C868" s="590"/>
      <c r="D868" s="590"/>
      <c r="E868" s="590"/>
      <c r="F868" s="590"/>
      <c r="G868" s="590"/>
      <c r="H868" s="590"/>
      <c r="I868" s="590"/>
      <c r="J868" s="590"/>
      <c r="K868" s="590"/>
      <c r="L868" s="590"/>
      <c r="M868" s="590"/>
      <c r="N868" s="590"/>
      <c r="O868" s="590"/>
      <c r="P868" s="590"/>
      <c r="Q868" s="590"/>
      <c r="R868" s="590"/>
      <c r="S868" s="590"/>
      <c r="T868" s="590"/>
      <c r="U868" s="590"/>
      <c r="V868" s="590"/>
      <c r="W868" s="590"/>
      <c r="X868" s="590"/>
      <c r="Y868" s="590"/>
      <c r="Z868" s="590"/>
    </row>
    <row r="869" spans="1:26" ht="15.75" customHeight="1">
      <c r="A869" s="590"/>
      <c r="B869" s="590"/>
      <c r="C869" s="590"/>
      <c r="D869" s="590"/>
      <c r="E869" s="590"/>
      <c r="F869" s="590"/>
      <c r="G869" s="590"/>
      <c r="H869" s="590"/>
      <c r="I869" s="590"/>
      <c r="J869" s="590"/>
      <c r="K869" s="590"/>
      <c r="L869" s="590"/>
      <c r="M869" s="590"/>
      <c r="N869" s="590"/>
      <c r="O869" s="590"/>
      <c r="P869" s="590"/>
      <c r="Q869" s="590"/>
      <c r="R869" s="590"/>
      <c r="S869" s="590"/>
      <c r="T869" s="590"/>
      <c r="U869" s="590"/>
      <c r="V869" s="590"/>
      <c r="W869" s="590"/>
      <c r="X869" s="590"/>
      <c r="Y869" s="590"/>
      <c r="Z869" s="590"/>
    </row>
    <row r="870" spans="1:26" ht="15.75" customHeight="1">
      <c r="A870" s="590"/>
      <c r="B870" s="590"/>
      <c r="C870" s="590"/>
      <c r="D870" s="590"/>
      <c r="E870" s="590"/>
      <c r="F870" s="590"/>
      <c r="G870" s="590"/>
      <c r="H870" s="590"/>
      <c r="I870" s="590"/>
      <c r="J870" s="590"/>
      <c r="K870" s="590"/>
      <c r="L870" s="590"/>
      <c r="M870" s="590"/>
      <c r="N870" s="590"/>
      <c r="O870" s="590"/>
      <c r="P870" s="590"/>
      <c r="Q870" s="590"/>
      <c r="R870" s="590"/>
      <c r="S870" s="590"/>
      <c r="T870" s="590"/>
      <c r="U870" s="590"/>
      <c r="V870" s="590"/>
      <c r="W870" s="590"/>
      <c r="X870" s="590"/>
      <c r="Y870" s="590"/>
      <c r="Z870" s="590"/>
    </row>
    <row r="871" spans="1:26" ht="15.75" customHeight="1">
      <c r="A871" s="590"/>
      <c r="B871" s="590"/>
      <c r="C871" s="590"/>
      <c r="D871" s="590"/>
      <c r="E871" s="590"/>
      <c r="F871" s="590"/>
      <c r="G871" s="590"/>
      <c r="H871" s="590"/>
      <c r="I871" s="590"/>
      <c r="J871" s="590"/>
      <c r="K871" s="590"/>
      <c r="L871" s="590"/>
      <c r="M871" s="590"/>
      <c r="N871" s="590"/>
      <c r="O871" s="590"/>
      <c r="P871" s="590"/>
      <c r="Q871" s="590"/>
      <c r="R871" s="590"/>
      <c r="S871" s="590"/>
      <c r="T871" s="590"/>
      <c r="U871" s="590"/>
      <c r="V871" s="590"/>
      <c r="W871" s="590"/>
      <c r="X871" s="590"/>
      <c r="Y871" s="590"/>
      <c r="Z871" s="590"/>
    </row>
    <row r="872" spans="1:26" ht="15.75" customHeight="1">
      <c r="A872" s="590"/>
      <c r="B872" s="590"/>
      <c r="C872" s="590"/>
      <c r="D872" s="590"/>
      <c r="E872" s="590"/>
      <c r="F872" s="590"/>
      <c r="G872" s="590"/>
      <c r="H872" s="590"/>
      <c r="I872" s="590"/>
      <c r="J872" s="590"/>
      <c r="K872" s="590"/>
      <c r="L872" s="590"/>
      <c r="M872" s="590"/>
      <c r="N872" s="590"/>
      <c r="O872" s="590"/>
      <c r="P872" s="590"/>
      <c r="Q872" s="590"/>
      <c r="R872" s="590"/>
      <c r="S872" s="590"/>
      <c r="T872" s="590"/>
      <c r="U872" s="590"/>
      <c r="V872" s="590"/>
      <c r="W872" s="590"/>
      <c r="X872" s="590"/>
      <c r="Y872" s="590"/>
      <c r="Z872" s="590"/>
    </row>
    <row r="873" spans="1:26" ht="15.75" customHeight="1">
      <c r="A873" s="590"/>
      <c r="B873" s="590"/>
      <c r="C873" s="590"/>
      <c r="D873" s="590"/>
      <c r="E873" s="590"/>
      <c r="F873" s="590"/>
      <c r="G873" s="590"/>
      <c r="H873" s="590"/>
      <c r="I873" s="590"/>
      <c r="J873" s="590"/>
      <c r="K873" s="590"/>
      <c r="L873" s="590"/>
      <c r="M873" s="590"/>
      <c r="N873" s="590"/>
      <c r="O873" s="590"/>
      <c r="P873" s="590"/>
      <c r="Q873" s="590"/>
      <c r="R873" s="590"/>
      <c r="S873" s="590"/>
      <c r="T873" s="590"/>
      <c r="U873" s="590"/>
      <c r="V873" s="590"/>
      <c r="W873" s="590"/>
      <c r="X873" s="590"/>
      <c r="Y873" s="590"/>
      <c r="Z873" s="590"/>
    </row>
    <row r="874" spans="1:26" ht="15.75" customHeight="1">
      <c r="A874" s="590"/>
      <c r="B874" s="590"/>
      <c r="C874" s="590"/>
      <c r="D874" s="590"/>
      <c r="E874" s="590"/>
      <c r="F874" s="590"/>
      <c r="G874" s="590"/>
      <c r="H874" s="590"/>
      <c r="I874" s="590"/>
      <c r="J874" s="590"/>
      <c r="K874" s="590"/>
      <c r="L874" s="590"/>
      <c r="M874" s="590"/>
      <c r="N874" s="590"/>
      <c r="O874" s="590"/>
      <c r="P874" s="590"/>
      <c r="Q874" s="590"/>
      <c r="R874" s="590"/>
      <c r="S874" s="590"/>
      <c r="T874" s="590"/>
      <c r="U874" s="590"/>
      <c r="V874" s="590"/>
      <c r="W874" s="590"/>
      <c r="X874" s="590"/>
      <c r="Y874" s="590"/>
      <c r="Z874" s="590"/>
    </row>
    <row r="875" spans="1:26" ht="15.75" customHeight="1">
      <c r="A875" s="590"/>
      <c r="B875" s="590"/>
      <c r="C875" s="590"/>
      <c r="D875" s="590"/>
      <c r="E875" s="590"/>
      <c r="F875" s="590"/>
      <c r="G875" s="590"/>
      <c r="H875" s="590"/>
      <c r="I875" s="590"/>
      <c r="J875" s="590"/>
      <c r="K875" s="590"/>
      <c r="L875" s="590"/>
      <c r="M875" s="590"/>
      <c r="N875" s="590"/>
      <c r="O875" s="590"/>
      <c r="P875" s="590"/>
      <c r="Q875" s="590"/>
      <c r="R875" s="590"/>
      <c r="S875" s="590"/>
      <c r="T875" s="590"/>
      <c r="U875" s="590"/>
      <c r="V875" s="590"/>
      <c r="W875" s="590"/>
      <c r="X875" s="590"/>
      <c r="Y875" s="590"/>
      <c r="Z875" s="590"/>
    </row>
    <row r="876" spans="1:26" ht="15.75" customHeight="1">
      <c r="A876" s="590"/>
      <c r="B876" s="590"/>
      <c r="C876" s="590"/>
      <c r="D876" s="590"/>
      <c r="E876" s="590"/>
      <c r="F876" s="590"/>
      <c r="G876" s="590"/>
      <c r="H876" s="590"/>
      <c r="I876" s="590"/>
      <c r="J876" s="590"/>
      <c r="K876" s="590"/>
      <c r="L876" s="590"/>
      <c r="M876" s="590"/>
      <c r="N876" s="590"/>
      <c r="O876" s="590"/>
      <c r="P876" s="590"/>
      <c r="Q876" s="590"/>
      <c r="R876" s="590"/>
      <c r="S876" s="590"/>
      <c r="T876" s="590"/>
      <c r="U876" s="590"/>
      <c r="V876" s="590"/>
      <c r="W876" s="590"/>
      <c r="X876" s="590"/>
      <c r="Y876" s="590"/>
      <c r="Z876" s="590"/>
    </row>
    <row r="877" spans="1:26" ht="15.75" customHeight="1">
      <c r="A877" s="590"/>
      <c r="B877" s="590"/>
      <c r="C877" s="590"/>
      <c r="D877" s="590"/>
      <c r="E877" s="590"/>
      <c r="F877" s="590"/>
      <c r="G877" s="590"/>
      <c r="H877" s="590"/>
      <c r="I877" s="590"/>
      <c r="J877" s="590"/>
      <c r="K877" s="590"/>
      <c r="L877" s="590"/>
      <c r="M877" s="590"/>
      <c r="N877" s="590"/>
      <c r="O877" s="590"/>
      <c r="P877" s="590"/>
      <c r="Q877" s="590"/>
      <c r="R877" s="590"/>
      <c r="S877" s="590"/>
      <c r="T877" s="590"/>
      <c r="U877" s="590"/>
      <c r="V877" s="590"/>
      <c r="W877" s="590"/>
      <c r="X877" s="590"/>
      <c r="Y877" s="590"/>
      <c r="Z877" s="590"/>
    </row>
    <row r="878" spans="1:26" ht="15.75" customHeight="1">
      <c r="A878" s="590"/>
      <c r="B878" s="590"/>
      <c r="C878" s="590"/>
      <c r="D878" s="590"/>
      <c r="E878" s="590"/>
      <c r="F878" s="590"/>
      <c r="G878" s="590"/>
      <c r="H878" s="590"/>
      <c r="I878" s="590"/>
      <c r="J878" s="590"/>
      <c r="K878" s="590"/>
      <c r="L878" s="590"/>
      <c r="M878" s="590"/>
      <c r="N878" s="590"/>
      <c r="O878" s="590"/>
      <c r="P878" s="590"/>
      <c r="Q878" s="590"/>
      <c r="R878" s="590"/>
      <c r="S878" s="590"/>
      <c r="T878" s="590"/>
      <c r="U878" s="590"/>
      <c r="V878" s="590"/>
      <c r="W878" s="590"/>
      <c r="X878" s="590"/>
      <c r="Y878" s="590"/>
      <c r="Z878" s="590"/>
    </row>
    <row r="879" spans="1:26" ht="15.75" customHeight="1">
      <c r="A879" s="590"/>
      <c r="B879" s="590"/>
      <c r="C879" s="590"/>
      <c r="D879" s="590"/>
      <c r="E879" s="590"/>
      <c r="F879" s="590"/>
      <c r="G879" s="590"/>
      <c r="H879" s="590"/>
      <c r="I879" s="590"/>
      <c r="J879" s="590"/>
      <c r="K879" s="590"/>
      <c r="L879" s="590"/>
      <c r="M879" s="590"/>
      <c r="N879" s="590"/>
      <c r="O879" s="590"/>
      <c r="P879" s="590"/>
      <c r="Q879" s="590"/>
      <c r="R879" s="590"/>
      <c r="S879" s="590"/>
      <c r="T879" s="590"/>
      <c r="U879" s="590"/>
      <c r="V879" s="590"/>
      <c r="W879" s="590"/>
      <c r="X879" s="590"/>
      <c r="Y879" s="590"/>
      <c r="Z879" s="590"/>
    </row>
    <row r="880" spans="1:26" ht="15.75" customHeight="1">
      <c r="A880" s="590"/>
      <c r="B880" s="590"/>
      <c r="C880" s="590"/>
      <c r="D880" s="590"/>
      <c r="E880" s="590"/>
      <c r="F880" s="590"/>
      <c r="G880" s="590"/>
      <c r="H880" s="590"/>
      <c r="I880" s="590"/>
      <c r="J880" s="590"/>
      <c r="K880" s="590"/>
      <c r="L880" s="590"/>
      <c r="M880" s="590"/>
      <c r="N880" s="590"/>
      <c r="O880" s="590"/>
      <c r="P880" s="590"/>
      <c r="Q880" s="590"/>
      <c r="R880" s="590"/>
      <c r="S880" s="590"/>
      <c r="T880" s="590"/>
      <c r="U880" s="590"/>
      <c r="V880" s="590"/>
      <c r="W880" s="590"/>
      <c r="X880" s="590"/>
      <c r="Y880" s="590"/>
      <c r="Z880" s="590"/>
    </row>
    <row r="881" spans="1:26" ht="15.75" customHeight="1">
      <c r="A881" s="590"/>
      <c r="B881" s="590"/>
      <c r="C881" s="590"/>
      <c r="D881" s="590"/>
      <c r="E881" s="590"/>
      <c r="F881" s="590"/>
      <c r="G881" s="590"/>
      <c r="H881" s="590"/>
      <c r="I881" s="590"/>
      <c r="J881" s="590"/>
      <c r="K881" s="590"/>
      <c r="L881" s="590"/>
      <c r="M881" s="590"/>
      <c r="N881" s="590"/>
      <c r="O881" s="590"/>
      <c r="P881" s="590"/>
      <c r="Q881" s="590"/>
      <c r="R881" s="590"/>
      <c r="S881" s="590"/>
      <c r="T881" s="590"/>
      <c r="U881" s="590"/>
      <c r="V881" s="590"/>
      <c r="W881" s="590"/>
      <c r="X881" s="590"/>
      <c r="Y881" s="590"/>
      <c r="Z881" s="590"/>
    </row>
    <row r="882" spans="1:26" ht="15.75" customHeight="1">
      <c r="A882" s="590"/>
      <c r="B882" s="590"/>
      <c r="C882" s="590"/>
      <c r="D882" s="590"/>
      <c r="E882" s="590"/>
      <c r="F882" s="590"/>
      <c r="G882" s="590"/>
      <c r="H882" s="590"/>
      <c r="I882" s="590"/>
      <c r="J882" s="590"/>
      <c r="K882" s="590"/>
      <c r="L882" s="590"/>
      <c r="M882" s="590"/>
      <c r="N882" s="590"/>
      <c r="O882" s="590"/>
      <c r="P882" s="590"/>
      <c r="Q882" s="590"/>
      <c r="R882" s="590"/>
      <c r="S882" s="590"/>
      <c r="T882" s="590"/>
      <c r="U882" s="590"/>
      <c r="V882" s="590"/>
      <c r="W882" s="590"/>
      <c r="X882" s="590"/>
      <c r="Y882" s="590"/>
      <c r="Z882" s="590"/>
    </row>
    <row r="883" spans="1:26" ht="15.75" customHeight="1">
      <c r="A883" s="590"/>
      <c r="B883" s="590"/>
      <c r="C883" s="590"/>
      <c r="D883" s="590"/>
      <c r="E883" s="590"/>
      <c r="F883" s="590"/>
      <c r="G883" s="590"/>
      <c r="H883" s="590"/>
      <c r="I883" s="590"/>
      <c r="J883" s="590"/>
      <c r="K883" s="590"/>
      <c r="L883" s="590"/>
      <c r="M883" s="590"/>
      <c r="N883" s="590"/>
      <c r="O883" s="590"/>
      <c r="P883" s="590"/>
      <c r="Q883" s="590"/>
      <c r="R883" s="590"/>
      <c r="S883" s="590"/>
      <c r="T883" s="590"/>
      <c r="U883" s="590"/>
      <c r="V883" s="590"/>
      <c r="W883" s="590"/>
      <c r="X883" s="590"/>
      <c r="Y883" s="590"/>
      <c r="Z883" s="590"/>
    </row>
    <row r="884" spans="1:26" ht="15.75" customHeight="1">
      <c r="A884" s="590"/>
      <c r="B884" s="590"/>
      <c r="C884" s="590"/>
      <c r="D884" s="590"/>
      <c r="E884" s="590"/>
      <c r="F884" s="590"/>
      <c r="G884" s="590"/>
      <c r="H884" s="590"/>
      <c r="I884" s="590"/>
      <c r="J884" s="590"/>
      <c r="K884" s="590"/>
      <c r="L884" s="590"/>
      <c r="M884" s="590"/>
      <c r="N884" s="590"/>
      <c r="O884" s="590"/>
      <c r="P884" s="590"/>
      <c r="Q884" s="590"/>
      <c r="R884" s="590"/>
      <c r="S884" s="590"/>
      <c r="T884" s="590"/>
      <c r="U884" s="590"/>
      <c r="V884" s="590"/>
      <c r="W884" s="590"/>
      <c r="X884" s="590"/>
      <c r="Y884" s="590"/>
      <c r="Z884" s="590"/>
    </row>
    <row r="885" spans="1:26" ht="15.75" customHeight="1">
      <c r="A885" s="590"/>
      <c r="B885" s="590"/>
      <c r="C885" s="590"/>
      <c r="D885" s="590"/>
      <c r="E885" s="590"/>
      <c r="F885" s="590"/>
      <c r="G885" s="590"/>
      <c r="H885" s="590"/>
      <c r="I885" s="590"/>
      <c r="J885" s="590"/>
      <c r="K885" s="590"/>
      <c r="L885" s="590"/>
      <c r="M885" s="590"/>
      <c r="N885" s="590"/>
      <c r="O885" s="590"/>
      <c r="P885" s="590"/>
      <c r="Q885" s="590"/>
      <c r="R885" s="590"/>
      <c r="S885" s="590"/>
      <c r="T885" s="590"/>
      <c r="U885" s="590"/>
      <c r="V885" s="590"/>
      <c r="W885" s="590"/>
      <c r="X885" s="590"/>
      <c r="Y885" s="590"/>
      <c r="Z885" s="590"/>
    </row>
    <row r="886" spans="1:26" ht="15.75" customHeight="1">
      <c r="A886" s="590"/>
      <c r="B886" s="590"/>
      <c r="C886" s="590"/>
      <c r="D886" s="590"/>
      <c r="E886" s="590"/>
      <c r="F886" s="590"/>
      <c r="G886" s="590"/>
      <c r="H886" s="590"/>
      <c r="I886" s="590"/>
      <c r="J886" s="590"/>
      <c r="K886" s="590"/>
      <c r="L886" s="590"/>
      <c r="M886" s="590"/>
      <c r="N886" s="590"/>
      <c r="O886" s="590"/>
      <c r="P886" s="590"/>
      <c r="Q886" s="590"/>
      <c r="R886" s="590"/>
      <c r="S886" s="590"/>
      <c r="T886" s="590"/>
      <c r="U886" s="590"/>
      <c r="V886" s="590"/>
      <c r="W886" s="590"/>
      <c r="X886" s="590"/>
      <c r="Y886" s="590"/>
      <c r="Z886" s="590"/>
    </row>
    <row r="887" spans="1:26" ht="15.75" customHeight="1">
      <c r="A887" s="590"/>
      <c r="B887" s="590"/>
      <c r="C887" s="590"/>
      <c r="D887" s="590"/>
      <c r="E887" s="590"/>
      <c r="F887" s="590"/>
      <c r="G887" s="590"/>
      <c r="H887" s="590"/>
      <c r="I887" s="590"/>
      <c r="J887" s="590"/>
      <c r="K887" s="590"/>
      <c r="L887" s="590"/>
      <c r="M887" s="590"/>
      <c r="N887" s="590"/>
      <c r="O887" s="590"/>
      <c r="P887" s="590"/>
      <c r="Q887" s="590"/>
      <c r="R887" s="590"/>
      <c r="S887" s="590"/>
      <c r="T887" s="590"/>
      <c r="U887" s="590"/>
      <c r="V887" s="590"/>
      <c r="W887" s="590"/>
      <c r="X887" s="590"/>
      <c r="Y887" s="590"/>
      <c r="Z887" s="590"/>
    </row>
    <row r="888" spans="1:26" ht="15.75" customHeight="1">
      <c r="A888" s="590"/>
      <c r="B888" s="590"/>
      <c r="C888" s="590"/>
      <c r="D888" s="590"/>
      <c r="E888" s="590"/>
      <c r="F888" s="590"/>
      <c r="G888" s="590"/>
      <c r="H888" s="590"/>
      <c r="I888" s="590"/>
      <c r="J888" s="590"/>
      <c r="K888" s="590"/>
      <c r="L888" s="590"/>
      <c r="M888" s="590"/>
      <c r="N888" s="590"/>
      <c r="O888" s="590"/>
      <c r="P888" s="590"/>
      <c r="Q888" s="590"/>
      <c r="R888" s="590"/>
      <c r="S888" s="590"/>
      <c r="T888" s="590"/>
      <c r="U888" s="590"/>
      <c r="V888" s="590"/>
      <c r="W888" s="590"/>
      <c r="X888" s="590"/>
      <c r="Y888" s="590"/>
      <c r="Z888" s="590"/>
    </row>
    <row r="889" spans="1:26" ht="15.75" customHeight="1">
      <c r="A889" s="590"/>
      <c r="B889" s="590"/>
      <c r="C889" s="590"/>
      <c r="D889" s="590"/>
      <c r="E889" s="590"/>
      <c r="F889" s="590"/>
      <c r="G889" s="590"/>
      <c r="H889" s="590"/>
      <c r="I889" s="590"/>
      <c r="J889" s="590"/>
      <c r="K889" s="590"/>
      <c r="L889" s="590"/>
      <c r="M889" s="590"/>
      <c r="N889" s="590"/>
      <c r="O889" s="590"/>
      <c r="P889" s="590"/>
      <c r="Q889" s="590"/>
      <c r="R889" s="590"/>
      <c r="S889" s="590"/>
      <c r="T889" s="590"/>
      <c r="U889" s="590"/>
      <c r="V889" s="590"/>
      <c r="W889" s="590"/>
      <c r="X889" s="590"/>
      <c r="Y889" s="590"/>
      <c r="Z889" s="590"/>
    </row>
    <row r="890" spans="1:26" ht="15.75" customHeight="1">
      <c r="A890" s="590"/>
      <c r="B890" s="590"/>
      <c r="C890" s="590"/>
      <c r="D890" s="590"/>
      <c r="E890" s="590"/>
      <c r="F890" s="590"/>
      <c r="G890" s="590"/>
      <c r="H890" s="590"/>
      <c r="I890" s="590"/>
      <c r="J890" s="590"/>
      <c r="K890" s="590"/>
      <c r="L890" s="590"/>
      <c r="M890" s="590"/>
      <c r="N890" s="590"/>
      <c r="O890" s="590"/>
      <c r="P890" s="590"/>
      <c r="Q890" s="590"/>
      <c r="R890" s="590"/>
      <c r="S890" s="590"/>
      <c r="T890" s="590"/>
      <c r="U890" s="590"/>
      <c r="V890" s="590"/>
      <c r="W890" s="590"/>
      <c r="X890" s="590"/>
      <c r="Y890" s="590"/>
      <c r="Z890" s="590"/>
    </row>
    <row r="891" spans="1:26" ht="15.75" customHeight="1">
      <c r="A891" s="590"/>
      <c r="B891" s="590"/>
      <c r="C891" s="590"/>
      <c r="D891" s="590"/>
      <c r="E891" s="590"/>
      <c r="F891" s="590"/>
      <c r="G891" s="590"/>
      <c r="H891" s="590"/>
      <c r="I891" s="590"/>
      <c r="J891" s="590"/>
      <c r="K891" s="590"/>
      <c r="L891" s="590"/>
      <c r="M891" s="590"/>
      <c r="N891" s="590"/>
      <c r="O891" s="590"/>
      <c r="P891" s="590"/>
      <c r="Q891" s="590"/>
      <c r="R891" s="590"/>
      <c r="S891" s="590"/>
      <c r="T891" s="590"/>
      <c r="U891" s="590"/>
      <c r="V891" s="590"/>
      <c r="W891" s="590"/>
      <c r="X891" s="590"/>
      <c r="Y891" s="590"/>
      <c r="Z891" s="590"/>
    </row>
    <row r="892" spans="1:26" ht="15.75" customHeight="1">
      <c r="A892" s="590"/>
      <c r="B892" s="590"/>
      <c r="C892" s="590"/>
      <c r="D892" s="590"/>
      <c r="E892" s="590"/>
      <c r="F892" s="590"/>
      <c r="G892" s="590"/>
      <c r="H892" s="590"/>
      <c r="I892" s="590"/>
      <c r="J892" s="590"/>
      <c r="K892" s="590"/>
      <c r="L892" s="590"/>
      <c r="M892" s="590"/>
      <c r="N892" s="590"/>
      <c r="O892" s="590"/>
      <c r="P892" s="590"/>
      <c r="Q892" s="590"/>
      <c r="R892" s="590"/>
      <c r="S892" s="590"/>
      <c r="T892" s="590"/>
      <c r="U892" s="590"/>
      <c r="V892" s="590"/>
      <c r="W892" s="590"/>
      <c r="X892" s="590"/>
      <c r="Y892" s="590"/>
      <c r="Z892" s="590"/>
    </row>
    <row r="893" spans="1:26" ht="15.75" customHeight="1">
      <c r="A893" s="590"/>
      <c r="B893" s="590"/>
      <c r="C893" s="590"/>
      <c r="D893" s="590"/>
      <c r="E893" s="590"/>
      <c r="F893" s="590"/>
      <c r="G893" s="590"/>
      <c r="H893" s="590"/>
      <c r="I893" s="590"/>
      <c r="J893" s="590"/>
      <c r="K893" s="590"/>
      <c r="L893" s="590"/>
      <c r="M893" s="590"/>
      <c r="N893" s="590"/>
      <c r="O893" s="590"/>
      <c r="P893" s="590"/>
      <c r="Q893" s="590"/>
      <c r="R893" s="590"/>
      <c r="S893" s="590"/>
      <c r="T893" s="590"/>
      <c r="U893" s="590"/>
      <c r="V893" s="590"/>
      <c r="W893" s="590"/>
      <c r="X893" s="590"/>
      <c r="Y893" s="590"/>
      <c r="Z893" s="590"/>
    </row>
    <row r="894" spans="1:26" ht="15.75" customHeight="1">
      <c r="A894" s="590"/>
      <c r="B894" s="590"/>
      <c r="C894" s="590"/>
      <c r="D894" s="590"/>
      <c r="E894" s="590"/>
      <c r="F894" s="590"/>
      <c r="G894" s="590"/>
      <c r="H894" s="590"/>
      <c r="I894" s="590"/>
      <c r="J894" s="590"/>
      <c r="K894" s="590"/>
      <c r="L894" s="590"/>
      <c r="M894" s="590"/>
      <c r="N894" s="590"/>
      <c r="O894" s="590"/>
      <c r="P894" s="590"/>
      <c r="Q894" s="590"/>
      <c r="R894" s="590"/>
      <c r="S894" s="590"/>
      <c r="T894" s="590"/>
      <c r="U894" s="590"/>
      <c r="V894" s="590"/>
      <c r="W894" s="590"/>
      <c r="X894" s="590"/>
      <c r="Y894" s="590"/>
      <c r="Z894" s="590"/>
    </row>
    <row r="895" spans="1:26" ht="15.75" customHeight="1">
      <c r="A895" s="590"/>
      <c r="B895" s="590"/>
      <c r="C895" s="590"/>
      <c r="D895" s="590"/>
      <c r="E895" s="590"/>
      <c r="F895" s="590"/>
      <c r="G895" s="590"/>
      <c r="H895" s="590"/>
      <c r="I895" s="590"/>
      <c r="J895" s="590"/>
      <c r="K895" s="590"/>
      <c r="L895" s="590"/>
      <c r="M895" s="590"/>
      <c r="N895" s="590"/>
      <c r="O895" s="590"/>
      <c r="P895" s="590"/>
      <c r="Q895" s="590"/>
      <c r="R895" s="590"/>
      <c r="S895" s="590"/>
      <c r="T895" s="590"/>
      <c r="U895" s="590"/>
      <c r="V895" s="590"/>
      <c r="W895" s="590"/>
      <c r="X895" s="590"/>
      <c r="Y895" s="590"/>
      <c r="Z895" s="590"/>
    </row>
    <row r="896" spans="1:26" ht="15.75" customHeight="1">
      <c r="A896" s="590"/>
      <c r="B896" s="590"/>
      <c r="C896" s="590"/>
      <c r="D896" s="590"/>
      <c r="E896" s="590"/>
      <c r="F896" s="590"/>
      <c r="G896" s="590"/>
      <c r="H896" s="590"/>
      <c r="I896" s="590"/>
      <c r="J896" s="590"/>
      <c r="K896" s="590"/>
      <c r="L896" s="590"/>
      <c r="M896" s="590"/>
      <c r="N896" s="590"/>
      <c r="O896" s="590"/>
      <c r="P896" s="590"/>
      <c r="Q896" s="590"/>
      <c r="R896" s="590"/>
      <c r="S896" s="590"/>
      <c r="T896" s="590"/>
      <c r="U896" s="590"/>
      <c r="V896" s="590"/>
      <c r="W896" s="590"/>
      <c r="X896" s="590"/>
      <c r="Y896" s="590"/>
      <c r="Z896" s="590"/>
    </row>
    <row r="897" spans="1:26" ht="15.75" customHeight="1">
      <c r="A897" s="590"/>
      <c r="B897" s="590"/>
      <c r="C897" s="590"/>
      <c r="D897" s="590"/>
      <c r="E897" s="590"/>
      <c r="F897" s="590"/>
      <c r="G897" s="590"/>
      <c r="H897" s="590"/>
      <c r="I897" s="590"/>
      <c r="J897" s="590"/>
      <c r="K897" s="590"/>
      <c r="L897" s="590"/>
      <c r="M897" s="590"/>
      <c r="N897" s="590"/>
      <c r="O897" s="590"/>
      <c r="P897" s="590"/>
      <c r="Q897" s="590"/>
      <c r="R897" s="590"/>
      <c r="S897" s="590"/>
      <c r="T897" s="590"/>
      <c r="U897" s="590"/>
      <c r="V897" s="590"/>
      <c r="W897" s="590"/>
      <c r="X897" s="590"/>
      <c r="Y897" s="590"/>
      <c r="Z897" s="590"/>
    </row>
    <row r="898" spans="1:26" ht="15.75" customHeight="1">
      <c r="A898" s="590"/>
      <c r="B898" s="590"/>
      <c r="C898" s="590"/>
      <c r="D898" s="590"/>
      <c r="E898" s="590"/>
      <c r="F898" s="590"/>
      <c r="G898" s="590"/>
      <c r="H898" s="590"/>
      <c r="I898" s="590"/>
      <c r="J898" s="590"/>
      <c r="K898" s="590"/>
      <c r="L898" s="590"/>
      <c r="M898" s="590"/>
      <c r="N898" s="590"/>
      <c r="O898" s="590"/>
      <c r="P898" s="590"/>
      <c r="Q898" s="590"/>
      <c r="R898" s="590"/>
      <c r="S898" s="590"/>
      <c r="T898" s="590"/>
      <c r="U898" s="590"/>
      <c r="V898" s="590"/>
      <c r="W898" s="590"/>
      <c r="X898" s="590"/>
      <c r="Y898" s="590"/>
      <c r="Z898" s="590"/>
    </row>
    <row r="899" spans="1:26" ht="15.75" customHeight="1">
      <c r="A899" s="590"/>
      <c r="B899" s="590"/>
      <c r="C899" s="590"/>
      <c r="D899" s="590"/>
      <c r="E899" s="590"/>
      <c r="F899" s="590"/>
      <c r="G899" s="590"/>
      <c r="H899" s="590"/>
      <c r="I899" s="590"/>
      <c r="J899" s="590"/>
      <c r="K899" s="590"/>
      <c r="L899" s="590"/>
      <c r="M899" s="590"/>
      <c r="N899" s="590"/>
      <c r="O899" s="590"/>
      <c r="P899" s="590"/>
      <c r="Q899" s="590"/>
      <c r="R899" s="590"/>
      <c r="S899" s="590"/>
      <c r="T899" s="590"/>
      <c r="U899" s="590"/>
      <c r="V899" s="590"/>
      <c r="W899" s="590"/>
      <c r="X899" s="590"/>
      <c r="Y899" s="590"/>
      <c r="Z899" s="590"/>
    </row>
    <row r="900" spans="1:26" ht="15.75" customHeight="1">
      <c r="A900" s="590"/>
      <c r="B900" s="590"/>
      <c r="C900" s="590"/>
      <c r="D900" s="590"/>
      <c r="E900" s="590"/>
      <c r="F900" s="590"/>
      <c r="G900" s="590"/>
      <c r="H900" s="590"/>
      <c r="I900" s="590"/>
      <c r="J900" s="590"/>
      <c r="K900" s="590"/>
      <c r="L900" s="590"/>
      <c r="M900" s="590"/>
      <c r="N900" s="590"/>
      <c r="O900" s="590"/>
      <c r="P900" s="590"/>
      <c r="Q900" s="590"/>
      <c r="R900" s="590"/>
      <c r="S900" s="590"/>
      <c r="T900" s="590"/>
      <c r="U900" s="590"/>
      <c r="V900" s="590"/>
      <c r="W900" s="590"/>
      <c r="X900" s="590"/>
      <c r="Y900" s="590"/>
      <c r="Z900" s="590"/>
    </row>
    <row r="901" spans="1:26" ht="15.75" customHeight="1">
      <c r="A901" s="590"/>
      <c r="B901" s="590"/>
      <c r="C901" s="590"/>
      <c r="D901" s="590"/>
      <c r="E901" s="590"/>
      <c r="F901" s="590"/>
      <c r="G901" s="590"/>
      <c r="H901" s="590"/>
      <c r="I901" s="590"/>
      <c r="J901" s="590"/>
      <c r="K901" s="590"/>
      <c r="L901" s="590"/>
      <c r="M901" s="590"/>
      <c r="N901" s="590"/>
      <c r="O901" s="590"/>
      <c r="P901" s="590"/>
      <c r="Q901" s="590"/>
      <c r="R901" s="590"/>
      <c r="S901" s="590"/>
      <c r="T901" s="590"/>
      <c r="U901" s="590"/>
      <c r="V901" s="590"/>
      <c r="W901" s="590"/>
      <c r="X901" s="590"/>
      <c r="Y901" s="590"/>
      <c r="Z901" s="590"/>
    </row>
    <row r="902" spans="1:26" ht="15.75" customHeight="1">
      <c r="A902" s="590"/>
      <c r="B902" s="590"/>
      <c r="C902" s="590"/>
      <c r="D902" s="590"/>
      <c r="E902" s="590"/>
      <c r="F902" s="590"/>
      <c r="G902" s="590"/>
      <c r="H902" s="590"/>
      <c r="I902" s="590"/>
      <c r="J902" s="590"/>
      <c r="K902" s="590"/>
      <c r="L902" s="590"/>
      <c r="M902" s="590"/>
      <c r="N902" s="590"/>
      <c r="O902" s="590"/>
      <c r="P902" s="590"/>
      <c r="Q902" s="590"/>
      <c r="R902" s="590"/>
      <c r="S902" s="590"/>
      <c r="T902" s="590"/>
      <c r="U902" s="590"/>
      <c r="V902" s="590"/>
      <c r="W902" s="590"/>
      <c r="X902" s="590"/>
      <c r="Y902" s="590"/>
      <c r="Z902" s="590"/>
    </row>
    <row r="903" spans="1:26" ht="15.75" customHeight="1">
      <c r="A903" s="590"/>
      <c r="B903" s="590"/>
      <c r="C903" s="590"/>
      <c r="D903" s="590"/>
      <c r="E903" s="590"/>
      <c r="F903" s="590"/>
      <c r="G903" s="590"/>
      <c r="H903" s="590"/>
      <c r="I903" s="590"/>
      <c r="J903" s="590"/>
      <c r="K903" s="590"/>
      <c r="L903" s="590"/>
      <c r="M903" s="590"/>
      <c r="N903" s="590"/>
      <c r="O903" s="590"/>
      <c r="P903" s="590"/>
      <c r="Q903" s="590"/>
      <c r="R903" s="590"/>
      <c r="S903" s="590"/>
      <c r="T903" s="590"/>
      <c r="U903" s="590"/>
      <c r="V903" s="590"/>
      <c r="W903" s="590"/>
      <c r="X903" s="590"/>
      <c r="Y903" s="590"/>
      <c r="Z903" s="590"/>
    </row>
    <row r="904" spans="1:26" ht="15.75" customHeight="1">
      <c r="A904" s="590"/>
      <c r="B904" s="590"/>
      <c r="C904" s="590"/>
      <c r="D904" s="590"/>
      <c r="E904" s="590"/>
      <c r="F904" s="590"/>
      <c r="G904" s="590"/>
      <c r="H904" s="590"/>
      <c r="I904" s="590"/>
      <c r="J904" s="590"/>
      <c r="K904" s="590"/>
      <c r="L904" s="590"/>
      <c r="M904" s="590"/>
      <c r="N904" s="590"/>
      <c r="O904" s="590"/>
      <c r="P904" s="590"/>
      <c r="Q904" s="590"/>
      <c r="R904" s="590"/>
      <c r="S904" s="590"/>
      <c r="T904" s="590"/>
      <c r="U904" s="590"/>
      <c r="V904" s="590"/>
      <c r="W904" s="590"/>
      <c r="X904" s="590"/>
      <c r="Y904" s="590"/>
      <c r="Z904" s="590"/>
    </row>
    <row r="905" spans="1:26" ht="15.75" customHeight="1">
      <c r="A905" s="590"/>
      <c r="B905" s="590"/>
      <c r="C905" s="590"/>
      <c r="D905" s="590"/>
      <c r="E905" s="590"/>
      <c r="F905" s="590"/>
      <c r="G905" s="590"/>
      <c r="H905" s="590"/>
      <c r="I905" s="590"/>
      <c r="J905" s="590"/>
      <c r="K905" s="590"/>
      <c r="L905" s="590"/>
      <c r="M905" s="590"/>
      <c r="N905" s="590"/>
      <c r="O905" s="590"/>
      <c r="P905" s="590"/>
      <c r="Q905" s="590"/>
      <c r="R905" s="590"/>
      <c r="S905" s="590"/>
      <c r="T905" s="590"/>
      <c r="U905" s="590"/>
      <c r="V905" s="590"/>
      <c r="W905" s="590"/>
      <c r="X905" s="590"/>
      <c r="Y905" s="590"/>
      <c r="Z905" s="590"/>
    </row>
    <row r="906" spans="1:26" ht="15.75" customHeight="1">
      <c r="A906" s="590"/>
      <c r="B906" s="590"/>
      <c r="C906" s="590"/>
      <c r="D906" s="590"/>
      <c r="E906" s="590"/>
      <c r="F906" s="590"/>
      <c r="G906" s="590"/>
      <c r="H906" s="590"/>
      <c r="I906" s="590"/>
      <c r="J906" s="590"/>
      <c r="K906" s="590"/>
      <c r="L906" s="590"/>
      <c r="M906" s="590"/>
      <c r="N906" s="590"/>
      <c r="O906" s="590"/>
      <c r="P906" s="590"/>
      <c r="Q906" s="590"/>
      <c r="R906" s="590"/>
      <c r="S906" s="590"/>
      <c r="T906" s="590"/>
      <c r="U906" s="590"/>
      <c r="V906" s="590"/>
      <c r="W906" s="590"/>
      <c r="X906" s="590"/>
      <c r="Y906" s="590"/>
      <c r="Z906" s="590"/>
    </row>
    <row r="907" spans="1:26" ht="15.75" customHeight="1">
      <c r="A907" s="590"/>
      <c r="B907" s="590"/>
      <c r="C907" s="590"/>
      <c r="D907" s="590"/>
      <c r="E907" s="590"/>
      <c r="F907" s="590"/>
      <c r="G907" s="590"/>
      <c r="H907" s="590"/>
      <c r="I907" s="590"/>
      <c r="J907" s="590"/>
      <c r="K907" s="590"/>
      <c r="L907" s="590"/>
      <c r="M907" s="590"/>
      <c r="N907" s="590"/>
      <c r="O907" s="590"/>
      <c r="P907" s="590"/>
      <c r="Q907" s="590"/>
      <c r="R907" s="590"/>
      <c r="S907" s="590"/>
      <c r="T907" s="590"/>
      <c r="U907" s="590"/>
      <c r="V907" s="590"/>
      <c r="W907" s="590"/>
      <c r="X907" s="590"/>
      <c r="Y907" s="590"/>
      <c r="Z907" s="590"/>
    </row>
    <row r="908" spans="1:26" ht="15.75" customHeight="1">
      <c r="A908" s="590"/>
      <c r="B908" s="590"/>
      <c r="C908" s="590"/>
      <c r="D908" s="590"/>
      <c r="E908" s="590"/>
      <c r="F908" s="590"/>
      <c r="G908" s="590"/>
      <c r="H908" s="590"/>
      <c r="I908" s="590"/>
      <c r="J908" s="590"/>
      <c r="K908" s="590"/>
      <c r="L908" s="590"/>
      <c r="M908" s="590"/>
      <c r="N908" s="590"/>
      <c r="O908" s="590"/>
      <c r="P908" s="590"/>
      <c r="Q908" s="590"/>
      <c r="R908" s="590"/>
      <c r="S908" s="590"/>
      <c r="T908" s="590"/>
      <c r="U908" s="590"/>
      <c r="V908" s="590"/>
      <c r="W908" s="590"/>
      <c r="X908" s="590"/>
      <c r="Y908" s="590"/>
      <c r="Z908" s="590"/>
    </row>
    <row r="909" spans="1:26" ht="15.75" customHeight="1">
      <c r="A909" s="590"/>
      <c r="B909" s="590"/>
      <c r="C909" s="590"/>
      <c r="D909" s="590"/>
      <c r="E909" s="590"/>
      <c r="F909" s="590"/>
      <c r="G909" s="590"/>
      <c r="H909" s="590"/>
      <c r="I909" s="590"/>
      <c r="J909" s="590"/>
      <c r="K909" s="590"/>
      <c r="L909" s="590"/>
      <c r="M909" s="590"/>
      <c r="N909" s="590"/>
      <c r="O909" s="590"/>
      <c r="P909" s="590"/>
      <c r="Q909" s="590"/>
      <c r="R909" s="590"/>
      <c r="S909" s="590"/>
      <c r="T909" s="590"/>
      <c r="U909" s="590"/>
      <c r="V909" s="590"/>
      <c r="W909" s="590"/>
      <c r="X909" s="590"/>
      <c r="Y909" s="590"/>
      <c r="Z909" s="590"/>
    </row>
    <row r="910" spans="1:26" ht="15.75" customHeight="1">
      <c r="A910" s="590"/>
      <c r="B910" s="590"/>
      <c r="C910" s="590"/>
      <c r="D910" s="590"/>
      <c r="E910" s="590"/>
      <c r="F910" s="590"/>
      <c r="G910" s="590"/>
      <c r="H910" s="590"/>
      <c r="I910" s="590"/>
      <c r="J910" s="590"/>
      <c r="K910" s="590"/>
      <c r="L910" s="590"/>
      <c r="M910" s="590"/>
      <c r="N910" s="590"/>
      <c r="O910" s="590"/>
      <c r="P910" s="590"/>
      <c r="Q910" s="590"/>
      <c r="R910" s="590"/>
      <c r="S910" s="590"/>
      <c r="T910" s="590"/>
      <c r="U910" s="590"/>
      <c r="V910" s="590"/>
      <c r="W910" s="590"/>
      <c r="X910" s="590"/>
      <c r="Y910" s="590"/>
      <c r="Z910" s="590"/>
    </row>
    <row r="911" spans="1:26" ht="15.75" customHeight="1">
      <c r="A911" s="590"/>
      <c r="B911" s="590"/>
      <c r="C911" s="590"/>
      <c r="D911" s="590"/>
      <c r="E911" s="590"/>
      <c r="F911" s="590"/>
      <c r="G911" s="590"/>
      <c r="H911" s="590"/>
      <c r="I911" s="590"/>
      <c r="J911" s="590"/>
      <c r="K911" s="590"/>
      <c r="L911" s="590"/>
      <c r="M911" s="590"/>
      <c r="N911" s="590"/>
      <c r="O911" s="590"/>
      <c r="P911" s="590"/>
      <c r="Q911" s="590"/>
      <c r="R911" s="590"/>
      <c r="S911" s="590"/>
      <c r="T911" s="590"/>
      <c r="U911" s="590"/>
      <c r="V911" s="590"/>
      <c r="W911" s="590"/>
      <c r="X911" s="590"/>
      <c r="Y911" s="590"/>
      <c r="Z911" s="590"/>
    </row>
    <row r="912" spans="1:26" ht="15.75" customHeight="1">
      <c r="A912" s="590"/>
      <c r="B912" s="590"/>
      <c r="C912" s="590"/>
      <c r="D912" s="590"/>
      <c r="E912" s="590"/>
      <c r="F912" s="590"/>
      <c r="G912" s="590"/>
      <c r="H912" s="590"/>
      <c r="I912" s="590"/>
      <c r="J912" s="590"/>
      <c r="K912" s="590"/>
      <c r="L912" s="590"/>
      <c r="M912" s="590"/>
      <c r="N912" s="590"/>
      <c r="O912" s="590"/>
      <c r="P912" s="590"/>
      <c r="Q912" s="590"/>
      <c r="R912" s="590"/>
      <c r="S912" s="590"/>
      <c r="T912" s="590"/>
      <c r="U912" s="590"/>
      <c r="V912" s="590"/>
      <c r="W912" s="590"/>
      <c r="X912" s="590"/>
      <c r="Y912" s="590"/>
      <c r="Z912" s="590"/>
    </row>
    <row r="913" spans="1:26" ht="15.75" customHeight="1">
      <c r="A913" s="590"/>
      <c r="B913" s="590"/>
      <c r="C913" s="590"/>
      <c r="D913" s="590"/>
      <c r="E913" s="590"/>
      <c r="F913" s="590"/>
      <c r="G913" s="590"/>
      <c r="H913" s="590"/>
      <c r="I913" s="590"/>
      <c r="J913" s="590"/>
      <c r="K913" s="590"/>
      <c r="L913" s="590"/>
      <c r="M913" s="590"/>
      <c r="N913" s="590"/>
      <c r="O913" s="590"/>
      <c r="P913" s="590"/>
      <c r="Q913" s="590"/>
      <c r="R913" s="590"/>
      <c r="S913" s="590"/>
      <c r="T913" s="590"/>
      <c r="U913" s="590"/>
      <c r="V913" s="590"/>
      <c r="W913" s="590"/>
      <c r="X913" s="590"/>
      <c r="Y913" s="590"/>
      <c r="Z913" s="590"/>
    </row>
    <row r="914" spans="1:26" ht="15.75" customHeight="1">
      <c r="A914" s="590"/>
      <c r="B914" s="590"/>
      <c r="C914" s="590"/>
      <c r="D914" s="590"/>
      <c r="E914" s="590"/>
      <c r="F914" s="590"/>
      <c r="G914" s="590"/>
      <c r="H914" s="590"/>
      <c r="I914" s="590"/>
      <c r="J914" s="590"/>
      <c r="K914" s="590"/>
      <c r="L914" s="590"/>
      <c r="M914" s="590"/>
      <c r="N914" s="590"/>
      <c r="O914" s="590"/>
      <c r="P914" s="590"/>
      <c r="Q914" s="590"/>
      <c r="R914" s="590"/>
      <c r="S914" s="590"/>
      <c r="T914" s="590"/>
      <c r="U914" s="590"/>
      <c r="V914" s="590"/>
      <c r="W914" s="590"/>
      <c r="X914" s="590"/>
      <c r="Y914" s="590"/>
      <c r="Z914" s="590"/>
    </row>
    <row r="915" spans="1:26" ht="15.75" customHeight="1">
      <c r="A915" s="590"/>
      <c r="B915" s="590"/>
      <c r="C915" s="590"/>
      <c r="D915" s="590"/>
      <c r="E915" s="590"/>
      <c r="F915" s="590"/>
      <c r="G915" s="590"/>
      <c r="H915" s="590"/>
      <c r="I915" s="590"/>
      <c r="J915" s="590"/>
      <c r="K915" s="590"/>
      <c r="L915" s="590"/>
      <c r="M915" s="590"/>
      <c r="N915" s="590"/>
      <c r="O915" s="590"/>
      <c r="P915" s="590"/>
      <c r="Q915" s="590"/>
      <c r="R915" s="590"/>
      <c r="S915" s="590"/>
      <c r="T915" s="590"/>
      <c r="U915" s="590"/>
      <c r="V915" s="590"/>
      <c r="W915" s="590"/>
      <c r="X915" s="590"/>
      <c r="Y915" s="590"/>
      <c r="Z915" s="590"/>
    </row>
    <row r="916" spans="1:26" ht="15.75" customHeight="1">
      <c r="A916" s="590"/>
      <c r="B916" s="590"/>
      <c r="C916" s="590"/>
      <c r="D916" s="590"/>
      <c r="E916" s="590"/>
      <c r="F916" s="590"/>
      <c r="G916" s="590"/>
      <c r="H916" s="590"/>
      <c r="I916" s="590"/>
      <c r="J916" s="590"/>
      <c r="K916" s="590"/>
      <c r="L916" s="590"/>
      <c r="M916" s="590"/>
      <c r="N916" s="590"/>
      <c r="O916" s="590"/>
      <c r="P916" s="590"/>
      <c r="Q916" s="590"/>
      <c r="R916" s="590"/>
      <c r="S916" s="590"/>
      <c r="T916" s="590"/>
      <c r="U916" s="590"/>
      <c r="V916" s="590"/>
      <c r="W916" s="590"/>
      <c r="X916" s="590"/>
      <c r="Y916" s="590"/>
      <c r="Z916" s="590"/>
    </row>
    <row r="917" spans="1:26" ht="15.75" customHeight="1">
      <c r="A917" s="590"/>
      <c r="B917" s="590"/>
      <c r="C917" s="590"/>
      <c r="D917" s="590"/>
      <c r="E917" s="590"/>
      <c r="F917" s="590"/>
      <c r="G917" s="590"/>
      <c r="H917" s="590"/>
      <c r="I917" s="590"/>
      <c r="J917" s="590"/>
      <c r="K917" s="590"/>
      <c r="L917" s="590"/>
      <c r="M917" s="590"/>
      <c r="N917" s="590"/>
      <c r="O917" s="590"/>
      <c r="P917" s="590"/>
      <c r="Q917" s="590"/>
      <c r="R917" s="590"/>
      <c r="S917" s="590"/>
      <c r="T917" s="590"/>
      <c r="U917" s="590"/>
      <c r="V917" s="590"/>
      <c r="W917" s="590"/>
      <c r="X917" s="590"/>
      <c r="Y917" s="590"/>
      <c r="Z917" s="590"/>
    </row>
    <row r="918" spans="1:26" ht="15.75" customHeight="1">
      <c r="A918" s="590"/>
      <c r="B918" s="590"/>
      <c r="C918" s="590"/>
      <c r="D918" s="590"/>
      <c r="E918" s="590"/>
      <c r="F918" s="590"/>
      <c r="G918" s="590"/>
      <c r="H918" s="590"/>
      <c r="I918" s="590"/>
      <c r="J918" s="590"/>
      <c r="K918" s="590"/>
      <c r="L918" s="590"/>
      <c r="M918" s="590"/>
      <c r="N918" s="590"/>
      <c r="O918" s="590"/>
      <c r="P918" s="590"/>
      <c r="Q918" s="590"/>
      <c r="R918" s="590"/>
      <c r="S918" s="590"/>
      <c r="T918" s="590"/>
      <c r="U918" s="590"/>
      <c r="V918" s="590"/>
      <c r="W918" s="590"/>
      <c r="X918" s="590"/>
      <c r="Y918" s="590"/>
      <c r="Z918" s="590"/>
    </row>
    <row r="919" spans="1:26" ht="15.75" customHeight="1">
      <c r="A919" s="590"/>
      <c r="B919" s="590"/>
      <c r="C919" s="590"/>
      <c r="D919" s="590"/>
      <c r="E919" s="590"/>
      <c r="F919" s="590"/>
      <c r="G919" s="590"/>
      <c r="H919" s="590"/>
      <c r="I919" s="590"/>
      <c r="J919" s="590"/>
      <c r="K919" s="590"/>
      <c r="L919" s="590"/>
      <c r="M919" s="590"/>
      <c r="N919" s="590"/>
      <c r="O919" s="590"/>
      <c r="P919" s="590"/>
      <c r="Q919" s="590"/>
      <c r="R919" s="590"/>
      <c r="S919" s="590"/>
      <c r="T919" s="590"/>
      <c r="U919" s="590"/>
      <c r="V919" s="590"/>
      <c r="W919" s="590"/>
      <c r="X919" s="590"/>
      <c r="Y919" s="590"/>
      <c r="Z919" s="590"/>
    </row>
    <row r="920" spans="1:26" ht="15.75" customHeight="1">
      <c r="A920" s="590"/>
      <c r="B920" s="590"/>
      <c r="C920" s="590"/>
      <c r="D920" s="590"/>
      <c r="E920" s="590"/>
      <c r="F920" s="590"/>
      <c r="G920" s="590"/>
      <c r="H920" s="590"/>
      <c r="I920" s="590"/>
      <c r="J920" s="590"/>
      <c r="K920" s="590"/>
      <c r="L920" s="590"/>
      <c r="M920" s="590"/>
      <c r="N920" s="590"/>
      <c r="O920" s="590"/>
      <c r="P920" s="590"/>
      <c r="Q920" s="590"/>
      <c r="R920" s="590"/>
      <c r="S920" s="590"/>
      <c r="T920" s="590"/>
      <c r="U920" s="590"/>
      <c r="V920" s="590"/>
      <c r="W920" s="590"/>
      <c r="X920" s="590"/>
      <c r="Y920" s="590"/>
      <c r="Z920" s="590"/>
    </row>
    <row r="921" spans="1:26" ht="15.75" customHeight="1">
      <c r="A921" s="590"/>
      <c r="B921" s="590"/>
      <c r="C921" s="590"/>
      <c r="D921" s="590"/>
      <c r="E921" s="590"/>
      <c r="F921" s="590"/>
      <c r="G921" s="590"/>
      <c r="H921" s="590"/>
      <c r="I921" s="590"/>
      <c r="J921" s="590"/>
      <c r="K921" s="590"/>
      <c r="L921" s="590"/>
      <c r="M921" s="590"/>
      <c r="N921" s="590"/>
      <c r="O921" s="590"/>
      <c r="P921" s="590"/>
      <c r="Q921" s="590"/>
      <c r="R921" s="590"/>
      <c r="S921" s="590"/>
      <c r="T921" s="590"/>
      <c r="U921" s="590"/>
      <c r="V921" s="590"/>
      <c r="W921" s="590"/>
      <c r="X921" s="590"/>
      <c r="Y921" s="590"/>
      <c r="Z921" s="590"/>
    </row>
    <row r="922" spans="1:26" ht="15.75" customHeight="1">
      <c r="A922" s="590"/>
      <c r="B922" s="590"/>
      <c r="C922" s="590"/>
      <c r="D922" s="590"/>
      <c r="E922" s="590"/>
      <c r="F922" s="590"/>
      <c r="G922" s="590"/>
      <c r="H922" s="590"/>
      <c r="I922" s="590"/>
      <c r="J922" s="590"/>
      <c r="K922" s="590"/>
      <c r="L922" s="590"/>
      <c r="M922" s="590"/>
      <c r="N922" s="590"/>
      <c r="O922" s="590"/>
      <c r="P922" s="590"/>
      <c r="Q922" s="590"/>
      <c r="R922" s="590"/>
      <c r="S922" s="590"/>
      <c r="T922" s="590"/>
      <c r="U922" s="590"/>
      <c r="V922" s="590"/>
      <c r="W922" s="590"/>
      <c r="X922" s="590"/>
      <c r="Y922" s="590"/>
      <c r="Z922" s="590"/>
    </row>
    <row r="923" spans="1:26" ht="15.75" customHeight="1">
      <c r="A923" s="590"/>
      <c r="B923" s="590"/>
      <c r="C923" s="590"/>
      <c r="D923" s="590"/>
      <c r="E923" s="590"/>
      <c r="F923" s="590"/>
      <c r="G923" s="590"/>
      <c r="H923" s="590"/>
      <c r="I923" s="590"/>
      <c r="J923" s="590"/>
      <c r="K923" s="590"/>
      <c r="L923" s="590"/>
      <c r="M923" s="590"/>
      <c r="N923" s="590"/>
      <c r="O923" s="590"/>
      <c r="P923" s="590"/>
      <c r="Q923" s="590"/>
      <c r="R923" s="590"/>
      <c r="S923" s="590"/>
      <c r="T923" s="590"/>
      <c r="U923" s="590"/>
      <c r="V923" s="590"/>
      <c r="W923" s="590"/>
      <c r="X923" s="590"/>
      <c r="Y923" s="590"/>
      <c r="Z923" s="590"/>
    </row>
    <row r="924" spans="1:26" ht="15.75" customHeight="1">
      <c r="A924" s="590"/>
      <c r="B924" s="590"/>
      <c r="C924" s="590"/>
      <c r="D924" s="590"/>
      <c r="E924" s="590"/>
      <c r="F924" s="590"/>
      <c r="G924" s="590"/>
      <c r="H924" s="590"/>
      <c r="I924" s="590"/>
      <c r="J924" s="590"/>
      <c r="K924" s="590"/>
      <c r="L924" s="590"/>
      <c r="M924" s="590"/>
      <c r="N924" s="590"/>
      <c r="O924" s="590"/>
      <c r="P924" s="590"/>
      <c r="Q924" s="590"/>
      <c r="R924" s="590"/>
      <c r="S924" s="590"/>
      <c r="T924" s="590"/>
      <c r="U924" s="590"/>
      <c r="V924" s="590"/>
      <c r="W924" s="590"/>
      <c r="X924" s="590"/>
      <c r="Y924" s="590"/>
      <c r="Z924" s="590"/>
    </row>
    <row r="925" spans="1:26" ht="15.75" customHeight="1">
      <c r="A925" s="590"/>
      <c r="B925" s="590"/>
      <c r="C925" s="590"/>
      <c r="D925" s="590"/>
      <c r="E925" s="590"/>
      <c r="F925" s="590"/>
      <c r="G925" s="590"/>
      <c r="H925" s="590"/>
      <c r="I925" s="590"/>
      <c r="J925" s="590"/>
      <c r="K925" s="590"/>
      <c r="L925" s="590"/>
      <c r="M925" s="590"/>
      <c r="N925" s="590"/>
      <c r="O925" s="590"/>
      <c r="P925" s="590"/>
      <c r="Q925" s="590"/>
      <c r="R925" s="590"/>
      <c r="S925" s="590"/>
      <c r="T925" s="590"/>
      <c r="U925" s="590"/>
      <c r="V925" s="590"/>
      <c r="W925" s="590"/>
      <c r="X925" s="590"/>
      <c r="Y925" s="590"/>
      <c r="Z925" s="590"/>
    </row>
    <row r="926" spans="1:26" ht="15.75" customHeight="1">
      <c r="A926" s="590"/>
      <c r="B926" s="590"/>
      <c r="C926" s="590"/>
      <c r="D926" s="590"/>
      <c r="E926" s="590"/>
      <c r="F926" s="590"/>
      <c r="G926" s="590"/>
      <c r="H926" s="590"/>
      <c r="I926" s="590"/>
      <c r="J926" s="590"/>
      <c r="K926" s="590"/>
      <c r="L926" s="590"/>
      <c r="M926" s="590"/>
      <c r="N926" s="590"/>
      <c r="O926" s="590"/>
      <c r="P926" s="590"/>
      <c r="Q926" s="590"/>
      <c r="R926" s="590"/>
      <c r="S926" s="590"/>
      <c r="T926" s="590"/>
      <c r="U926" s="590"/>
      <c r="V926" s="590"/>
      <c r="W926" s="590"/>
      <c r="X926" s="590"/>
      <c r="Y926" s="590"/>
      <c r="Z926" s="590"/>
    </row>
    <row r="927" spans="1:26" ht="15.75" customHeight="1">
      <c r="A927" s="590"/>
      <c r="B927" s="590"/>
      <c r="C927" s="590"/>
      <c r="D927" s="590"/>
      <c r="E927" s="590"/>
      <c r="F927" s="590"/>
      <c r="G927" s="590"/>
      <c r="H927" s="590"/>
      <c r="I927" s="590"/>
      <c r="J927" s="590"/>
      <c r="K927" s="590"/>
      <c r="L927" s="590"/>
      <c r="M927" s="590"/>
      <c r="N927" s="590"/>
      <c r="O927" s="590"/>
      <c r="P927" s="590"/>
      <c r="Q927" s="590"/>
      <c r="R927" s="590"/>
      <c r="S927" s="590"/>
      <c r="T927" s="590"/>
      <c r="U927" s="590"/>
      <c r="V927" s="590"/>
      <c r="W927" s="590"/>
      <c r="X927" s="590"/>
      <c r="Y927" s="590"/>
      <c r="Z927" s="590"/>
    </row>
    <row r="928" spans="1:26" ht="15.75" customHeight="1">
      <c r="A928" s="590"/>
      <c r="B928" s="590"/>
      <c r="C928" s="590"/>
      <c r="D928" s="590"/>
      <c r="E928" s="590"/>
      <c r="F928" s="590"/>
      <c r="G928" s="590"/>
      <c r="H928" s="590"/>
      <c r="I928" s="590"/>
      <c r="J928" s="590"/>
      <c r="K928" s="590"/>
      <c r="L928" s="590"/>
      <c r="M928" s="590"/>
      <c r="N928" s="590"/>
      <c r="O928" s="590"/>
      <c r="P928" s="590"/>
      <c r="Q928" s="590"/>
      <c r="R928" s="590"/>
      <c r="S928" s="590"/>
      <c r="T928" s="590"/>
      <c r="U928" s="590"/>
      <c r="V928" s="590"/>
      <c r="W928" s="590"/>
      <c r="X928" s="590"/>
      <c r="Y928" s="590"/>
      <c r="Z928" s="590"/>
    </row>
    <row r="929" spans="1:26" ht="15.75" customHeight="1">
      <c r="A929" s="590"/>
      <c r="B929" s="590"/>
      <c r="C929" s="590"/>
      <c r="D929" s="590"/>
      <c r="E929" s="590"/>
      <c r="F929" s="590"/>
      <c r="G929" s="590"/>
      <c r="H929" s="590"/>
      <c r="I929" s="590"/>
      <c r="J929" s="590"/>
      <c r="K929" s="590"/>
      <c r="L929" s="590"/>
      <c r="M929" s="590"/>
      <c r="N929" s="590"/>
      <c r="O929" s="590"/>
      <c r="P929" s="590"/>
      <c r="Q929" s="590"/>
      <c r="R929" s="590"/>
      <c r="S929" s="590"/>
      <c r="T929" s="590"/>
      <c r="U929" s="590"/>
      <c r="V929" s="590"/>
      <c r="W929" s="590"/>
      <c r="X929" s="590"/>
      <c r="Y929" s="590"/>
      <c r="Z929" s="590"/>
    </row>
    <row r="930" spans="1:26" ht="15.75" customHeight="1">
      <c r="A930" s="590"/>
      <c r="B930" s="590"/>
      <c r="C930" s="590"/>
      <c r="D930" s="590"/>
      <c r="E930" s="590"/>
      <c r="F930" s="590"/>
      <c r="G930" s="590"/>
      <c r="H930" s="590"/>
      <c r="I930" s="590"/>
      <c r="J930" s="590"/>
      <c r="K930" s="590"/>
      <c r="L930" s="590"/>
      <c r="M930" s="590"/>
      <c r="N930" s="590"/>
      <c r="O930" s="590"/>
      <c r="P930" s="590"/>
      <c r="Q930" s="590"/>
      <c r="R930" s="590"/>
      <c r="S930" s="590"/>
      <c r="T930" s="590"/>
      <c r="U930" s="590"/>
      <c r="V930" s="590"/>
      <c r="W930" s="590"/>
      <c r="X930" s="590"/>
      <c r="Y930" s="590"/>
      <c r="Z930" s="590"/>
    </row>
    <row r="931" spans="1:26" ht="15.75" customHeight="1">
      <c r="A931" s="590"/>
      <c r="B931" s="590"/>
      <c r="C931" s="590"/>
      <c r="D931" s="590"/>
      <c r="E931" s="590"/>
      <c r="F931" s="590"/>
      <c r="G931" s="590"/>
      <c r="H931" s="590"/>
      <c r="I931" s="590"/>
      <c r="J931" s="590"/>
      <c r="K931" s="590"/>
      <c r="L931" s="590"/>
      <c r="M931" s="590"/>
      <c r="N931" s="590"/>
      <c r="O931" s="590"/>
      <c r="P931" s="590"/>
      <c r="Q931" s="590"/>
      <c r="R931" s="590"/>
      <c r="S931" s="590"/>
      <c r="T931" s="590"/>
      <c r="U931" s="590"/>
      <c r="V931" s="590"/>
      <c r="W931" s="590"/>
      <c r="X931" s="590"/>
      <c r="Y931" s="590"/>
      <c r="Z931" s="590"/>
    </row>
    <row r="932" spans="1:26" ht="15.75" customHeight="1">
      <c r="A932" s="590"/>
      <c r="B932" s="590"/>
      <c r="C932" s="590"/>
      <c r="D932" s="590"/>
      <c r="E932" s="590"/>
      <c r="F932" s="590"/>
      <c r="G932" s="590"/>
      <c r="H932" s="590"/>
      <c r="I932" s="590"/>
      <c r="J932" s="590"/>
      <c r="K932" s="590"/>
      <c r="L932" s="590"/>
      <c r="M932" s="590"/>
      <c r="N932" s="590"/>
      <c r="O932" s="590"/>
      <c r="P932" s="590"/>
      <c r="Q932" s="590"/>
      <c r="R932" s="590"/>
      <c r="S932" s="590"/>
      <c r="T932" s="590"/>
      <c r="U932" s="590"/>
      <c r="V932" s="590"/>
      <c r="W932" s="590"/>
      <c r="X932" s="590"/>
      <c r="Y932" s="590"/>
      <c r="Z932" s="590"/>
    </row>
    <row r="933" spans="1:26" ht="15.75" customHeight="1">
      <c r="A933" s="590"/>
      <c r="B933" s="590"/>
      <c r="C933" s="590"/>
      <c r="D933" s="590"/>
      <c r="E933" s="590"/>
      <c r="F933" s="590"/>
      <c r="G933" s="590"/>
      <c r="H933" s="590"/>
      <c r="I933" s="590"/>
      <c r="J933" s="590"/>
      <c r="K933" s="590"/>
      <c r="L933" s="590"/>
      <c r="M933" s="590"/>
      <c r="N933" s="590"/>
      <c r="O933" s="590"/>
      <c r="P933" s="590"/>
      <c r="Q933" s="590"/>
      <c r="R933" s="590"/>
      <c r="S933" s="590"/>
      <c r="T933" s="590"/>
      <c r="U933" s="590"/>
      <c r="V933" s="590"/>
      <c r="W933" s="590"/>
      <c r="X933" s="590"/>
      <c r="Y933" s="590"/>
      <c r="Z933" s="590"/>
    </row>
    <row r="934" spans="1:26" ht="15.75" customHeight="1">
      <c r="A934" s="590"/>
      <c r="B934" s="590"/>
      <c r="C934" s="590"/>
      <c r="D934" s="590"/>
      <c r="E934" s="590"/>
      <c r="F934" s="590"/>
      <c r="G934" s="590"/>
      <c r="H934" s="590"/>
      <c r="I934" s="590"/>
      <c r="J934" s="590"/>
      <c r="K934" s="590"/>
      <c r="L934" s="590"/>
      <c r="M934" s="590"/>
      <c r="N934" s="590"/>
      <c r="O934" s="590"/>
      <c r="P934" s="590"/>
      <c r="Q934" s="590"/>
      <c r="R934" s="590"/>
      <c r="S934" s="590"/>
      <c r="T934" s="590"/>
      <c r="U934" s="590"/>
      <c r="V934" s="590"/>
      <c r="W934" s="590"/>
      <c r="X934" s="590"/>
      <c r="Y934" s="590"/>
      <c r="Z934" s="590"/>
    </row>
    <row r="935" spans="1:26" ht="15.75" customHeight="1">
      <c r="A935" s="590"/>
      <c r="B935" s="590"/>
      <c r="C935" s="590"/>
      <c r="D935" s="590"/>
      <c r="E935" s="590"/>
      <c r="F935" s="590"/>
      <c r="G935" s="590"/>
      <c r="H935" s="590"/>
      <c r="I935" s="590"/>
      <c r="J935" s="590"/>
      <c r="K935" s="590"/>
      <c r="L935" s="590"/>
      <c r="M935" s="590"/>
      <c r="N935" s="590"/>
      <c r="O935" s="590"/>
      <c r="P935" s="590"/>
      <c r="Q935" s="590"/>
      <c r="R935" s="590"/>
      <c r="S935" s="590"/>
      <c r="T935" s="590"/>
      <c r="U935" s="590"/>
      <c r="V935" s="590"/>
      <c r="W935" s="590"/>
      <c r="X935" s="590"/>
      <c r="Y935" s="590"/>
      <c r="Z935" s="590"/>
    </row>
    <row r="936" spans="1:26" ht="15.75" customHeight="1">
      <c r="A936" s="590"/>
      <c r="B936" s="590"/>
      <c r="C936" s="590"/>
      <c r="D936" s="590"/>
      <c r="E936" s="590"/>
      <c r="F936" s="590"/>
      <c r="G936" s="590"/>
      <c r="H936" s="590"/>
      <c r="I936" s="590"/>
      <c r="J936" s="590"/>
      <c r="K936" s="590"/>
      <c r="L936" s="590"/>
      <c r="M936" s="590"/>
      <c r="N936" s="590"/>
      <c r="O936" s="590"/>
      <c r="P936" s="590"/>
      <c r="Q936" s="590"/>
      <c r="R936" s="590"/>
      <c r="S936" s="590"/>
      <c r="T936" s="590"/>
      <c r="U936" s="590"/>
      <c r="V936" s="590"/>
      <c r="W936" s="590"/>
      <c r="X936" s="590"/>
      <c r="Y936" s="590"/>
      <c r="Z936" s="590"/>
    </row>
    <row r="937" spans="1:26" ht="15.75" customHeight="1">
      <c r="A937" s="590"/>
      <c r="B937" s="590"/>
      <c r="C937" s="590"/>
      <c r="D937" s="590"/>
      <c r="E937" s="590"/>
      <c r="F937" s="590"/>
      <c r="G937" s="590"/>
      <c r="H937" s="590"/>
      <c r="I937" s="590"/>
      <c r="J937" s="590"/>
      <c r="K937" s="590"/>
      <c r="L937" s="590"/>
      <c r="M937" s="590"/>
      <c r="N937" s="590"/>
      <c r="O937" s="590"/>
      <c r="P937" s="590"/>
      <c r="Q937" s="590"/>
      <c r="R937" s="590"/>
      <c r="S937" s="590"/>
      <c r="T937" s="590"/>
      <c r="U937" s="590"/>
      <c r="V937" s="590"/>
      <c r="W937" s="590"/>
      <c r="X937" s="590"/>
      <c r="Y937" s="590"/>
      <c r="Z937" s="590"/>
    </row>
    <row r="938" spans="1:26" ht="15.75" customHeight="1">
      <c r="A938" s="590"/>
      <c r="B938" s="590"/>
      <c r="C938" s="590"/>
      <c r="D938" s="590"/>
      <c r="E938" s="590"/>
      <c r="F938" s="590"/>
      <c r="G938" s="590"/>
      <c r="H938" s="590"/>
      <c r="I938" s="590"/>
      <c r="J938" s="590"/>
      <c r="K938" s="590"/>
      <c r="L938" s="590"/>
      <c r="M938" s="590"/>
      <c r="N938" s="590"/>
      <c r="O938" s="590"/>
      <c r="P938" s="590"/>
      <c r="Q938" s="590"/>
      <c r="R938" s="590"/>
      <c r="S938" s="590"/>
      <c r="T938" s="590"/>
      <c r="U938" s="590"/>
      <c r="V938" s="590"/>
      <c r="W938" s="590"/>
      <c r="X938" s="590"/>
      <c r="Y938" s="590"/>
      <c r="Z938" s="590"/>
    </row>
    <row r="939" spans="1:26" ht="15.75" customHeight="1">
      <c r="A939" s="590"/>
      <c r="B939" s="590"/>
      <c r="C939" s="590"/>
      <c r="D939" s="590"/>
      <c r="E939" s="590"/>
      <c r="F939" s="590"/>
      <c r="G939" s="590"/>
      <c r="H939" s="590"/>
      <c r="I939" s="590"/>
      <c r="J939" s="590"/>
      <c r="K939" s="590"/>
      <c r="L939" s="590"/>
      <c r="M939" s="590"/>
      <c r="N939" s="590"/>
      <c r="O939" s="590"/>
      <c r="P939" s="590"/>
      <c r="Q939" s="590"/>
      <c r="R939" s="590"/>
      <c r="S939" s="590"/>
      <c r="T939" s="590"/>
      <c r="U939" s="590"/>
      <c r="V939" s="590"/>
      <c r="W939" s="590"/>
      <c r="X939" s="590"/>
      <c r="Y939" s="590"/>
      <c r="Z939" s="590"/>
    </row>
    <row r="940" spans="1:26" ht="15.75" customHeight="1">
      <c r="A940" s="590"/>
      <c r="B940" s="590"/>
      <c r="C940" s="590"/>
      <c r="D940" s="590"/>
      <c r="E940" s="590"/>
      <c r="F940" s="590"/>
      <c r="G940" s="590"/>
      <c r="H940" s="590"/>
      <c r="I940" s="590"/>
      <c r="J940" s="590"/>
      <c r="K940" s="590"/>
      <c r="L940" s="590"/>
      <c r="M940" s="590"/>
      <c r="N940" s="590"/>
      <c r="O940" s="590"/>
      <c r="P940" s="590"/>
      <c r="Q940" s="590"/>
      <c r="R940" s="590"/>
      <c r="S940" s="590"/>
      <c r="T940" s="590"/>
      <c r="U940" s="590"/>
      <c r="V940" s="590"/>
      <c r="W940" s="590"/>
      <c r="X940" s="590"/>
      <c r="Y940" s="590"/>
      <c r="Z940" s="590"/>
    </row>
    <row r="941" spans="1:26" ht="15.75" customHeight="1">
      <c r="A941" s="590"/>
      <c r="B941" s="590"/>
      <c r="C941" s="590"/>
      <c r="D941" s="590"/>
      <c r="E941" s="590"/>
      <c r="F941" s="590"/>
      <c r="G941" s="590"/>
      <c r="H941" s="590"/>
      <c r="I941" s="590"/>
      <c r="J941" s="590"/>
      <c r="K941" s="590"/>
      <c r="L941" s="590"/>
      <c r="M941" s="590"/>
      <c r="N941" s="590"/>
      <c r="O941" s="590"/>
      <c r="P941" s="590"/>
      <c r="Q941" s="590"/>
      <c r="R941" s="590"/>
      <c r="S941" s="590"/>
      <c r="T941" s="590"/>
      <c r="U941" s="590"/>
      <c r="V941" s="590"/>
      <c r="W941" s="590"/>
      <c r="X941" s="590"/>
      <c r="Y941" s="590"/>
      <c r="Z941" s="590"/>
    </row>
    <row r="942" spans="1:26" ht="15.75" customHeight="1">
      <c r="A942" s="590"/>
      <c r="B942" s="590"/>
      <c r="C942" s="590"/>
      <c r="D942" s="590"/>
      <c r="E942" s="590"/>
      <c r="F942" s="590"/>
      <c r="G942" s="590"/>
      <c r="H942" s="590"/>
      <c r="I942" s="590"/>
      <c r="J942" s="590"/>
      <c r="K942" s="590"/>
      <c r="L942" s="590"/>
      <c r="M942" s="590"/>
      <c r="N942" s="590"/>
      <c r="O942" s="590"/>
      <c r="P942" s="590"/>
      <c r="Q942" s="590"/>
      <c r="R942" s="590"/>
      <c r="S942" s="590"/>
      <c r="T942" s="590"/>
      <c r="U942" s="590"/>
      <c r="V942" s="590"/>
      <c r="W942" s="590"/>
      <c r="X942" s="590"/>
      <c r="Y942" s="590"/>
      <c r="Z942" s="590"/>
    </row>
    <row r="943" spans="1:26" ht="15.75" customHeight="1">
      <c r="A943" s="590"/>
      <c r="B943" s="590"/>
      <c r="C943" s="590"/>
      <c r="D943" s="590"/>
      <c r="E943" s="590"/>
      <c r="F943" s="590"/>
      <c r="G943" s="590"/>
      <c r="H943" s="590"/>
      <c r="I943" s="590"/>
      <c r="J943" s="590"/>
      <c r="K943" s="590"/>
      <c r="L943" s="590"/>
      <c r="M943" s="590"/>
      <c r="N943" s="590"/>
      <c r="O943" s="590"/>
      <c r="P943" s="590"/>
      <c r="Q943" s="590"/>
      <c r="R943" s="590"/>
      <c r="S943" s="590"/>
      <c r="T943" s="590"/>
      <c r="U943" s="590"/>
      <c r="V943" s="590"/>
      <c r="W943" s="590"/>
      <c r="X943" s="590"/>
      <c r="Y943" s="590"/>
      <c r="Z943" s="590"/>
    </row>
    <row r="944" spans="1:26" ht="15.75" customHeight="1">
      <c r="A944" s="590"/>
      <c r="B944" s="590"/>
      <c r="C944" s="590"/>
      <c r="D944" s="590"/>
      <c r="E944" s="590"/>
      <c r="F944" s="590"/>
      <c r="G944" s="590"/>
      <c r="H944" s="590"/>
      <c r="I944" s="590"/>
      <c r="J944" s="590"/>
      <c r="K944" s="590"/>
      <c r="L944" s="590"/>
      <c r="M944" s="590"/>
      <c r="N944" s="590"/>
      <c r="O944" s="590"/>
      <c r="P944" s="590"/>
      <c r="Q944" s="590"/>
      <c r="R944" s="590"/>
      <c r="S944" s="590"/>
      <c r="T944" s="590"/>
      <c r="U944" s="590"/>
      <c r="V944" s="590"/>
      <c r="W944" s="590"/>
      <c r="X944" s="590"/>
      <c r="Y944" s="590"/>
      <c r="Z944" s="590"/>
    </row>
    <row r="945" spans="1:26" ht="15.75" customHeight="1">
      <c r="A945" s="590"/>
      <c r="B945" s="590"/>
      <c r="C945" s="590"/>
      <c r="D945" s="590"/>
      <c r="E945" s="590"/>
      <c r="F945" s="590"/>
      <c r="G945" s="590"/>
      <c r="H945" s="590"/>
      <c r="I945" s="590"/>
      <c r="J945" s="590"/>
      <c r="K945" s="590"/>
      <c r="L945" s="590"/>
      <c r="M945" s="590"/>
      <c r="N945" s="590"/>
      <c r="O945" s="590"/>
      <c r="P945" s="590"/>
      <c r="Q945" s="590"/>
      <c r="R945" s="590"/>
      <c r="S945" s="590"/>
      <c r="T945" s="590"/>
      <c r="U945" s="590"/>
      <c r="V945" s="590"/>
      <c r="W945" s="590"/>
      <c r="X945" s="590"/>
      <c r="Y945" s="590"/>
      <c r="Z945" s="590"/>
    </row>
    <row r="946" spans="1:26" ht="15.75" customHeight="1">
      <c r="A946" s="590"/>
      <c r="B946" s="590"/>
      <c r="C946" s="590"/>
      <c r="D946" s="590"/>
      <c r="E946" s="590"/>
      <c r="F946" s="590"/>
      <c r="G946" s="590"/>
      <c r="H946" s="590"/>
      <c r="I946" s="590"/>
      <c r="J946" s="590"/>
      <c r="K946" s="590"/>
      <c r="L946" s="590"/>
      <c r="M946" s="590"/>
      <c r="N946" s="590"/>
      <c r="O946" s="590"/>
      <c r="P946" s="590"/>
      <c r="Q946" s="590"/>
      <c r="R946" s="590"/>
      <c r="S946" s="590"/>
      <c r="T946" s="590"/>
      <c r="U946" s="590"/>
      <c r="V946" s="590"/>
      <c r="W946" s="590"/>
      <c r="X946" s="590"/>
      <c r="Y946" s="590"/>
      <c r="Z946" s="590"/>
    </row>
    <row r="947" spans="1:26" ht="15.75" customHeight="1">
      <c r="A947" s="590"/>
      <c r="B947" s="590"/>
      <c r="C947" s="590"/>
      <c r="D947" s="590"/>
      <c r="E947" s="590"/>
      <c r="F947" s="590"/>
      <c r="G947" s="590"/>
      <c r="H947" s="590"/>
      <c r="I947" s="590"/>
      <c r="J947" s="590"/>
      <c r="K947" s="590"/>
      <c r="L947" s="590"/>
      <c r="M947" s="590"/>
      <c r="N947" s="590"/>
      <c r="O947" s="590"/>
      <c r="P947" s="590"/>
      <c r="Q947" s="590"/>
      <c r="R947" s="590"/>
      <c r="S947" s="590"/>
      <c r="T947" s="590"/>
      <c r="U947" s="590"/>
      <c r="V947" s="590"/>
      <c r="W947" s="590"/>
      <c r="X947" s="590"/>
      <c r="Y947" s="590"/>
      <c r="Z947" s="590"/>
    </row>
    <row r="948" spans="1:26" ht="15.75" customHeight="1">
      <c r="A948" s="590"/>
      <c r="B948" s="590"/>
      <c r="C948" s="590"/>
      <c r="D948" s="590"/>
      <c r="E948" s="590"/>
      <c r="F948" s="590"/>
      <c r="G948" s="590"/>
      <c r="H948" s="590"/>
      <c r="I948" s="590"/>
      <c r="J948" s="590"/>
      <c r="K948" s="590"/>
      <c r="L948" s="590"/>
      <c r="M948" s="590"/>
      <c r="N948" s="590"/>
      <c r="O948" s="590"/>
      <c r="P948" s="590"/>
      <c r="Q948" s="590"/>
      <c r="R948" s="590"/>
      <c r="S948" s="590"/>
      <c r="T948" s="590"/>
      <c r="U948" s="590"/>
      <c r="V948" s="590"/>
      <c r="W948" s="590"/>
      <c r="X948" s="590"/>
      <c r="Y948" s="590"/>
      <c r="Z948" s="590"/>
    </row>
    <row r="949" spans="1:26" ht="15.75" customHeight="1">
      <c r="A949" s="590"/>
      <c r="B949" s="590"/>
      <c r="C949" s="590"/>
      <c r="D949" s="590"/>
      <c r="E949" s="590"/>
      <c r="F949" s="590"/>
      <c r="G949" s="590"/>
      <c r="H949" s="590"/>
      <c r="I949" s="590"/>
      <c r="J949" s="590"/>
      <c r="K949" s="590"/>
      <c r="L949" s="590"/>
      <c r="M949" s="590"/>
      <c r="N949" s="590"/>
      <c r="O949" s="590"/>
      <c r="P949" s="590"/>
      <c r="Q949" s="590"/>
      <c r="R949" s="590"/>
      <c r="S949" s="590"/>
      <c r="T949" s="590"/>
      <c r="U949" s="590"/>
      <c r="V949" s="590"/>
      <c r="W949" s="590"/>
      <c r="X949" s="590"/>
      <c r="Y949" s="590"/>
      <c r="Z949" s="590"/>
    </row>
    <row r="950" spans="1:26" ht="15.75" customHeight="1">
      <c r="A950" s="590"/>
      <c r="B950" s="590"/>
      <c r="C950" s="590"/>
      <c r="D950" s="590"/>
      <c r="E950" s="590"/>
      <c r="F950" s="590"/>
      <c r="G950" s="590"/>
      <c r="H950" s="590"/>
      <c r="I950" s="590"/>
      <c r="J950" s="590"/>
      <c r="K950" s="590"/>
      <c r="L950" s="590"/>
      <c r="M950" s="590"/>
      <c r="N950" s="590"/>
      <c r="O950" s="590"/>
      <c r="P950" s="590"/>
      <c r="Q950" s="590"/>
      <c r="R950" s="590"/>
      <c r="S950" s="590"/>
      <c r="T950" s="590"/>
      <c r="U950" s="590"/>
      <c r="V950" s="590"/>
      <c r="W950" s="590"/>
      <c r="X950" s="590"/>
      <c r="Y950" s="590"/>
      <c r="Z950" s="590"/>
    </row>
    <row r="951" spans="1:26" ht="15.75" customHeight="1">
      <c r="A951" s="590"/>
      <c r="B951" s="590"/>
      <c r="C951" s="590"/>
      <c r="D951" s="590"/>
      <c r="E951" s="590"/>
      <c r="F951" s="590"/>
      <c r="G951" s="590"/>
      <c r="H951" s="590"/>
      <c r="I951" s="590"/>
      <c r="J951" s="590"/>
      <c r="K951" s="590"/>
      <c r="L951" s="590"/>
      <c r="M951" s="590"/>
      <c r="N951" s="590"/>
      <c r="O951" s="590"/>
      <c r="P951" s="590"/>
      <c r="Q951" s="590"/>
      <c r="R951" s="590"/>
      <c r="S951" s="590"/>
      <c r="T951" s="590"/>
      <c r="U951" s="590"/>
      <c r="V951" s="590"/>
      <c r="W951" s="590"/>
      <c r="X951" s="590"/>
      <c r="Y951" s="590"/>
      <c r="Z951" s="590"/>
    </row>
    <row r="952" spans="1:26" ht="15.75" customHeight="1">
      <c r="A952" s="590"/>
      <c r="B952" s="590"/>
      <c r="C952" s="590"/>
      <c r="D952" s="590"/>
      <c r="E952" s="590"/>
      <c r="F952" s="590"/>
      <c r="G952" s="590"/>
      <c r="H952" s="590"/>
      <c r="I952" s="590"/>
      <c r="J952" s="590"/>
      <c r="K952" s="590"/>
      <c r="L952" s="590"/>
      <c r="M952" s="590"/>
      <c r="N952" s="590"/>
      <c r="O952" s="590"/>
      <c r="P952" s="590"/>
      <c r="Q952" s="590"/>
      <c r="R952" s="590"/>
      <c r="S952" s="590"/>
      <c r="T952" s="590"/>
      <c r="U952" s="590"/>
      <c r="V952" s="590"/>
      <c r="W952" s="590"/>
      <c r="X952" s="590"/>
      <c r="Y952" s="590"/>
      <c r="Z952" s="590"/>
    </row>
    <row r="953" spans="1:26" ht="15.75" customHeight="1">
      <c r="A953" s="590"/>
      <c r="B953" s="590"/>
      <c r="C953" s="590"/>
      <c r="D953" s="590"/>
      <c r="E953" s="590"/>
      <c r="F953" s="590"/>
      <c r="G953" s="590"/>
      <c r="H953" s="590"/>
      <c r="I953" s="590"/>
      <c r="J953" s="590"/>
      <c r="K953" s="590"/>
      <c r="L953" s="590"/>
      <c r="M953" s="590"/>
      <c r="N953" s="590"/>
      <c r="O953" s="590"/>
      <c r="P953" s="590"/>
      <c r="Q953" s="590"/>
      <c r="R953" s="590"/>
      <c r="S953" s="590"/>
      <c r="T953" s="590"/>
      <c r="U953" s="590"/>
      <c r="V953" s="590"/>
      <c r="W953" s="590"/>
      <c r="X953" s="590"/>
      <c r="Y953" s="590"/>
      <c r="Z953" s="590"/>
    </row>
    <row r="954" spans="1:26" ht="15.75" customHeight="1">
      <c r="A954" s="590"/>
      <c r="B954" s="590"/>
      <c r="C954" s="590"/>
      <c r="D954" s="590"/>
      <c r="E954" s="590"/>
      <c r="F954" s="590"/>
      <c r="G954" s="590"/>
      <c r="H954" s="590"/>
      <c r="I954" s="590"/>
      <c r="J954" s="590"/>
      <c r="K954" s="590"/>
      <c r="L954" s="590"/>
      <c r="M954" s="590"/>
      <c r="N954" s="590"/>
      <c r="O954" s="590"/>
      <c r="P954" s="590"/>
      <c r="Q954" s="590"/>
      <c r="R954" s="590"/>
      <c r="S954" s="590"/>
      <c r="T954" s="590"/>
      <c r="U954" s="590"/>
      <c r="V954" s="590"/>
      <c r="W954" s="590"/>
      <c r="X954" s="590"/>
      <c r="Y954" s="590"/>
      <c r="Z954" s="590"/>
    </row>
    <row r="955" spans="1:26" ht="15.75" customHeight="1">
      <c r="A955" s="590"/>
      <c r="B955" s="590"/>
      <c r="C955" s="590"/>
      <c r="D955" s="590"/>
      <c r="E955" s="590"/>
      <c r="F955" s="590"/>
      <c r="G955" s="590"/>
      <c r="H955" s="590"/>
      <c r="I955" s="590"/>
      <c r="J955" s="590"/>
      <c r="K955" s="590"/>
      <c r="L955" s="590"/>
      <c r="M955" s="590"/>
      <c r="N955" s="590"/>
      <c r="O955" s="590"/>
      <c r="P955" s="590"/>
      <c r="Q955" s="590"/>
      <c r="R955" s="590"/>
      <c r="S955" s="590"/>
      <c r="T955" s="590"/>
      <c r="U955" s="590"/>
      <c r="V955" s="590"/>
      <c r="W955" s="590"/>
      <c r="X955" s="590"/>
      <c r="Y955" s="590"/>
      <c r="Z955" s="590"/>
    </row>
    <row r="956" spans="1:26" ht="15.75" customHeight="1">
      <c r="A956" s="590"/>
      <c r="B956" s="590"/>
      <c r="C956" s="590"/>
      <c r="D956" s="590"/>
      <c r="E956" s="590"/>
      <c r="F956" s="590"/>
      <c r="G956" s="590"/>
      <c r="H956" s="590"/>
      <c r="I956" s="590"/>
      <c r="J956" s="590"/>
      <c r="K956" s="590"/>
      <c r="L956" s="590"/>
      <c r="M956" s="590"/>
      <c r="N956" s="590"/>
      <c r="O956" s="590"/>
      <c r="P956" s="590"/>
      <c r="Q956" s="590"/>
      <c r="R956" s="590"/>
      <c r="S956" s="590"/>
      <c r="T956" s="590"/>
      <c r="U956" s="590"/>
      <c r="V956" s="590"/>
      <c r="W956" s="590"/>
      <c r="X956" s="590"/>
      <c r="Y956" s="590"/>
      <c r="Z956" s="590"/>
    </row>
    <row r="957" spans="1:26" ht="15.75" customHeight="1">
      <c r="A957" s="590"/>
      <c r="B957" s="590"/>
      <c r="C957" s="590"/>
      <c r="D957" s="590"/>
      <c r="E957" s="590"/>
      <c r="F957" s="590"/>
      <c r="G957" s="590"/>
      <c r="H957" s="590"/>
      <c r="I957" s="590"/>
      <c r="J957" s="590"/>
      <c r="K957" s="590"/>
      <c r="L957" s="590"/>
      <c r="M957" s="590"/>
      <c r="N957" s="590"/>
      <c r="O957" s="590"/>
      <c r="P957" s="590"/>
      <c r="Q957" s="590"/>
      <c r="R957" s="590"/>
      <c r="S957" s="590"/>
      <c r="T957" s="590"/>
      <c r="U957" s="590"/>
      <c r="V957" s="590"/>
      <c r="W957" s="590"/>
      <c r="X957" s="590"/>
      <c r="Y957" s="590"/>
      <c r="Z957" s="590"/>
    </row>
    <row r="958" spans="1:26" ht="15.75" customHeight="1">
      <c r="A958" s="590"/>
      <c r="B958" s="590"/>
      <c r="C958" s="590"/>
      <c r="D958" s="590"/>
      <c r="E958" s="590"/>
      <c r="F958" s="590"/>
      <c r="G958" s="590"/>
      <c r="H958" s="590"/>
      <c r="I958" s="590"/>
      <c r="J958" s="590"/>
      <c r="K958" s="590"/>
      <c r="L958" s="590"/>
      <c r="M958" s="590"/>
      <c r="N958" s="590"/>
      <c r="O958" s="590"/>
      <c r="P958" s="590"/>
      <c r="Q958" s="590"/>
      <c r="R958" s="590"/>
      <c r="S958" s="590"/>
      <c r="T958" s="590"/>
      <c r="U958" s="590"/>
      <c r="V958" s="590"/>
      <c r="W958" s="590"/>
      <c r="X958" s="590"/>
      <c r="Y958" s="590"/>
      <c r="Z958" s="590"/>
    </row>
    <row r="959" spans="1:26" ht="15.75" customHeight="1">
      <c r="A959" s="590"/>
      <c r="B959" s="590"/>
      <c r="C959" s="590"/>
      <c r="D959" s="590"/>
      <c r="E959" s="590"/>
      <c r="F959" s="590"/>
      <c r="G959" s="590"/>
      <c r="H959" s="590"/>
      <c r="I959" s="590"/>
      <c r="J959" s="590"/>
      <c r="K959" s="590"/>
      <c r="L959" s="590"/>
      <c r="M959" s="590"/>
      <c r="N959" s="590"/>
      <c r="O959" s="590"/>
      <c r="P959" s="590"/>
      <c r="Q959" s="590"/>
      <c r="R959" s="590"/>
      <c r="S959" s="590"/>
      <c r="T959" s="590"/>
      <c r="U959" s="590"/>
      <c r="V959" s="590"/>
      <c r="W959" s="590"/>
      <c r="X959" s="590"/>
      <c r="Y959" s="590"/>
      <c r="Z959" s="590"/>
    </row>
    <row r="960" spans="1:26" ht="15.75" customHeight="1">
      <c r="A960" s="590"/>
      <c r="B960" s="590"/>
      <c r="C960" s="590"/>
      <c r="D960" s="590"/>
      <c r="E960" s="590"/>
      <c r="F960" s="590"/>
      <c r="G960" s="590"/>
      <c r="H960" s="590"/>
      <c r="I960" s="590"/>
      <c r="J960" s="590"/>
      <c r="K960" s="590"/>
      <c r="L960" s="590"/>
      <c r="M960" s="590"/>
      <c r="N960" s="590"/>
      <c r="O960" s="590"/>
      <c r="P960" s="590"/>
      <c r="Q960" s="590"/>
      <c r="R960" s="590"/>
      <c r="S960" s="590"/>
      <c r="T960" s="590"/>
      <c r="U960" s="590"/>
      <c r="V960" s="590"/>
      <c r="W960" s="590"/>
      <c r="X960" s="590"/>
      <c r="Y960" s="590"/>
      <c r="Z960" s="590"/>
    </row>
    <row r="961" spans="1:26" ht="15.75" customHeight="1">
      <c r="A961" s="590"/>
      <c r="B961" s="590"/>
      <c r="C961" s="590"/>
      <c r="D961" s="590"/>
      <c r="E961" s="590"/>
      <c r="F961" s="590"/>
      <c r="G961" s="590"/>
      <c r="H961" s="590"/>
      <c r="I961" s="590"/>
      <c r="J961" s="590"/>
      <c r="K961" s="590"/>
      <c r="L961" s="590"/>
      <c r="M961" s="590"/>
      <c r="N961" s="590"/>
      <c r="O961" s="590"/>
      <c r="P961" s="590"/>
      <c r="Q961" s="590"/>
      <c r="R961" s="590"/>
      <c r="S961" s="590"/>
      <c r="T961" s="590"/>
      <c r="U961" s="590"/>
      <c r="V961" s="590"/>
      <c r="W961" s="590"/>
      <c r="X961" s="590"/>
      <c r="Y961" s="590"/>
      <c r="Z961" s="590"/>
    </row>
    <row r="962" spans="1:26" ht="15.75" customHeight="1">
      <c r="A962" s="590"/>
      <c r="B962" s="590"/>
      <c r="C962" s="590"/>
      <c r="D962" s="590"/>
      <c r="E962" s="590"/>
      <c r="F962" s="590"/>
      <c r="G962" s="590"/>
      <c r="H962" s="590"/>
      <c r="I962" s="590"/>
      <c r="J962" s="590"/>
      <c r="K962" s="590"/>
      <c r="L962" s="590"/>
      <c r="M962" s="590"/>
      <c r="N962" s="590"/>
      <c r="O962" s="590"/>
      <c r="P962" s="590"/>
      <c r="Q962" s="590"/>
      <c r="R962" s="590"/>
      <c r="S962" s="590"/>
      <c r="T962" s="590"/>
      <c r="U962" s="590"/>
      <c r="V962" s="590"/>
      <c r="W962" s="590"/>
      <c r="X962" s="590"/>
      <c r="Y962" s="590"/>
      <c r="Z962" s="590"/>
    </row>
    <row r="963" spans="1:26" ht="15.75" customHeight="1">
      <c r="A963" s="590"/>
      <c r="B963" s="590"/>
      <c r="C963" s="590"/>
      <c r="D963" s="590"/>
      <c r="E963" s="590"/>
      <c r="F963" s="590"/>
      <c r="G963" s="590"/>
      <c r="H963" s="590"/>
      <c r="I963" s="590"/>
      <c r="J963" s="590"/>
      <c r="K963" s="590"/>
      <c r="L963" s="590"/>
      <c r="M963" s="590"/>
      <c r="N963" s="590"/>
      <c r="O963" s="590"/>
      <c r="P963" s="590"/>
      <c r="Q963" s="590"/>
      <c r="R963" s="590"/>
      <c r="S963" s="590"/>
      <c r="T963" s="590"/>
      <c r="U963" s="590"/>
      <c r="V963" s="590"/>
      <c r="W963" s="590"/>
      <c r="X963" s="590"/>
      <c r="Y963" s="590"/>
      <c r="Z963" s="590"/>
    </row>
    <row r="964" spans="1:26" ht="15.75" customHeight="1">
      <c r="A964" s="590"/>
      <c r="B964" s="590"/>
      <c r="C964" s="590"/>
      <c r="D964" s="590"/>
      <c r="E964" s="590"/>
      <c r="F964" s="590"/>
      <c r="G964" s="590"/>
      <c r="H964" s="590"/>
      <c r="I964" s="590"/>
      <c r="J964" s="590"/>
      <c r="K964" s="590"/>
      <c r="L964" s="590"/>
      <c r="M964" s="590"/>
      <c r="N964" s="590"/>
      <c r="O964" s="590"/>
      <c r="P964" s="590"/>
      <c r="Q964" s="590"/>
      <c r="R964" s="590"/>
      <c r="S964" s="590"/>
      <c r="T964" s="590"/>
      <c r="U964" s="590"/>
      <c r="V964" s="590"/>
      <c r="W964" s="590"/>
      <c r="X964" s="590"/>
      <c r="Y964" s="590"/>
      <c r="Z964" s="590"/>
    </row>
    <row r="965" spans="1:26" ht="15.75" customHeight="1">
      <c r="A965" s="590"/>
      <c r="B965" s="590"/>
      <c r="C965" s="590"/>
      <c r="D965" s="590"/>
      <c r="E965" s="590"/>
      <c r="F965" s="590"/>
      <c r="G965" s="590"/>
      <c r="H965" s="590"/>
      <c r="I965" s="590"/>
      <c r="J965" s="590"/>
      <c r="K965" s="590"/>
      <c r="L965" s="590"/>
      <c r="M965" s="590"/>
      <c r="N965" s="590"/>
      <c r="O965" s="590"/>
      <c r="P965" s="590"/>
      <c r="Q965" s="590"/>
      <c r="R965" s="590"/>
      <c r="S965" s="590"/>
      <c r="T965" s="590"/>
      <c r="U965" s="590"/>
      <c r="V965" s="590"/>
      <c r="W965" s="590"/>
      <c r="X965" s="590"/>
      <c r="Y965" s="590"/>
      <c r="Z965" s="590"/>
    </row>
    <row r="966" spans="1:26" ht="15.75" customHeight="1">
      <c r="A966" s="590"/>
      <c r="B966" s="590"/>
      <c r="C966" s="590"/>
      <c r="D966" s="590"/>
      <c r="E966" s="590"/>
      <c r="F966" s="590"/>
      <c r="G966" s="590"/>
      <c r="H966" s="590"/>
      <c r="I966" s="590"/>
      <c r="J966" s="590"/>
      <c r="K966" s="590"/>
      <c r="L966" s="590"/>
      <c r="M966" s="590"/>
      <c r="N966" s="590"/>
      <c r="O966" s="590"/>
      <c r="P966" s="590"/>
      <c r="Q966" s="590"/>
      <c r="R966" s="590"/>
      <c r="S966" s="590"/>
      <c r="T966" s="590"/>
      <c r="U966" s="590"/>
      <c r="V966" s="590"/>
      <c r="W966" s="590"/>
      <c r="X966" s="590"/>
      <c r="Y966" s="590"/>
      <c r="Z966" s="590"/>
    </row>
    <row r="967" spans="1:26" ht="15.75" customHeight="1">
      <c r="A967" s="590"/>
      <c r="B967" s="590"/>
      <c r="C967" s="590"/>
      <c r="D967" s="590"/>
      <c r="E967" s="590"/>
      <c r="F967" s="590"/>
      <c r="G967" s="590"/>
      <c r="H967" s="590"/>
      <c r="I967" s="590"/>
      <c r="J967" s="590"/>
      <c r="K967" s="590"/>
      <c r="L967" s="590"/>
      <c r="M967" s="590"/>
      <c r="N967" s="590"/>
      <c r="O967" s="590"/>
      <c r="P967" s="590"/>
      <c r="Q967" s="590"/>
      <c r="R967" s="590"/>
      <c r="S967" s="590"/>
      <c r="T967" s="590"/>
      <c r="U967" s="590"/>
      <c r="V967" s="590"/>
      <c r="W967" s="590"/>
      <c r="X967" s="590"/>
      <c r="Y967" s="590"/>
      <c r="Z967" s="590"/>
    </row>
    <row r="968" spans="1:26" ht="15.75" customHeight="1">
      <c r="A968" s="590"/>
      <c r="B968" s="590"/>
      <c r="C968" s="590"/>
      <c r="D968" s="590"/>
      <c r="E968" s="590"/>
      <c r="F968" s="590"/>
      <c r="G968" s="590"/>
      <c r="H968" s="590"/>
      <c r="I968" s="590"/>
      <c r="J968" s="590"/>
      <c r="K968" s="590"/>
      <c r="L968" s="590"/>
      <c r="M968" s="590"/>
      <c r="N968" s="590"/>
      <c r="O968" s="590"/>
      <c r="P968" s="590"/>
      <c r="Q968" s="590"/>
      <c r="R968" s="590"/>
      <c r="S968" s="590"/>
      <c r="T968" s="590"/>
      <c r="U968" s="590"/>
      <c r="V968" s="590"/>
      <c r="W968" s="590"/>
      <c r="X968" s="590"/>
      <c r="Y968" s="590"/>
      <c r="Z968" s="590"/>
    </row>
    <row r="969" spans="1:26" ht="15.75" customHeight="1">
      <c r="A969" s="590"/>
      <c r="B969" s="590"/>
      <c r="C969" s="590"/>
      <c r="D969" s="590"/>
      <c r="E969" s="590"/>
      <c r="F969" s="590"/>
      <c r="G969" s="590"/>
      <c r="H969" s="590"/>
      <c r="I969" s="590"/>
      <c r="J969" s="590"/>
      <c r="K969" s="590"/>
      <c r="L969" s="590"/>
      <c r="M969" s="590"/>
      <c r="N969" s="590"/>
      <c r="O969" s="590"/>
      <c r="P969" s="590"/>
      <c r="Q969" s="590"/>
      <c r="R969" s="590"/>
      <c r="S969" s="590"/>
      <c r="T969" s="590"/>
      <c r="U969" s="590"/>
      <c r="V969" s="590"/>
      <c r="W969" s="590"/>
      <c r="X969" s="590"/>
      <c r="Y969" s="590"/>
      <c r="Z969" s="590"/>
    </row>
    <row r="970" spans="1:26" ht="15.75" customHeight="1">
      <c r="A970" s="590"/>
      <c r="B970" s="590"/>
      <c r="C970" s="590"/>
      <c r="D970" s="590"/>
      <c r="E970" s="590"/>
      <c r="F970" s="590"/>
      <c r="G970" s="590"/>
      <c r="H970" s="590"/>
      <c r="I970" s="590"/>
      <c r="J970" s="590"/>
      <c r="K970" s="590"/>
      <c r="L970" s="590"/>
      <c r="M970" s="590"/>
      <c r="N970" s="590"/>
      <c r="O970" s="590"/>
      <c r="P970" s="590"/>
      <c r="Q970" s="590"/>
      <c r="R970" s="590"/>
      <c r="S970" s="590"/>
      <c r="T970" s="590"/>
      <c r="U970" s="590"/>
      <c r="V970" s="590"/>
      <c r="W970" s="590"/>
      <c r="X970" s="590"/>
      <c r="Y970" s="590"/>
      <c r="Z970" s="590"/>
    </row>
    <row r="971" spans="1:26" ht="15.75" customHeight="1">
      <c r="A971" s="590"/>
      <c r="B971" s="590"/>
      <c r="C971" s="590"/>
      <c r="D971" s="590"/>
      <c r="E971" s="590"/>
      <c r="F971" s="590"/>
      <c r="G971" s="590"/>
      <c r="H971" s="590"/>
      <c r="I971" s="590"/>
      <c r="J971" s="590"/>
      <c r="K971" s="590"/>
      <c r="L971" s="590"/>
      <c r="M971" s="590"/>
      <c r="N971" s="590"/>
      <c r="O971" s="590"/>
      <c r="P971" s="590"/>
      <c r="Q971" s="590"/>
      <c r="R971" s="590"/>
      <c r="S971" s="590"/>
      <c r="T971" s="590"/>
      <c r="U971" s="590"/>
      <c r="V971" s="590"/>
      <c r="W971" s="590"/>
      <c r="X971" s="590"/>
      <c r="Y971" s="590"/>
      <c r="Z971" s="590"/>
    </row>
    <row r="972" spans="1:26" ht="15.75" customHeight="1">
      <c r="A972" s="590"/>
      <c r="B972" s="590"/>
      <c r="C972" s="590"/>
      <c r="D972" s="590"/>
      <c r="E972" s="590"/>
      <c r="F972" s="590"/>
      <c r="G972" s="590"/>
      <c r="H972" s="590"/>
      <c r="I972" s="590"/>
      <c r="J972" s="590"/>
      <c r="K972" s="590"/>
      <c r="L972" s="590"/>
      <c r="M972" s="590"/>
      <c r="N972" s="590"/>
      <c r="O972" s="590"/>
      <c r="P972" s="590"/>
      <c r="Q972" s="590"/>
      <c r="R972" s="590"/>
      <c r="S972" s="590"/>
      <c r="T972" s="590"/>
      <c r="U972" s="590"/>
      <c r="V972" s="590"/>
      <c r="W972" s="590"/>
      <c r="X972" s="590"/>
      <c r="Y972" s="590"/>
      <c r="Z972" s="590"/>
    </row>
    <row r="973" spans="1:26" ht="15.75" customHeight="1">
      <c r="A973" s="590"/>
      <c r="B973" s="590"/>
      <c r="C973" s="590"/>
      <c r="D973" s="590"/>
      <c r="E973" s="590"/>
      <c r="F973" s="590"/>
      <c r="G973" s="590"/>
      <c r="H973" s="590"/>
      <c r="I973" s="590"/>
      <c r="J973" s="590"/>
      <c r="K973" s="590"/>
      <c r="L973" s="590"/>
      <c r="M973" s="590"/>
      <c r="N973" s="590"/>
      <c r="O973" s="590"/>
      <c r="P973" s="590"/>
      <c r="Q973" s="590"/>
      <c r="R973" s="590"/>
      <c r="S973" s="590"/>
      <c r="T973" s="590"/>
      <c r="U973" s="590"/>
      <c r="V973" s="590"/>
      <c r="W973" s="590"/>
      <c r="X973" s="590"/>
      <c r="Y973" s="590"/>
      <c r="Z973" s="590"/>
    </row>
    <row r="974" spans="1:26" ht="15.75" customHeight="1">
      <c r="A974" s="590"/>
      <c r="B974" s="590"/>
      <c r="C974" s="590"/>
      <c r="D974" s="590"/>
      <c r="E974" s="590"/>
      <c r="F974" s="590"/>
      <c r="G974" s="590"/>
      <c r="H974" s="590"/>
      <c r="I974" s="590"/>
      <c r="J974" s="590"/>
      <c r="K974" s="590"/>
      <c r="L974" s="590"/>
      <c r="M974" s="590"/>
      <c r="N974" s="590"/>
      <c r="O974" s="590"/>
      <c r="P974" s="590"/>
      <c r="Q974" s="590"/>
      <c r="R974" s="590"/>
      <c r="S974" s="590"/>
      <c r="T974" s="590"/>
      <c r="U974" s="590"/>
      <c r="V974" s="590"/>
      <c r="W974" s="590"/>
      <c r="X974" s="590"/>
      <c r="Y974" s="590"/>
      <c r="Z974" s="590"/>
    </row>
    <row r="975" spans="1:26" ht="15.75" customHeight="1">
      <c r="A975" s="590"/>
      <c r="B975" s="590"/>
      <c r="C975" s="590"/>
      <c r="D975" s="590"/>
      <c r="E975" s="590"/>
      <c r="F975" s="590"/>
      <c r="G975" s="590"/>
      <c r="H975" s="590"/>
      <c r="I975" s="590"/>
      <c r="J975" s="590"/>
      <c r="K975" s="590"/>
      <c r="L975" s="590"/>
      <c r="M975" s="590"/>
      <c r="N975" s="590"/>
      <c r="O975" s="590"/>
      <c r="P975" s="590"/>
      <c r="Q975" s="590"/>
      <c r="R975" s="590"/>
      <c r="S975" s="590"/>
      <c r="T975" s="590"/>
      <c r="U975" s="590"/>
      <c r="V975" s="590"/>
      <c r="W975" s="590"/>
      <c r="X975" s="590"/>
      <c r="Y975" s="590"/>
      <c r="Z975" s="590"/>
    </row>
    <row r="976" spans="1:26" ht="15.75" customHeight="1">
      <c r="A976" s="590"/>
      <c r="B976" s="590"/>
      <c r="C976" s="590"/>
      <c r="D976" s="590"/>
      <c r="E976" s="590"/>
      <c r="F976" s="590"/>
      <c r="G976" s="590"/>
      <c r="H976" s="590"/>
      <c r="I976" s="590"/>
      <c r="J976" s="590"/>
      <c r="K976" s="590"/>
      <c r="L976" s="590"/>
      <c r="M976" s="590"/>
      <c r="N976" s="590"/>
      <c r="O976" s="590"/>
      <c r="P976" s="590"/>
      <c r="Q976" s="590"/>
      <c r="R976" s="590"/>
      <c r="S976" s="590"/>
      <c r="T976" s="590"/>
      <c r="U976" s="590"/>
      <c r="V976" s="590"/>
      <c r="W976" s="590"/>
      <c r="X976" s="590"/>
      <c r="Y976" s="590"/>
      <c r="Z976" s="590"/>
    </row>
    <row r="977" spans="1:26" ht="15.75" customHeight="1">
      <c r="A977" s="590"/>
      <c r="B977" s="590"/>
      <c r="C977" s="590"/>
      <c r="D977" s="590"/>
      <c r="E977" s="590"/>
      <c r="F977" s="590"/>
      <c r="G977" s="590"/>
      <c r="H977" s="590"/>
      <c r="I977" s="590"/>
      <c r="J977" s="590"/>
      <c r="K977" s="590"/>
      <c r="L977" s="590"/>
      <c r="M977" s="590"/>
      <c r="N977" s="590"/>
      <c r="O977" s="590"/>
      <c r="P977" s="590"/>
      <c r="Q977" s="590"/>
      <c r="R977" s="590"/>
      <c r="S977" s="590"/>
      <c r="T977" s="590"/>
      <c r="U977" s="590"/>
      <c r="V977" s="590"/>
      <c r="W977" s="590"/>
      <c r="X977" s="590"/>
      <c r="Y977" s="590"/>
      <c r="Z977" s="590"/>
    </row>
    <row r="978" spans="1:26" ht="15.75" customHeight="1">
      <c r="A978" s="590"/>
      <c r="B978" s="590"/>
      <c r="C978" s="590"/>
      <c r="D978" s="590"/>
      <c r="E978" s="590"/>
      <c r="F978" s="590"/>
      <c r="G978" s="590"/>
      <c r="H978" s="590"/>
      <c r="I978" s="590"/>
      <c r="J978" s="590"/>
      <c r="K978" s="590"/>
      <c r="L978" s="590"/>
      <c r="M978" s="590"/>
      <c r="N978" s="590"/>
      <c r="O978" s="590"/>
      <c r="P978" s="590"/>
      <c r="Q978" s="590"/>
      <c r="R978" s="590"/>
      <c r="S978" s="590"/>
      <c r="T978" s="590"/>
      <c r="U978" s="590"/>
      <c r="V978" s="590"/>
      <c r="W978" s="590"/>
      <c r="X978" s="590"/>
      <c r="Y978" s="590"/>
      <c r="Z978" s="590"/>
    </row>
    <row r="979" spans="1:26" ht="15.75" customHeight="1">
      <c r="A979" s="590"/>
      <c r="B979" s="590"/>
      <c r="C979" s="590"/>
      <c r="D979" s="590"/>
      <c r="E979" s="590"/>
      <c r="F979" s="590"/>
      <c r="G979" s="590"/>
      <c r="H979" s="590"/>
      <c r="I979" s="590"/>
      <c r="J979" s="590"/>
      <c r="K979" s="590"/>
      <c r="L979" s="590"/>
      <c r="M979" s="590"/>
      <c r="N979" s="590"/>
      <c r="O979" s="590"/>
      <c r="P979" s="590"/>
      <c r="Q979" s="590"/>
      <c r="R979" s="590"/>
      <c r="S979" s="590"/>
      <c r="T979" s="590"/>
      <c r="U979" s="590"/>
      <c r="V979" s="590"/>
      <c r="W979" s="590"/>
      <c r="X979" s="590"/>
      <c r="Y979" s="590"/>
      <c r="Z979" s="590"/>
    </row>
    <row r="980" spans="1:26" ht="15.75" customHeight="1">
      <c r="A980" s="590"/>
      <c r="B980" s="590"/>
      <c r="C980" s="590"/>
      <c r="D980" s="590"/>
      <c r="E980" s="590"/>
      <c r="F980" s="590"/>
      <c r="G980" s="590"/>
      <c r="H980" s="590"/>
      <c r="I980" s="590"/>
      <c r="J980" s="590"/>
      <c r="K980" s="590"/>
      <c r="L980" s="590"/>
      <c r="M980" s="590"/>
      <c r="N980" s="590"/>
      <c r="O980" s="590"/>
      <c r="P980" s="590"/>
      <c r="Q980" s="590"/>
      <c r="R980" s="590"/>
      <c r="S980" s="590"/>
      <c r="T980" s="590"/>
      <c r="U980" s="590"/>
      <c r="V980" s="590"/>
      <c r="W980" s="590"/>
      <c r="X980" s="590"/>
      <c r="Y980" s="590"/>
      <c r="Z980" s="590"/>
    </row>
    <row r="981" spans="1:26" ht="15.75" customHeight="1">
      <c r="A981" s="590"/>
      <c r="B981" s="590"/>
      <c r="C981" s="590"/>
      <c r="D981" s="590"/>
      <c r="E981" s="590"/>
      <c r="F981" s="590"/>
      <c r="G981" s="590"/>
      <c r="H981" s="590"/>
      <c r="I981" s="590"/>
      <c r="J981" s="590"/>
      <c r="K981" s="590"/>
      <c r="L981" s="590"/>
      <c r="M981" s="590"/>
      <c r="N981" s="590"/>
      <c r="O981" s="590"/>
      <c r="P981" s="590"/>
      <c r="Q981" s="590"/>
      <c r="R981" s="590"/>
      <c r="S981" s="590"/>
      <c r="T981" s="590"/>
      <c r="U981" s="590"/>
      <c r="V981" s="590"/>
      <c r="W981" s="590"/>
      <c r="X981" s="590"/>
      <c r="Y981" s="590"/>
      <c r="Z981" s="590"/>
    </row>
    <row r="982" spans="1:26" ht="15.75" customHeight="1">
      <c r="A982" s="590"/>
      <c r="B982" s="590"/>
      <c r="C982" s="590"/>
      <c r="D982" s="590"/>
      <c r="E982" s="590"/>
      <c r="F982" s="590"/>
      <c r="G982" s="590"/>
      <c r="H982" s="590"/>
      <c r="I982" s="590"/>
      <c r="J982" s="590"/>
      <c r="K982" s="590"/>
      <c r="L982" s="590"/>
      <c r="M982" s="590"/>
      <c r="N982" s="590"/>
      <c r="O982" s="590"/>
      <c r="P982" s="590"/>
      <c r="Q982" s="590"/>
      <c r="R982" s="590"/>
      <c r="S982" s="590"/>
      <c r="T982" s="590"/>
      <c r="U982" s="590"/>
      <c r="V982" s="590"/>
      <c r="W982" s="590"/>
      <c r="X982" s="590"/>
      <c r="Y982" s="590"/>
      <c r="Z982" s="590"/>
    </row>
    <row r="983" spans="1:26" ht="15.75" customHeight="1">
      <c r="A983" s="590"/>
      <c r="B983" s="590"/>
      <c r="C983" s="590"/>
      <c r="D983" s="590"/>
      <c r="E983" s="590"/>
      <c r="F983" s="590"/>
      <c r="G983" s="590"/>
      <c r="H983" s="590"/>
      <c r="I983" s="590"/>
      <c r="J983" s="590"/>
      <c r="K983" s="590"/>
      <c r="L983" s="590"/>
      <c r="M983" s="590"/>
      <c r="N983" s="590"/>
      <c r="O983" s="590"/>
      <c r="P983" s="590"/>
      <c r="Q983" s="590"/>
      <c r="R983" s="590"/>
      <c r="S983" s="590"/>
      <c r="T983" s="590"/>
      <c r="U983" s="590"/>
      <c r="V983" s="590"/>
      <c r="W983" s="590"/>
      <c r="X983" s="590"/>
      <c r="Y983" s="590"/>
      <c r="Z983" s="590"/>
    </row>
    <row r="984" spans="1:26" ht="15.75" customHeight="1">
      <c r="A984" s="590"/>
      <c r="B984" s="590"/>
      <c r="C984" s="590"/>
      <c r="D984" s="590"/>
      <c r="E984" s="590"/>
      <c r="F984" s="590"/>
      <c r="G984" s="590"/>
      <c r="H984" s="590"/>
      <c r="I984" s="590"/>
      <c r="J984" s="590"/>
      <c r="K984" s="590"/>
      <c r="L984" s="590"/>
      <c r="M984" s="590"/>
      <c r="N984" s="590"/>
      <c r="O984" s="590"/>
      <c r="P984" s="590"/>
      <c r="Q984" s="590"/>
      <c r="R984" s="590"/>
      <c r="S984" s="590"/>
      <c r="T984" s="590"/>
      <c r="U984" s="590"/>
      <c r="V984" s="590"/>
      <c r="W984" s="590"/>
      <c r="X984" s="590"/>
      <c r="Y984" s="590"/>
      <c r="Z984" s="590"/>
    </row>
    <row r="985" spans="1:26" ht="15.75" customHeight="1">
      <c r="A985" s="590"/>
      <c r="B985" s="590"/>
      <c r="C985" s="590"/>
      <c r="D985" s="590"/>
      <c r="E985" s="590"/>
      <c r="F985" s="590"/>
      <c r="G985" s="590"/>
      <c r="H985" s="590"/>
      <c r="I985" s="590"/>
      <c r="J985" s="590"/>
      <c r="K985" s="590"/>
      <c r="L985" s="590"/>
      <c r="M985" s="590"/>
      <c r="N985" s="590"/>
      <c r="O985" s="590"/>
      <c r="P985" s="590"/>
      <c r="Q985" s="590"/>
      <c r="R985" s="590"/>
      <c r="S985" s="590"/>
      <c r="T985" s="590"/>
      <c r="U985" s="590"/>
      <c r="V985" s="590"/>
      <c r="W985" s="590"/>
      <c r="X985" s="590"/>
      <c r="Y985" s="590"/>
      <c r="Z985" s="590"/>
    </row>
    <row r="986" spans="1:26" ht="15.75" customHeight="1">
      <c r="A986" s="590"/>
      <c r="B986" s="590"/>
      <c r="C986" s="590"/>
      <c r="D986" s="590"/>
      <c r="E986" s="590"/>
      <c r="F986" s="590"/>
      <c r="G986" s="590"/>
      <c r="H986" s="590"/>
      <c r="I986" s="590"/>
      <c r="J986" s="590"/>
      <c r="K986" s="590"/>
      <c r="L986" s="590"/>
      <c r="M986" s="590"/>
      <c r="N986" s="590"/>
      <c r="O986" s="590"/>
      <c r="P986" s="590"/>
      <c r="Q986" s="590"/>
      <c r="R986" s="590"/>
      <c r="S986" s="590"/>
      <c r="T986" s="590"/>
      <c r="U986" s="590"/>
      <c r="V986" s="590"/>
      <c r="W986" s="590"/>
      <c r="X986" s="590"/>
      <c r="Y986" s="590"/>
      <c r="Z986" s="590"/>
    </row>
    <row r="987" spans="1:26" ht="15.75" customHeight="1">
      <c r="A987" s="590"/>
      <c r="B987" s="590"/>
      <c r="C987" s="590"/>
      <c r="D987" s="590"/>
      <c r="E987" s="590"/>
      <c r="F987" s="590"/>
      <c r="G987" s="590"/>
      <c r="H987" s="590"/>
      <c r="I987" s="590"/>
      <c r="J987" s="590"/>
      <c r="K987" s="590"/>
      <c r="L987" s="590"/>
      <c r="M987" s="590"/>
      <c r="N987" s="590"/>
      <c r="O987" s="590"/>
      <c r="P987" s="590"/>
      <c r="Q987" s="590"/>
      <c r="R987" s="590"/>
      <c r="S987" s="590"/>
      <c r="T987" s="590"/>
      <c r="U987" s="590"/>
      <c r="V987" s="590"/>
      <c r="W987" s="590"/>
      <c r="X987" s="590"/>
      <c r="Y987" s="590"/>
      <c r="Z987" s="590"/>
    </row>
    <row r="988" spans="1:26" ht="15.75" customHeight="1">
      <c r="A988" s="590"/>
      <c r="B988" s="590"/>
      <c r="C988" s="590"/>
      <c r="D988" s="590"/>
      <c r="E988" s="590"/>
      <c r="F988" s="590"/>
      <c r="G988" s="590"/>
      <c r="H988" s="590"/>
      <c r="I988" s="590"/>
      <c r="J988" s="590"/>
      <c r="K988" s="590"/>
      <c r="L988" s="590"/>
      <c r="M988" s="590"/>
      <c r="N988" s="590"/>
      <c r="O988" s="590"/>
      <c r="P988" s="590"/>
      <c r="Q988" s="590"/>
      <c r="R988" s="590"/>
      <c r="S988" s="590"/>
      <c r="T988" s="590"/>
      <c r="U988" s="590"/>
      <c r="V988" s="590"/>
      <c r="W988" s="590"/>
      <c r="X988" s="590"/>
      <c r="Y988" s="590"/>
      <c r="Z988" s="590"/>
    </row>
    <row r="989" spans="1:26" ht="15.75" customHeight="1">
      <c r="A989" s="590"/>
      <c r="B989" s="590"/>
      <c r="C989" s="590"/>
      <c r="D989" s="590"/>
      <c r="E989" s="590"/>
      <c r="F989" s="590"/>
      <c r="G989" s="590"/>
      <c r="H989" s="590"/>
      <c r="I989" s="590"/>
      <c r="J989" s="590"/>
      <c r="K989" s="590"/>
      <c r="L989" s="590"/>
      <c r="M989" s="590"/>
      <c r="N989" s="590"/>
      <c r="O989" s="590"/>
      <c r="P989" s="590"/>
      <c r="Q989" s="590"/>
      <c r="R989" s="590"/>
      <c r="S989" s="590"/>
      <c r="T989" s="590"/>
      <c r="U989" s="590"/>
      <c r="V989" s="590"/>
      <c r="W989" s="590"/>
      <c r="X989" s="590"/>
      <c r="Y989" s="590"/>
      <c r="Z989" s="590"/>
    </row>
    <row r="990" spans="1:26" ht="15.75" customHeight="1">
      <c r="A990" s="590"/>
      <c r="B990" s="590"/>
      <c r="C990" s="590"/>
      <c r="D990" s="590"/>
      <c r="E990" s="590"/>
      <c r="F990" s="590"/>
      <c r="G990" s="590"/>
      <c r="H990" s="590"/>
      <c r="I990" s="590"/>
      <c r="J990" s="590"/>
      <c r="K990" s="590"/>
      <c r="L990" s="590"/>
      <c r="M990" s="590"/>
      <c r="N990" s="590"/>
      <c r="O990" s="590"/>
      <c r="P990" s="590"/>
      <c r="Q990" s="590"/>
      <c r="R990" s="590"/>
      <c r="S990" s="590"/>
      <c r="T990" s="590"/>
      <c r="U990" s="590"/>
      <c r="V990" s="590"/>
      <c r="W990" s="590"/>
      <c r="X990" s="590"/>
      <c r="Y990" s="590"/>
      <c r="Z990" s="590"/>
    </row>
    <row r="991" spans="1:26" ht="15.75" customHeight="1">
      <c r="A991" s="590"/>
      <c r="B991" s="590"/>
      <c r="C991" s="590"/>
      <c r="D991" s="590"/>
      <c r="E991" s="590"/>
      <c r="F991" s="590"/>
      <c r="G991" s="590"/>
      <c r="H991" s="590"/>
      <c r="I991" s="590"/>
      <c r="J991" s="590"/>
      <c r="K991" s="590"/>
      <c r="L991" s="590"/>
      <c r="M991" s="590"/>
      <c r="N991" s="590"/>
      <c r="O991" s="590"/>
      <c r="P991" s="590"/>
      <c r="Q991" s="590"/>
      <c r="R991" s="590"/>
      <c r="S991" s="590"/>
      <c r="T991" s="590"/>
      <c r="U991" s="590"/>
      <c r="V991" s="590"/>
      <c r="W991" s="590"/>
      <c r="X991" s="590"/>
      <c r="Y991" s="590"/>
      <c r="Z991" s="590"/>
    </row>
    <row r="992" spans="1:26" ht="15.75" customHeight="1">
      <c r="A992" s="590"/>
      <c r="B992" s="590"/>
      <c r="C992" s="590"/>
      <c r="D992" s="590"/>
      <c r="E992" s="590"/>
      <c r="F992" s="590"/>
      <c r="G992" s="590"/>
      <c r="H992" s="590"/>
      <c r="I992" s="590"/>
      <c r="J992" s="590"/>
      <c r="K992" s="590"/>
      <c r="L992" s="590"/>
      <c r="M992" s="590"/>
      <c r="N992" s="590"/>
      <c r="O992" s="590"/>
      <c r="P992" s="590"/>
      <c r="Q992" s="590"/>
      <c r="R992" s="590"/>
      <c r="S992" s="590"/>
      <c r="T992" s="590"/>
      <c r="U992" s="590"/>
      <c r="V992" s="590"/>
      <c r="W992" s="590"/>
      <c r="X992" s="590"/>
      <c r="Y992" s="590"/>
      <c r="Z992" s="590"/>
    </row>
    <row r="993" spans="1:26" ht="15.75" customHeight="1">
      <c r="A993" s="590"/>
      <c r="B993" s="590"/>
      <c r="C993" s="590"/>
      <c r="D993" s="590"/>
      <c r="E993" s="590"/>
      <c r="F993" s="590"/>
      <c r="G993" s="590"/>
      <c r="H993" s="590"/>
      <c r="I993" s="590"/>
      <c r="J993" s="590"/>
      <c r="K993" s="590"/>
      <c r="L993" s="590"/>
      <c r="M993" s="590"/>
      <c r="N993" s="590"/>
      <c r="O993" s="590"/>
      <c r="P993" s="590"/>
      <c r="Q993" s="590"/>
      <c r="R993" s="590"/>
      <c r="S993" s="590"/>
      <c r="T993" s="590"/>
      <c r="U993" s="590"/>
      <c r="V993" s="590"/>
      <c r="W993" s="590"/>
      <c r="X993" s="590"/>
      <c r="Y993" s="590"/>
      <c r="Z993" s="590"/>
    </row>
    <row r="994" spans="1:26" ht="15.75" customHeight="1">
      <c r="A994" s="590"/>
      <c r="B994" s="590"/>
      <c r="C994" s="590"/>
      <c r="D994" s="590"/>
      <c r="E994" s="590"/>
      <c r="F994" s="590"/>
      <c r="G994" s="590"/>
      <c r="H994" s="590"/>
      <c r="I994" s="590"/>
      <c r="J994" s="590"/>
      <c r="K994" s="590"/>
      <c r="L994" s="590"/>
      <c r="M994" s="590"/>
      <c r="N994" s="590"/>
      <c r="O994" s="590"/>
      <c r="P994" s="590"/>
      <c r="Q994" s="590"/>
      <c r="R994" s="590"/>
      <c r="S994" s="590"/>
      <c r="T994" s="590"/>
      <c r="U994" s="590"/>
      <c r="V994" s="590"/>
      <c r="W994" s="590"/>
      <c r="X994" s="590"/>
      <c r="Y994" s="590"/>
      <c r="Z994" s="590"/>
    </row>
    <row r="995" spans="1:26" ht="15.75" customHeight="1">
      <c r="A995" s="590"/>
      <c r="B995" s="590"/>
      <c r="C995" s="590"/>
      <c r="D995" s="590"/>
      <c r="E995" s="590"/>
      <c r="F995" s="590"/>
      <c r="G995" s="590"/>
      <c r="H995" s="590"/>
      <c r="I995" s="590"/>
      <c r="J995" s="590"/>
      <c r="K995" s="590"/>
      <c r="L995" s="590"/>
      <c r="M995" s="590"/>
      <c r="N995" s="590"/>
      <c r="O995" s="590"/>
      <c r="P995" s="590"/>
      <c r="Q995" s="590"/>
      <c r="R995" s="590"/>
      <c r="S995" s="590"/>
      <c r="T995" s="590"/>
      <c r="U995" s="590"/>
      <c r="V995" s="590"/>
      <c r="W995" s="590"/>
      <c r="X995" s="590"/>
      <c r="Y995" s="590"/>
      <c r="Z995" s="590"/>
    </row>
    <row r="996" spans="1:26" ht="15.75" customHeight="1">
      <c r="A996" s="590"/>
      <c r="B996" s="590"/>
      <c r="C996" s="590"/>
      <c r="D996" s="590"/>
      <c r="E996" s="590"/>
      <c r="F996" s="590"/>
      <c r="G996" s="590"/>
      <c r="H996" s="590"/>
      <c r="I996" s="590"/>
      <c r="J996" s="590"/>
      <c r="K996" s="590"/>
      <c r="L996" s="590"/>
      <c r="M996" s="590"/>
      <c r="N996" s="590"/>
      <c r="O996" s="590"/>
      <c r="P996" s="590"/>
      <c r="Q996" s="590"/>
      <c r="R996" s="590"/>
      <c r="S996" s="590"/>
      <c r="T996" s="590"/>
      <c r="U996" s="590"/>
      <c r="V996" s="590"/>
      <c r="W996" s="590"/>
      <c r="X996" s="590"/>
      <c r="Y996" s="590"/>
      <c r="Z996" s="590"/>
    </row>
    <row r="997" spans="1:26" ht="15.75" customHeight="1">
      <c r="A997" s="590"/>
      <c r="B997" s="590"/>
      <c r="C997" s="590"/>
      <c r="D997" s="590"/>
      <c r="E997" s="590"/>
      <c r="F997" s="590"/>
      <c r="G997" s="590"/>
      <c r="H997" s="590"/>
      <c r="I997" s="590"/>
      <c r="J997" s="590"/>
      <c r="K997" s="590"/>
      <c r="L997" s="590"/>
      <c r="M997" s="590"/>
      <c r="N997" s="590"/>
      <c r="O997" s="590"/>
      <c r="P997" s="590"/>
      <c r="Q997" s="590"/>
      <c r="R997" s="590"/>
      <c r="S997" s="590"/>
      <c r="T997" s="590"/>
      <c r="U997" s="590"/>
      <c r="V997" s="590"/>
      <c r="W997" s="590"/>
      <c r="X997" s="590"/>
      <c r="Y997" s="590"/>
      <c r="Z997" s="590"/>
    </row>
    <row r="998" spans="1:26" ht="15.75" customHeight="1">
      <c r="A998" s="590"/>
      <c r="B998" s="590"/>
      <c r="C998" s="590"/>
      <c r="D998" s="590"/>
      <c r="E998" s="590"/>
      <c r="F998" s="590"/>
      <c r="G998" s="590"/>
      <c r="H998" s="590"/>
      <c r="I998" s="590"/>
      <c r="J998" s="590"/>
      <c r="K998" s="590"/>
      <c r="L998" s="590"/>
      <c r="M998" s="590"/>
      <c r="N998" s="590"/>
      <c r="O998" s="590"/>
      <c r="P998" s="590"/>
      <c r="Q998" s="590"/>
      <c r="R998" s="590"/>
      <c r="S998" s="590"/>
      <c r="T998" s="590"/>
      <c r="U998" s="590"/>
      <c r="V998" s="590"/>
      <c r="W998" s="590"/>
      <c r="X998" s="590"/>
      <c r="Y998" s="590"/>
      <c r="Z998" s="590"/>
    </row>
    <row r="999" spans="1:26" ht="15.75" customHeight="1">
      <c r="A999" s="590"/>
      <c r="B999" s="590"/>
      <c r="C999" s="590"/>
      <c r="D999" s="590"/>
      <c r="E999" s="590"/>
      <c r="F999" s="590"/>
      <c r="G999" s="590"/>
      <c r="H999" s="590"/>
      <c r="I999" s="590"/>
      <c r="J999" s="590"/>
      <c r="K999" s="590"/>
      <c r="L999" s="590"/>
      <c r="M999" s="590"/>
      <c r="N999" s="590"/>
      <c r="O999" s="590"/>
      <c r="P999" s="590"/>
      <c r="Q999" s="590"/>
      <c r="R999" s="590"/>
      <c r="S999" s="590"/>
      <c r="T999" s="590"/>
      <c r="U999" s="590"/>
      <c r="V999" s="590"/>
      <c r="W999" s="590"/>
      <c r="X999" s="590"/>
      <c r="Y999" s="590"/>
      <c r="Z999" s="590"/>
    </row>
    <row r="1000" spans="1:26" ht="15.75" customHeight="1">
      <c r="A1000" s="590"/>
      <c r="B1000" s="590"/>
      <c r="C1000" s="590"/>
      <c r="D1000" s="590"/>
      <c r="E1000" s="590"/>
      <c r="F1000" s="590"/>
      <c r="G1000" s="590"/>
      <c r="H1000" s="590"/>
      <c r="I1000" s="590"/>
      <c r="J1000" s="590"/>
      <c r="K1000" s="590"/>
      <c r="L1000" s="590"/>
      <c r="M1000" s="590"/>
      <c r="N1000" s="590"/>
      <c r="O1000" s="590"/>
      <c r="P1000" s="590"/>
      <c r="Q1000" s="590"/>
      <c r="R1000" s="590"/>
      <c r="S1000" s="590"/>
      <c r="T1000" s="590"/>
      <c r="U1000" s="590"/>
      <c r="V1000" s="590"/>
      <c r="W1000" s="590"/>
      <c r="X1000" s="590"/>
      <c r="Y1000" s="590"/>
      <c r="Z1000" s="590"/>
    </row>
  </sheetData>
  <mergeCells count="271">
    <mergeCell ref="C96:G96"/>
    <mergeCell ref="C149:I149"/>
    <mergeCell ref="B150:I150"/>
    <mergeCell ref="B151:J151"/>
    <mergeCell ref="B152:J152"/>
    <mergeCell ref="C153:I153"/>
    <mergeCell ref="C154:I154"/>
    <mergeCell ref="C155:I155"/>
    <mergeCell ref="C156:I156"/>
    <mergeCell ref="B86:H86"/>
    <mergeCell ref="B88:J88"/>
    <mergeCell ref="B89:J89"/>
    <mergeCell ref="B90:J90"/>
    <mergeCell ref="C91:I91"/>
    <mergeCell ref="C92:H92"/>
    <mergeCell ref="C93:H93"/>
    <mergeCell ref="C94:H94"/>
    <mergeCell ref="C95:H95"/>
    <mergeCell ref="C77:H77"/>
    <mergeCell ref="C78:H78"/>
    <mergeCell ref="C79:H79"/>
    <mergeCell ref="C80:D80"/>
    <mergeCell ref="C81:H81"/>
    <mergeCell ref="C82:H82"/>
    <mergeCell ref="C83:H83"/>
    <mergeCell ref="C84:H84"/>
    <mergeCell ref="C85:H85"/>
    <mergeCell ref="C98:H98"/>
    <mergeCell ref="C99:H99"/>
    <mergeCell ref="C100:H100"/>
    <mergeCell ref="C101:I101"/>
    <mergeCell ref="C102:I102"/>
    <mergeCell ref="C103:I103"/>
    <mergeCell ref="C104:I104"/>
    <mergeCell ref="C105:I105"/>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C33:F33"/>
    <mergeCell ref="C34:F34"/>
    <mergeCell ref="G34:H34"/>
    <mergeCell ref="I34:J34"/>
    <mergeCell ref="C35:F35"/>
    <mergeCell ref="G35:H35"/>
    <mergeCell ref="I35:J35"/>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46:H46"/>
    <mergeCell ref="C47:F47"/>
    <mergeCell ref="C48:E48"/>
    <mergeCell ref="F48:H48"/>
    <mergeCell ref="C49:H49"/>
    <mergeCell ref="C50:F50"/>
    <mergeCell ref="G50:H50"/>
    <mergeCell ref="C51:E51"/>
    <mergeCell ref="C52:I52"/>
    <mergeCell ref="C53:I53"/>
    <mergeCell ref="C54:E54"/>
    <mergeCell ref="C55:E55"/>
    <mergeCell ref="C56:I56"/>
    <mergeCell ref="C57:I57"/>
    <mergeCell ref="B58:I58"/>
    <mergeCell ref="C59:I59"/>
    <mergeCell ref="C60:I60"/>
    <mergeCell ref="B61:I61"/>
    <mergeCell ref="B62:J62"/>
    <mergeCell ref="B63:I63"/>
    <mergeCell ref="B64:J64"/>
    <mergeCell ref="B65:J65"/>
    <mergeCell ref="B66:J66"/>
    <mergeCell ref="B67:J67"/>
    <mergeCell ref="B68:J68"/>
    <mergeCell ref="C69:I69"/>
    <mergeCell ref="C70:H70"/>
    <mergeCell ref="C71:H71"/>
    <mergeCell ref="B72:I72"/>
    <mergeCell ref="B73:J73"/>
    <mergeCell ref="B74:J74"/>
    <mergeCell ref="B75:J75"/>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B110:J110"/>
    <mergeCell ref="C111:I111"/>
    <mergeCell ref="C112:I112"/>
    <mergeCell ref="C113:I113"/>
    <mergeCell ref="C114:I114"/>
    <mergeCell ref="C97:I97"/>
    <mergeCell ref="B144:I144"/>
    <mergeCell ref="B145:J145"/>
    <mergeCell ref="B146:J146"/>
    <mergeCell ref="C147:I147"/>
    <mergeCell ref="C148:I148"/>
    <mergeCell ref="B205:E205"/>
    <mergeCell ref="F205:G205"/>
    <mergeCell ref="B206:E206"/>
    <mergeCell ref="F206:G206"/>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208:J208"/>
    <mergeCell ref="B209:J209"/>
    <mergeCell ref="B215:G215"/>
    <mergeCell ref="H215:J215"/>
    <mergeCell ref="B216:J216"/>
    <mergeCell ref="B210:J210"/>
    <mergeCell ref="B211:G211"/>
    <mergeCell ref="H211:J211"/>
    <mergeCell ref="B212:J212"/>
    <mergeCell ref="B213:G213"/>
    <mergeCell ref="H213:J213"/>
    <mergeCell ref="B214:J214"/>
    <mergeCell ref="B185:J185"/>
    <mergeCell ref="B186:J186"/>
    <mergeCell ref="B187:I187"/>
    <mergeCell ref="C188:I188"/>
    <mergeCell ref="C189:I189"/>
    <mergeCell ref="C190:I190"/>
    <mergeCell ref="C191:I191"/>
    <mergeCell ref="C192:I192"/>
    <mergeCell ref="B193:I193"/>
    <mergeCell ref="C194:I194"/>
    <mergeCell ref="B195:I195"/>
    <mergeCell ref="B196:J196"/>
    <mergeCell ref="B197:J197"/>
    <mergeCell ref="B199:J199"/>
    <mergeCell ref="B200:E200"/>
    <mergeCell ref="F200:G200"/>
    <mergeCell ref="I200:J200"/>
    <mergeCell ref="B201:E201"/>
    <mergeCell ref="F201:G201"/>
    <mergeCell ref="I201:J201"/>
    <mergeCell ref="I203:J203"/>
    <mergeCell ref="I204:J204"/>
    <mergeCell ref="I205:J205"/>
    <mergeCell ref="I206:J206"/>
    <mergeCell ref="I207:J207"/>
    <mergeCell ref="B202:E202"/>
    <mergeCell ref="F202:G202"/>
    <mergeCell ref="I202:J202"/>
    <mergeCell ref="B203:E203"/>
    <mergeCell ref="F203:G203"/>
    <mergeCell ref="B204:E204"/>
    <mergeCell ref="F204:G204"/>
    <mergeCell ref="B207:G207"/>
  </mergeCells>
  <conditionalFormatting sqref="I49:I50">
    <cfRule type="cellIs" dxfId="115" priority="1" operator="equal">
      <formula>0</formula>
    </cfRule>
  </conditionalFormatting>
  <conditionalFormatting sqref="I48">
    <cfRule type="cellIs" dxfId="114" priority="2" operator="equal">
      <formula>0</formula>
    </cfRule>
  </conditionalFormatting>
  <printOptions horizontalCentered="1"/>
  <pageMargins left="0.11811023622047245" right="0.11811023622047245" top="0.19685039370078741" bottom="0.19685039370078741"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19</vt:i4>
      </vt:variant>
    </vt:vector>
  </HeadingPairs>
  <TitlesOfParts>
    <vt:vector size="19" baseType="lpstr">
      <vt:lpstr>DADOS-CADASTRAIS</vt:lpstr>
      <vt:lpstr>CAMPUS.CONTRATANTE</vt:lpstr>
      <vt:lpstr>1-ABA-DE-CARREGAMENTO</vt:lpstr>
      <vt:lpstr>PROPOSTA DO SERVIÇO</vt:lpstr>
      <vt:lpstr>Uniformes - EPIs_TODOS</vt:lpstr>
      <vt:lpstr>Insumos_Base</vt:lpstr>
      <vt:lpstr>5132-05_COZINHEIRO_prepost_hs</vt:lpstr>
      <vt:lpstr>5132-05_COZINHEIRO_geral_hs</vt:lpstr>
      <vt:lpstr>5135-05_AUX.COZINHA_hs</vt:lpstr>
      <vt:lpstr>2020-10_JARDINEIRO_hs-</vt:lpstr>
      <vt:lpstr>A NÃO TEM MAIS POSTOS-11</vt:lpstr>
      <vt:lpstr>TOTALIZADORES_IFFar</vt:lpstr>
      <vt:lpstr>A NÃO TEM MAIS POSTOS-33</vt:lpstr>
      <vt:lpstr>A NÃO TEM MAIS POSTOS-44</vt:lpstr>
      <vt:lpstr>A NAO TEM MAIS POSTO 55</vt:lpstr>
      <vt:lpstr>A NAO TEM MAIS POSTO 66</vt:lpstr>
      <vt:lpstr>A NAO TEM MAIS POSTO 77</vt:lpstr>
      <vt:lpstr>A NÃO TEM MAIS POSTOS-88</vt:lpstr>
      <vt:lpstr>A NÃO TEM MAIS POSTOS-99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Thomé</dc:creator>
  <cp:lastModifiedBy>thome</cp:lastModifiedBy>
  <dcterms:created xsi:type="dcterms:W3CDTF">2023-12-05T16:43:28Z</dcterms:created>
  <dcterms:modified xsi:type="dcterms:W3CDTF">2024-01-12T13:06:11Z</dcterms:modified>
</cp:coreProperties>
</file>